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A DATA HP\BARETTE\VOYAGES\Vietnam\"/>
    </mc:Choice>
  </mc:AlternateContent>
  <bookViews>
    <workbookView xWindow="348" yWindow="732" windowWidth="23040" windowHeight="12360" activeTab="18"/>
  </bookViews>
  <sheets>
    <sheet name="electricité 9" sheetId="26" r:id="rId1"/>
    <sheet name="electr" sheetId="1" r:id="rId2"/>
    <sheet name="cash esp" sheetId="25" r:id="rId3"/>
    <sheet name="cash IX" sheetId="23" r:id="rId4"/>
    <sheet name="VietnamIX" sheetId="21" r:id="rId5"/>
    <sheet name="ComptesIX" sheetId="22" r:id="rId6"/>
    <sheet name="Budget IX" sheetId="24" r:id="rId7"/>
    <sheet name="VietnamVIII" sheetId="2" r:id="rId8"/>
    <sheet name="cashVIII" sheetId="15" r:id="rId9"/>
    <sheet name="ComptesVIII" sheetId="17" r:id="rId10"/>
    <sheet name="Thai fev 23" sheetId="20" r:id="rId11"/>
    <sheet name="voyages" sheetId="12" r:id="rId12"/>
    <sheet name="Budget VIII" sheetId="19" r:id="rId13"/>
    <sheet name="VietnamVII" sheetId="18" r:id="rId14"/>
    <sheet name="VietnamVI" sheetId="13" r:id="rId15"/>
    <sheet name="voyages VI" sheetId="14" r:id="rId16"/>
    <sheet name="Vietnam V" sheetId="11" r:id="rId17"/>
    <sheet name="Vietnam IV" sheetId="10" r:id="rId18"/>
    <sheet name="Vietnam III" sheetId="9" r:id="rId19"/>
    <sheet name="Vietnam II" sheetId="6" r:id="rId20"/>
    <sheet name="Vietnam I" sheetId="5" r:id="rId21"/>
    <sheet name="etat depenses" sheetId="7" r:id="rId22"/>
  </sheets>
  <externalReferences>
    <externalReference r:id="rId23"/>
  </externalReferences>
  <definedNames>
    <definedName name="_xlnm._FilterDatabase" localSheetId="5" hidden="1">ComptesIX!$B$4:$AB$444</definedName>
    <definedName name="_xlnm._FilterDatabase" localSheetId="9" hidden="1">ComptesVIII!$B$4:$AB$1169</definedName>
    <definedName name="_xlnm._FilterDatabase" localSheetId="0" hidden="1">'electricité 9'!$B$8:$AQ$8</definedName>
    <definedName name="_xlnm._FilterDatabase" localSheetId="20" hidden="1">'Vietnam I'!$B$5:$AC$21</definedName>
    <definedName name="_xlnm._FilterDatabase" localSheetId="18" hidden="1">'Vietnam III'!$B$6:$AB$23</definedName>
    <definedName name="_xlnm._FilterDatabase" localSheetId="17" hidden="1">'Vietnam IV'!$B$6:$AL$25</definedName>
    <definedName name="_xlnm._FilterDatabase" localSheetId="16" hidden="1">'Vietnam V'!$B$6:$AT$25</definedName>
    <definedName name="_xlnm._FilterDatabase" localSheetId="4" hidden="1">VietnamIX!$B$11:$BD$33</definedName>
    <definedName name="_xlnm._FilterDatabase" localSheetId="14" hidden="1">VietnamVI!$B$6:$HY$25</definedName>
    <definedName name="_xlnm._FilterDatabase" localSheetId="13" hidden="1">VietnamVII!$B$11:$DC$33</definedName>
    <definedName name="_xlnm._FilterDatabase" localSheetId="7" hidden="1">VietnamVIII!$B$11:$DX$33</definedName>
    <definedName name="calcul">'electricité 9'!#REF!</definedName>
    <definedName name="TAUXmoyen" localSheetId="3">'cash IX'!#REF!</definedName>
    <definedName name="TAUXmoyen" localSheetId="8">cashVIII!#REF!</definedName>
    <definedName name="TAUXmoyen">'cash IX'!$O$23</definedName>
    <definedName name="_xlnm.Print_Area" localSheetId="5">ComptesIX!#REF!</definedName>
    <definedName name="_xlnm.Print_Area" localSheetId="9">ComptesVIII!$A$1069:$G$1168</definedName>
    <definedName name="_xlnm.Print_Area" localSheetId="21">'etat depenses'!$C$41:$X$62</definedName>
    <definedName name="_xlnm.Print_Area" localSheetId="20">'Vietnam I'!$B$35:$C$47</definedName>
    <definedName name="_xlnm.Print_Area" localSheetId="18">'Vietnam III'!$B$39:$C$56</definedName>
    <definedName name="_xlnm.Print_Area" localSheetId="17">'Vietnam IV'!$B$41:$C$60</definedName>
    <definedName name="_xlnm.Print_Area" localSheetId="16">'Vietnam V'!$B$41:$C$60</definedName>
    <definedName name="_xlnm.Print_Area" localSheetId="4">VietnamIX!$B$46:$C$63</definedName>
    <definedName name="_xlnm.Print_Area" localSheetId="14">VietnamVI!$B$41:$C$60</definedName>
    <definedName name="_xlnm.Print_Area" localSheetId="13">VietnamVII!$B$46:$C$63</definedName>
    <definedName name="_xlnm.Print_Area" localSheetId="7">VietnamVIII!$B$46:$C$63</definedName>
  </definedNames>
  <calcPr calcId="162913"/>
</workbook>
</file>

<file path=xl/calcChain.xml><?xml version="1.0" encoding="utf-8"?>
<calcChain xmlns="http://schemas.openxmlformats.org/spreadsheetml/2006/main">
  <c r="CT98" i="21" l="1"/>
  <c r="CT10" i="21"/>
  <c r="S139" i="23"/>
  <c r="O23" i="23"/>
  <c r="A455" i="22"/>
  <c r="B455" i="22"/>
  <c r="B456" i="22"/>
  <c r="A456" i="22" s="1"/>
  <c r="B457" i="22"/>
  <c r="A457" i="22" s="1"/>
  <c r="B458" i="22"/>
  <c r="A458" i="22" s="1"/>
  <c r="A459" i="22"/>
  <c r="B459" i="22"/>
  <c r="B460" i="22"/>
  <c r="A460" i="22" s="1"/>
  <c r="B461" i="22"/>
  <c r="A461" i="22" s="1"/>
  <c r="B462" i="22"/>
  <c r="A462" i="22" s="1"/>
  <c r="A463" i="22"/>
  <c r="B463" i="22"/>
  <c r="B464" i="22"/>
  <c r="A464" i="22" s="1"/>
  <c r="B465" i="22"/>
  <c r="A465" i="22" s="1"/>
  <c r="B466" i="22"/>
  <c r="A466" i="22" s="1"/>
  <c r="A467" i="22"/>
  <c r="B467" i="22"/>
  <c r="B468" i="22"/>
  <c r="A468" i="22" s="1"/>
  <c r="B469" i="22"/>
  <c r="A469" i="22" s="1"/>
  <c r="B470" i="22"/>
  <c r="A470" i="22" s="1"/>
  <c r="A471" i="22"/>
  <c r="B471" i="22"/>
  <c r="B472" i="22"/>
  <c r="A472" i="22" s="1"/>
  <c r="B473" i="22"/>
  <c r="A473" i="22" s="1"/>
  <c r="B474" i="22"/>
  <c r="A474" i="22" s="1"/>
  <c r="A475" i="22"/>
  <c r="B475" i="22"/>
  <c r="B476" i="22"/>
  <c r="A476" i="22" s="1"/>
  <c r="B477" i="22"/>
  <c r="A477" i="22" s="1"/>
  <c r="B478" i="22"/>
  <c r="A478" i="22" s="1"/>
  <c r="A479" i="22"/>
  <c r="B479" i="22"/>
  <c r="B480" i="22"/>
  <c r="A480" i="22" s="1"/>
  <c r="B481" i="22"/>
  <c r="A481" i="22" s="1"/>
  <c r="B482" i="22"/>
  <c r="A482" i="22" s="1"/>
  <c r="A483" i="22"/>
  <c r="B483" i="22"/>
  <c r="B484" i="22"/>
  <c r="A484" i="22" s="1"/>
  <c r="B485" i="22"/>
  <c r="A485" i="22" s="1"/>
  <c r="B486" i="22"/>
  <c r="A486" i="22" s="1"/>
  <c r="A487" i="22"/>
  <c r="B487" i="22"/>
  <c r="B488" i="22"/>
  <c r="A488" i="22" s="1"/>
  <c r="B489" i="22"/>
  <c r="A489" i="22" s="1"/>
  <c r="B490" i="22"/>
  <c r="A490" i="22" s="1"/>
  <c r="A491" i="22"/>
  <c r="B491" i="22"/>
  <c r="C491" i="22" s="1"/>
  <c r="B492" i="22"/>
  <c r="A492" i="22" s="1"/>
  <c r="B493" i="22"/>
  <c r="A493" i="22" s="1"/>
  <c r="B494" i="22"/>
  <c r="A494" i="22" s="1"/>
  <c r="A495" i="22"/>
  <c r="B495" i="22"/>
  <c r="B496" i="22"/>
  <c r="A496" i="22" s="1"/>
  <c r="B497" i="22"/>
  <c r="A497" i="22" s="1"/>
  <c r="B498" i="22"/>
  <c r="A498" i="22" s="1"/>
  <c r="B499" i="22"/>
  <c r="B445" i="22"/>
  <c r="A445" i="22" s="1"/>
  <c r="B446" i="22"/>
  <c r="A446" i="22" s="1"/>
  <c r="B447" i="22"/>
  <c r="A447" i="22" s="1"/>
  <c r="B448" i="22"/>
  <c r="B449" i="22"/>
  <c r="A449" i="22" s="1"/>
  <c r="B450" i="22"/>
  <c r="A450" i="22" s="1"/>
  <c r="B451" i="22"/>
  <c r="A451" i="22" s="1"/>
  <c r="B452" i="22"/>
  <c r="B453" i="22"/>
  <c r="A453" i="22" s="1"/>
  <c r="B454" i="22"/>
  <c r="A454" i="22" s="1"/>
  <c r="C469" i="22" l="1"/>
  <c r="C470" i="22" s="1"/>
  <c r="C471" i="22" s="1"/>
  <c r="C472" i="22" s="1"/>
  <c r="C473" i="22" s="1"/>
  <c r="C474" i="22" s="1"/>
  <c r="C475" i="22" s="1"/>
  <c r="C476" i="22" s="1"/>
  <c r="C477" i="22" s="1"/>
  <c r="C478" i="22" s="1"/>
  <c r="C479" i="22" s="1"/>
  <c r="C480" i="22" s="1"/>
  <c r="C481" i="22" s="1"/>
  <c r="C482" i="22" s="1"/>
  <c r="C483" i="22" s="1"/>
  <c r="C484" i="22" s="1"/>
  <c r="C485" i="22" s="1"/>
  <c r="C486" i="22" s="1"/>
  <c r="C487" i="22" s="1"/>
  <c r="C488" i="22" s="1"/>
  <c r="C489" i="22" s="1"/>
  <c r="C490" i="22" s="1"/>
  <c r="C492" i="22"/>
  <c r="C493" i="22" s="1"/>
  <c r="C494" i="22" s="1"/>
  <c r="C495" i="22" s="1"/>
  <c r="C496" i="22" s="1"/>
  <c r="C497" i="22" s="1"/>
  <c r="C498" i="22" s="1"/>
  <c r="C499" i="22" s="1"/>
  <c r="C456" i="22"/>
  <c r="C457" i="22" s="1"/>
  <c r="C458" i="22" s="1"/>
  <c r="C459" i="22" s="1"/>
  <c r="C460" i="22" s="1"/>
  <c r="C461" i="22" s="1"/>
  <c r="C462" i="22" s="1"/>
  <c r="C463" i="22" s="1"/>
  <c r="C464" i="22" s="1"/>
  <c r="C465" i="22" s="1"/>
  <c r="C466" i="22" s="1"/>
  <c r="C467" i="22" s="1"/>
  <c r="C468" i="22" s="1"/>
  <c r="A499" i="22"/>
  <c r="A448" i="22"/>
  <c r="A452" i="22"/>
  <c r="X41" i="26"/>
  <c r="Q41" i="26"/>
  <c r="S41" i="26" s="1"/>
  <c r="P41" i="26"/>
  <c r="T41" i="26" s="1"/>
  <c r="U41" i="26" s="1"/>
  <c r="O41" i="26"/>
  <c r="R41" i="26" s="1"/>
  <c r="N41" i="26"/>
  <c r="I41" i="26" s="1"/>
  <c r="M41" i="26"/>
  <c r="L41" i="26"/>
  <c r="J41" i="26"/>
  <c r="AA39" i="26"/>
  <c r="X39" i="26"/>
  <c r="Q39" i="26"/>
  <c r="S39" i="26" s="1"/>
  <c r="P39" i="26"/>
  <c r="T39" i="26" s="1"/>
  <c r="U39" i="26" s="1"/>
  <c r="F39" i="26" s="1"/>
  <c r="Z39" i="26" s="1"/>
  <c r="O39" i="26"/>
  <c r="R39" i="26" s="1"/>
  <c r="N39" i="26"/>
  <c r="I39" i="26" s="1"/>
  <c r="M39" i="26"/>
  <c r="L39" i="26"/>
  <c r="J39" i="26"/>
  <c r="G39" i="26"/>
  <c r="B39" i="26"/>
  <c r="A39" i="26"/>
  <c r="AA38" i="26"/>
  <c r="X38" i="26"/>
  <c r="U38" i="26"/>
  <c r="F38" i="26" s="1"/>
  <c r="T38" i="26"/>
  <c r="Q38" i="26"/>
  <c r="S38" i="26" s="1"/>
  <c r="P38" i="26"/>
  <c r="O38" i="26"/>
  <c r="N38" i="26"/>
  <c r="M38" i="26"/>
  <c r="L38" i="26"/>
  <c r="J38" i="26"/>
  <c r="I38" i="26"/>
  <c r="G38" i="26"/>
  <c r="B38" i="26"/>
  <c r="A38" i="26"/>
  <c r="X37" i="26"/>
  <c r="T37" i="26"/>
  <c r="U37" i="26" s="1"/>
  <c r="F37" i="26" s="1"/>
  <c r="Q37" i="26"/>
  <c r="P37" i="26"/>
  <c r="R38" i="26" s="1"/>
  <c r="O37" i="26"/>
  <c r="R37" i="26" s="1"/>
  <c r="N37" i="26"/>
  <c r="M37" i="26"/>
  <c r="L37" i="26"/>
  <c r="J37" i="26"/>
  <c r="I37" i="26"/>
  <c r="G37" i="26"/>
  <c r="H37" i="26" s="1"/>
  <c r="B37" i="26"/>
  <c r="A37" i="26"/>
  <c r="X36" i="26"/>
  <c r="Q36" i="26"/>
  <c r="T36" i="26" s="1"/>
  <c r="P36" i="26"/>
  <c r="O36" i="26"/>
  <c r="N36" i="26"/>
  <c r="M36" i="26"/>
  <c r="L36" i="26" s="1"/>
  <c r="J36" i="26"/>
  <c r="I36" i="26"/>
  <c r="G36" i="26"/>
  <c r="AA36" i="26" s="1"/>
  <c r="B36" i="26"/>
  <c r="A36" i="26"/>
  <c r="X35" i="26"/>
  <c r="Q35" i="26"/>
  <c r="S35" i="26" s="1"/>
  <c r="P35" i="26"/>
  <c r="T35" i="26" s="1"/>
  <c r="O35" i="26"/>
  <c r="R36" i="26" s="1"/>
  <c r="N35" i="26"/>
  <c r="I35" i="26" s="1"/>
  <c r="M35" i="26"/>
  <c r="L35" i="26"/>
  <c r="J35" i="26"/>
  <c r="G35" i="26"/>
  <c r="AA35" i="26" s="1"/>
  <c r="B35" i="26"/>
  <c r="A35" i="26"/>
  <c r="X34" i="26"/>
  <c r="Q34" i="26"/>
  <c r="S34" i="26" s="1"/>
  <c r="P34" i="26"/>
  <c r="T34" i="26" s="1"/>
  <c r="U34" i="26" s="1"/>
  <c r="F34" i="26" s="1"/>
  <c r="O34" i="26"/>
  <c r="R34" i="26" s="1"/>
  <c r="N34" i="26"/>
  <c r="I34" i="26" s="1"/>
  <c r="M34" i="26"/>
  <c r="L34" i="26"/>
  <c r="J34" i="26"/>
  <c r="G34" i="26"/>
  <c r="B34" i="26"/>
  <c r="A34" i="26"/>
  <c r="X31" i="26"/>
  <c r="Q31" i="26"/>
  <c r="P31" i="26"/>
  <c r="T31" i="26" s="1"/>
  <c r="U31" i="26" s="1"/>
  <c r="O31" i="26"/>
  <c r="R31" i="26" s="1"/>
  <c r="N31" i="26"/>
  <c r="M31" i="26"/>
  <c r="L31" i="26"/>
  <c r="J31" i="26"/>
  <c r="I31" i="26"/>
  <c r="V30" i="26"/>
  <c r="S30" i="26"/>
  <c r="P30" i="26"/>
  <c r="K30" i="26"/>
  <c r="G30" i="26"/>
  <c r="AA30" i="26" s="1"/>
  <c r="X29" i="26"/>
  <c r="Q29" i="26"/>
  <c r="S29" i="26" s="1"/>
  <c r="P29" i="26"/>
  <c r="T29" i="26" s="1"/>
  <c r="O29" i="26"/>
  <c r="N29" i="26"/>
  <c r="M29" i="26"/>
  <c r="L29" i="26" s="1"/>
  <c r="J29" i="26"/>
  <c r="I29" i="26"/>
  <c r="X28" i="26"/>
  <c r="Q28" i="26"/>
  <c r="S31" i="26" s="1"/>
  <c r="P28" i="26"/>
  <c r="T28" i="26" s="1"/>
  <c r="U28" i="26" s="1"/>
  <c r="O28" i="26"/>
  <c r="R28" i="26" s="1"/>
  <c r="N28" i="26"/>
  <c r="I28" i="26" s="1"/>
  <c r="M28" i="26"/>
  <c r="L28" i="26"/>
  <c r="J28" i="26"/>
  <c r="X26" i="26"/>
  <c r="Q26" i="26"/>
  <c r="S26" i="26" s="1"/>
  <c r="P26" i="26"/>
  <c r="T26" i="26" s="1"/>
  <c r="U26" i="26" s="1"/>
  <c r="F26" i="26" s="1"/>
  <c r="O26" i="26"/>
  <c r="R26" i="26" s="1"/>
  <c r="N26" i="26"/>
  <c r="M26" i="26"/>
  <c r="L26" i="26"/>
  <c r="J26" i="26"/>
  <c r="I26" i="26"/>
  <c r="G26" i="26"/>
  <c r="B26" i="26"/>
  <c r="A26" i="26"/>
  <c r="X25" i="26"/>
  <c r="T25" i="26"/>
  <c r="Q25" i="26"/>
  <c r="P25" i="26"/>
  <c r="O25" i="26"/>
  <c r="N25" i="26"/>
  <c r="M25" i="26"/>
  <c r="L25" i="26"/>
  <c r="J25" i="26"/>
  <c r="I25" i="26"/>
  <c r="G25" i="26"/>
  <c r="AA25" i="26" s="1"/>
  <c r="B25" i="26"/>
  <c r="A25" i="26"/>
  <c r="X24" i="26"/>
  <c r="Q24" i="26"/>
  <c r="S25" i="26" s="1"/>
  <c r="P24" i="26"/>
  <c r="T24" i="26" s="1"/>
  <c r="O24" i="26"/>
  <c r="N24" i="26"/>
  <c r="M24" i="26"/>
  <c r="L24" i="26" s="1"/>
  <c r="J24" i="26"/>
  <c r="I24" i="26"/>
  <c r="G24" i="26"/>
  <c r="AA24" i="26" s="1"/>
  <c r="B24" i="26"/>
  <c r="A24" i="26"/>
  <c r="AA23" i="26"/>
  <c r="X23" i="26"/>
  <c r="Q23" i="26"/>
  <c r="S23" i="26" s="1"/>
  <c r="P23" i="26"/>
  <c r="T23" i="26" s="1"/>
  <c r="U23" i="26" s="1"/>
  <c r="F23" i="26" s="1"/>
  <c r="Z23" i="26" s="1"/>
  <c r="O23" i="26"/>
  <c r="R24" i="26" s="1"/>
  <c r="N23" i="26"/>
  <c r="I23" i="26" s="1"/>
  <c r="M23" i="26"/>
  <c r="L23" i="26" s="1"/>
  <c r="J23" i="26"/>
  <c r="G23" i="26"/>
  <c r="B23" i="26"/>
  <c r="A23" i="26"/>
  <c r="AA22" i="26"/>
  <c r="X22" i="26"/>
  <c r="Q22" i="26"/>
  <c r="S22" i="26" s="1"/>
  <c r="P22" i="26"/>
  <c r="T22" i="26" s="1"/>
  <c r="U22" i="26" s="1"/>
  <c r="F22" i="26" s="1"/>
  <c r="O22" i="26"/>
  <c r="R22" i="26" s="1"/>
  <c r="N22" i="26"/>
  <c r="I22" i="26" s="1"/>
  <c r="M22" i="26"/>
  <c r="L22" i="26"/>
  <c r="J22" i="26"/>
  <c r="G22" i="26"/>
  <c r="B22" i="26"/>
  <c r="A22" i="26"/>
  <c r="AA21" i="26"/>
  <c r="X21" i="26"/>
  <c r="Q21" i="26"/>
  <c r="P21" i="26"/>
  <c r="T21" i="26" s="1"/>
  <c r="U21" i="26" s="1"/>
  <c r="F21" i="26" s="1"/>
  <c r="O21" i="26"/>
  <c r="R21" i="26" s="1"/>
  <c r="N21" i="26"/>
  <c r="M21" i="26"/>
  <c r="L21" i="26"/>
  <c r="J21" i="26"/>
  <c r="I21" i="26"/>
  <c r="G21" i="26"/>
  <c r="B21" i="26"/>
  <c r="A21" i="26"/>
  <c r="X20" i="26"/>
  <c r="T20" i="26"/>
  <c r="U20" i="26" s="1"/>
  <c r="F20" i="26" s="1"/>
  <c r="Q20" i="26"/>
  <c r="S20" i="26" s="1"/>
  <c r="P20" i="26"/>
  <c r="O20" i="26"/>
  <c r="R20" i="26" s="1"/>
  <c r="N20" i="26"/>
  <c r="M20" i="26"/>
  <c r="L20" i="26"/>
  <c r="J20" i="26"/>
  <c r="I20" i="26"/>
  <c r="G20" i="26"/>
  <c r="B20" i="26"/>
  <c r="A20" i="26"/>
  <c r="X19" i="26"/>
  <c r="T19" i="26"/>
  <c r="Q19" i="26"/>
  <c r="P19" i="26"/>
  <c r="O19" i="26"/>
  <c r="N19" i="26"/>
  <c r="M19" i="26"/>
  <c r="L19" i="26"/>
  <c r="J19" i="26"/>
  <c r="I19" i="26"/>
  <c r="G19" i="26"/>
  <c r="B19" i="26"/>
  <c r="A19" i="26"/>
  <c r="X18" i="26"/>
  <c r="Q18" i="26"/>
  <c r="S18" i="26" s="1"/>
  <c r="P18" i="26"/>
  <c r="T18" i="26" s="1"/>
  <c r="O18" i="26"/>
  <c r="N18" i="26"/>
  <c r="M18" i="26"/>
  <c r="L18" i="26" s="1"/>
  <c r="J18" i="26"/>
  <c r="I18" i="26"/>
  <c r="G18" i="26"/>
  <c r="AA18" i="26" s="1"/>
  <c r="B18" i="26"/>
  <c r="A18" i="26"/>
  <c r="AA17" i="26"/>
  <c r="X17" i="26"/>
  <c r="Q17" i="26"/>
  <c r="S17" i="26" s="1"/>
  <c r="P17" i="26"/>
  <c r="T17" i="26" s="1"/>
  <c r="U17" i="26" s="1"/>
  <c r="F17" i="26" s="1"/>
  <c r="Z17" i="26" s="1"/>
  <c r="O17" i="26"/>
  <c r="R18" i="26" s="1"/>
  <c r="N17" i="26"/>
  <c r="I17" i="26" s="1"/>
  <c r="M17" i="26"/>
  <c r="L17" i="26" s="1"/>
  <c r="J17" i="26"/>
  <c r="G17" i="26"/>
  <c r="B17" i="26"/>
  <c r="A17" i="26"/>
  <c r="X16" i="26"/>
  <c r="Q16" i="26"/>
  <c r="S16" i="26" s="1"/>
  <c r="P16" i="26"/>
  <c r="T16" i="26" s="1"/>
  <c r="O16" i="26"/>
  <c r="R16" i="26" s="1"/>
  <c r="N16" i="26"/>
  <c r="I16" i="26" s="1"/>
  <c r="M16" i="26"/>
  <c r="L16" i="26"/>
  <c r="J16" i="26"/>
  <c r="G16" i="26"/>
  <c r="G31" i="26" s="1"/>
  <c r="B16" i="26"/>
  <c r="A16" i="26"/>
  <c r="X15" i="26"/>
  <c r="X30" i="26" s="1"/>
  <c r="S15" i="26"/>
  <c r="Q15" i="26"/>
  <c r="Q30" i="26" s="1"/>
  <c r="P15" i="26"/>
  <c r="T15" i="26" s="1"/>
  <c r="O15" i="26"/>
  <c r="O30" i="26" s="1"/>
  <c r="N15" i="26"/>
  <c r="N30" i="26" s="1"/>
  <c r="M15" i="26"/>
  <c r="M30" i="26" s="1"/>
  <c r="L15" i="26"/>
  <c r="L30" i="26" s="1"/>
  <c r="J15" i="26"/>
  <c r="J30" i="26" s="1"/>
  <c r="I15" i="26"/>
  <c r="I30" i="26" s="1"/>
  <c r="G15" i="26"/>
  <c r="B15" i="26"/>
  <c r="A15" i="26"/>
  <c r="B14" i="26"/>
  <c r="C8" i="26"/>
  <c r="AZ19" i="21"/>
  <c r="AZ12" i="21"/>
  <c r="AZ17" i="21"/>
  <c r="AZ27" i="21"/>
  <c r="AY27" i="21"/>
  <c r="AX26" i="21"/>
  <c r="R281" i="23"/>
  <c r="Q281" i="23"/>
  <c r="Y279" i="23" s="1"/>
  <c r="Z279" i="23" s="1"/>
  <c r="P279" i="23"/>
  <c r="O279" i="23"/>
  <c r="N279" i="23"/>
  <c r="M279" i="23"/>
  <c r="Q278" i="23"/>
  <c r="Q277" i="23"/>
  <c r="Q275" i="23"/>
  <c r="Q274" i="23"/>
  <c r="Q273" i="23"/>
  <c r="Q272" i="23"/>
  <c r="Q271" i="23"/>
  <c r="T270" i="23"/>
  <c r="T271" i="23" s="1"/>
  <c r="Q270" i="23"/>
  <c r="AB269" i="23"/>
  <c r="P268" i="23"/>
  <c r="O268" i="23"/>
  <c r="M268" i="23"/>
  <c r="Q268" i="23" s="1"/>
  <c r="Q267" i="23"/>
  <c r="S266" i="23"/>
  <c r="Q266" i="23"/>
  <c r="Q265" i="23"/>
  <c r="AB264" i="23"/>
  <c r="X263" i="23"/>
  <c r="X262" i="23"/>
  <c r="W284" i="23" l="1"/>
  <c r="X284" i="23" s="1"/>
  <c r="Q279" i="23"/>
  <c r="X278" i="23" s="1"/>
  <c r="G28" i="26"/>
  <c r="AA15" i="26"/>
  <c r="AA16" i="26"/>
  <c r="Z38" i="26"/>
  <c r="H38" i="26"/>
  <c r="H22" i="26"/>
  <c r="Z22" i="26"/>
  <c r="H21" i="26"/>
  <c r="Z21" i="26"/>
  <c r="U25" i="26"/>
  <c r="F25" i="26" s="1"/>
  <c r="H25" i="26" s="1"/>
  <c r="AA28" i="26"/>
  <c r="F29" i="26"/>
  <c r="H39" i="26"/>
  <c r="H20" i="26"/>
  <c r="U15" i="26"/>
  <c r="T30" i="26"/>
  <c r="U24" i="26"/>
  <c r="F24" i="26" s="1"/>
  <c r="Z24" i="26" s="1"/>
  <c r="U19" i="26"/>
  <c r="F19" i="26" s="1"/>
  <c r="H19" i="26" s="1"/>
  <c r="AA31" i="26"/>
  <c r="H17" i="26"/>
  <c r="H26" i="26"/>
  <c r="U29" i="26"/>
  <c r="U35" i="26"/>
  <c r="F35" i="26" s="1"/>
  <c r="U36" i="26"/>
  <c r="F36" i="26" s="1"/>
  <c r="W37" i="26"/>
  <c r="Y37" i="26"/>
  <c r="U18" i="26"/>
  <c r="F18" i="26" s="1"/>
  <c r="Z18" i="26" s="1"/>
  <c r="U16" i="26"/>
  <c r="F16" i="26" s="1"/>
  <c r="H23" i="26"/>
  <c r="Z34" i="26"/>
  <c r="H34" i="26"/>
  <c r="R25" i="26"/>
  <c r="S37" i="26"/>
  <c r="S19" i="26"/>
  <c r="S36" i="26"/>
  <c r="S24" i="26"/>
  <c r="R23" i="26"/>
  <c r="Z20" i="26"/>
  <c r="Z26" i="26"/>
  <c r="AA26" i="26"/>
  <c r="H35" i="26"/>
  <c r="Z37" i="26"/>
  <c r="R29" i="26"/>
  <c r="R17" i="26"/>
  <c r="G29" i="26"/>
  <c r="H36" i="26"/>
  <c r="G41" i="26"/>
  <c r="AA20" i="26"/>
  <c r="S28" i="26"/>
  <c r="AA37" i="26"/>
  <c r="H24" i="26"/>
  <c r="R15" i="26"/>
  <c r="R30" i="26" s="1"/>
  <c r="AA19" i="26"/>
  <c r="Z36" i="26"/>
  <c r="R19" i="26"/>
  <c r="R35" i="26"/>
  <c r="Z35" i="26"/>
  <c r="S21" i="26"/>
  <c r="X267" i="23"/>
  <c r="W283" i="23"/>
  <c r="Y277" i="23"/>
  <c r="T262" i="23"/>
  <c r="X277" i="23"/>
  <c r="Q283" i="23"/>
  <c r="Q285" i="23" s="1"/>
  <c r="X268" i="23"/>
  <c r="Y278" i="23"/>
  <c r="Z278" i="23" s="1"/>
  <c r="AB270" i="23"/>
  <c r="Q282" i="23"/>
  <c r="Y263" i="23"/>
  <c r="X264" i="23"/>
  <c r="X279" i="23"/>
  <c r="AU17" i="21"/>
  <c r="B386" i="22"/>
  <c r="A386" i="22" s="1"/>
  <c r="B387" i="22"/>
  <c r="A387" i="22" s="1"/>
  <c r="B388" i="22"/>
  <c r="A388" i="22" s="1"/>
  <c r="B389" i="22"/>
  <c r="A389" i="22" s="1"/>
  <c r="B390" i="22"/>
  <c r="A390" i="22" s="1"/>
  <c r="B391" i="22"/>
  <c r="A391" i="22" s="1"/>
  <c r="B392" i="22"/>
  <c r="A392" i="22" s="1"/>
  <c r="B393" i="22"/>
  <c r="A393" i="22" s="1"/>
  <c r="B394" i="22"/>
  <c r="A394" i="22" s="1"/>
  <c r="B395" i="22"/>
  <c r="A395" i="22" s="1"/>
  <c r="B396" i="22"/>
  <c r="A396" i="22" s="1"/>
  <c r="B397" i="22"/>
  <c r="A397" i="22" s="1"/>
  <c r="B398" i="22"/>
  <c r="A398" i="22" s="1"/>
  <c r="B399" i="22"/>
  <c r="A399" i="22" s="1"/>
  <c r="B400" i="22"/>
  <c r="A400" i="22" s="1"/>
  <c r="B401" i="22"/>
  <c r="A401" i="22" s="1"/>
  <c r="B402" i="22"/>
  <c r="A402" i="22" s="1"/>
  <c r="B403" i="22"/>
  <c r="A403" i="22" s="1"/>
  <c r="B404" i="22"/>
  <c r="A404" i="22" s="1"/>
  <c r="B405" i="22"/>
  <c r="A405" i="22" s="1"/>
  <c r="B406" i="22"/>
  <c r="A406" i="22" s="1"/>
  <c r="B407" i="22"/>
  <c r="A407" i="22" s="1"/>
  <c r="B408" i="22"/>
  <c r="A408" i="22" s="1"/>
  <c r="B409" i="22"/>
  <c r="A409" i="22" s="1"/>
  <c r="B410" i="22"/>
  <c r="A410" i="22" s="1"/>
  <c r="B411" i="22"/>
  <c r="A411" i="22" s="1"/>
  <c r="B412" i="22"/>
  <c r="A412" i="22" s="1"/>
  <c r="B413" i="22"/>
  <c r="A413" i="22" s="1"/>
  <c r="B414" i="22"/>
  <c r="A414" i="22" s="1"/>
  <c r="B415" i="22"/>
  <c r="A415" i="22" s="1"/>
  <c r="B416" i="22"/>
  <c r="A416" i="22" s="1"/>
  <c r="B417" i="22"/>
  <c r="A417" i="22" s="1"/>
  <c r="B418" i="22"/>
  <c r="A418" i="22" s="1"/>
  <c r="B419" i="22"/>
  <c r="A419" i="22" s="1"/>
  <c r="B420" i="22"/>
  <c r="A420" i="22" s="1"/>
  <c r="B421" i="22"/>
  <c r="A421" i="22" s="1"/>
  <c r="B422" i="22"/>
  <c r="A422" i="22" s="1"/>
  <c r="B423" i="22"/>
  <c r="A423" i="22" s="1"/>
  <c r="B424" i="22"/>
  <c r="A424" i="22" s="1"/>
  <c r="B425" i="22"/>
  <c r="A425" i="22" s="1"/>
  <c r="B426" i="22"/>
  <c r="A426" i="22" s="1"/>
  <c r="B427" i="22"/>
  <c r="A427" i="22" s="1"/>
  <c r="B428" i="22"/>
  <c r="A428" i="22" s="1"/>
  <c r="B429" i="22"/>
  <c r="A429" i="22" s="1"/>
  <c r="B430" i="22"/>
  <c r="A430" i="22" s="1"/>
  <c r="B431" i="22"/>
  <c r="A431" i="22" s="1"/>
  <c r="B432" i="22"/>
  <c r="A432" i="22" s="1"/>
  <c r="B433" i="22"/>
  <c r="A433" i="22" s="1"/>
  <c r="B434" i="22"/>
  <c r="A434" i="22" s="1"/>
  <c r="B435" i="22"/>
  <c r="A435" i="22" s="1"/>
  <c r="B436" i="22"/>
  <c r="A436" i="22" s="1"/>
  <c r="B437" i="22"/>
  <c r="A437" i="22" s="1"/>
  <c r="B438" i="22"/>
  <c r="A438" i="22" s="1"/>
  <c r="B439" i="22"/>
  <c r="A439" i="22" s="1"/>
  <c r="B440" i="22"/>
  <c r="A440" i="22" s="1"/>
  <c r="B441" i="22"/>
  <c r="A441" i="22" s="1"/>
  <c r="B442" i="22"/>
  <c r="A442" i="22" s="1"/>
  <c r="B443" i="22"/>
  <c r="A443" i="22" s="1"/>
  <c r="B444" i="22"/>
  <c r="A444" i="22" s="1"/>
  <c r="R252" i="23"/>
  <c r="Q252" i="23"/>
  <c r="Q253" i="23" s="1"/>
  <c r="P250" i="23"/>
  <c r="O250" i="23"/>
  <c r="N250" i="23"/>
  <c r="M250" i="23"/>
  <c r="Q249" i="23"/>
  <c r="Q248" i="23"/>
  <c r="Q246" i="23"/>
  <c r="Q245" i="23"/>
  <c r="Q244" i="23"/>
  <c r="Q243" i="23"/>
  <c r="Q242" i="23"/>
  <c r="T241" i="23"/>
  <c r="T242" i="23" s="1"/>
  <c r="Q241" i="23"/>
  <c r="AB240" i="23"/>
  <c r="P239" i="23"/>
  <c r="O239" i="23"/>
  <c r="M239" i="23"/>
  <c r="Q238" i="23"/>
  <c r="S237" i="23"/>
  <c r="Q237" i="23"/>
  <c r="Q236" i="23"/>
  <c r="AB235" i="23"/>
  <c r="X234" i="23"/>
  <c r="X233" i="23"/>
  <c r="M6" i="22"/>
  <c r="I421" i="22" l="1"/>
  <c r="I420" i="22"/>
  <c r="I409" i="22"/>
  <c r="I408" i="22"/>
  <c r="I397" i="22"/>
  <c r="I396" i="22"/>
  <c r="I422" i="22"/>
  <c r="I410" i="22"/>
  <c r="I398" i="22"/>
  <c r="I386" i="22"/>
  <c r="I431" i="22"/>
  <c r="I419" i="22"/>
  <c r="I407" i="22"/>
  <c r="I395" i="22"/>
  <c r="I430" i="22"/>
  <c r="I418" i="22"/>
  <c r="I406" i="22"/>
  <c r="I394" i="22"/>
  <c r="I429" i="22"/>
  <c r="I417" i="22"/>
  <c r="I405" i="22"/>
  <c r="I393" i="22"/>
  <c r="I428" i="22"/>
  <c r="I416" i="22"/>
  <c r="I404" i="22"/>
  <c r="I392" i="22"/>
  <c r="I427" i="22"/>
  <c r="I415" i="22"/>
  <c r="I403" i="22"/>
  <c r="I391" i="22"/>
  <c r="I426" i="22"/>
  <c r="I414" i="22"/>
  <c r="I402" i="22"/>
  <c r="I390" i="22"/>
  <c r="I425" i="22"/>
  <c r="I413" i="22"/>
  <c r="I401" i="22"/>
  <c r="I389" i="22"/>
  <c r="I424" i="22"/>
  <c r="I412" i="22"/>
  <c r="I400" i="22"/>
  <c r="I388" i="22"/>
  <c r="I423" i="22"/>
  <c r="I411" i="22"/>
  <c r="I399" i="22"/>
  <c r="I387" i="22"/>
  <c r="I443" i="22"/>
  <c r="I432" i="22"/>
  <c r="I441" i="22"/>
  <c r="I440" i="22"/>
  <c r="I439" i="22"/>
  <c r="I438" i="22"/>
  <c r="I442" i="22"/>
  <c r="I437" i="22"/>
  <c r="I433" i="22"/>
  <c r="I436" i="22"/>
  <c r="I435" i="22"/>
  <c r="I444" i="22"/>
  <c r="I434" i="22"/>
  <c r="Q280" i="23"/>
  <c r="Q286" i="23" s="1"/>
  <c r="Y25" i="26"/>
  <c r="W25" i="26"/>
  <c r="W19" i="26"/>
  <c r="Y19" i="26"/>
  <c r="Y35" i="26"/>
  <c r="W35" i="26"/>
  <c r="Z25" i="26"/>
  <c r="Y21" i="26"/>
  <c r="W21" i="26"/>
  <c r="W39" i="26"/>
  <c r="Y39" i="26"/>
  <c r="W26" i="26"/>
  <c r="Y26" i="26"/>
  <c r="H18" i="26"/>
  <c r="Y17" i="26"/>
  <c r="W17" i="26"/>
  <c r="H16" i="26"/>
  <c r="Z16" i="26"/>
  <c r="F31" i="26"/>
  <c r="Z19" i="26"/>
  <c r="AA41" i="26"/>
  <c r="Z41" i="26"/>
  <c r="H41" i="26"/>
  <c r="F15" i="26"/>
  <c r="U30" i="26"/>
  <c r="W22" i="26"/>
  <c r="Y22" i="26"/>
  <c r="W36" i="26"/>
  <c r="Y36" i="26"/>
  <c r="W20" i="26"/>
  <c r="Y20" i="26"/>
  <c r="W38" i="26"/>
  <c r="Y38" i="26"/>
  <c r="Y24" i="26"/>
  <c r="W24" i="26"/>
  <c r="W34" i="26"/>
  <c r="Y34" i="26"/>
  <c r="Y23" i="26"/>
  <c r="W23" i="26"/>
  <c r="AA29" i="26"/>
  <c r="Z29" i="26"/>
  <c r="H29" i="26"/>
  <c r="F41" i="26"/>
  <c r="Q239" i="23"/>
  <c r="AB268" i="23" s="1"/>
  <c r="S283" i="23"/>
  <c r="S284" i="23" s="1"/>
  <c r="Q284" i="23"/>
  <c r="X280" i="23"/>
  <c r="U262" i="23"/>
  <c r="T273" i="23"/>
  <c r="Z277" i="23"/>
  <c r="Z280" i="23" s="1"/>
  <c r="Y280" i="23"/>
  <c r="Y281" i="23" s="1"/>
  <c r="X283" i="23"/>
  <c r="W285" i="23"/>
  <c r="X269" i="23"/>
  <c r="X272" i="23" s="1"/>
  <c r="Y250" i="23"/>
  <c r="Z250" i="23" s="1"/>
  <c r="W255" i="23"/>
  <c r="X255" i="23" s="1"/>
  <c r="Q250" i="23"/>
  <c r="X249" i="23" s="1"/>
  <c r="C424" i="22"/>
  <c r="C425" i="22" s="1"/>
  <c r="C426" i="22" s="1"/>
  <c r="C427" i="22" s="1"/>
  <c r="C428" i="22" s="1"/>
  <c r="C429" i="22" s="1"/>
  <c r="C430" i="22" s="1"/>
  <c r="C431" i="22" s="1"/>
  <c r="C432" i="22" s="1"/>
  <c r="C433" i="22" s="1"/>
  <c r="C434" i="22" s="1"/>
  <c r="C435" i="22" s="1"/>
  <c r="C436" i="22" s="1"/>
  <c r="C437" i="22" s="1"/>
  <c r="C438" i="22" s="1"/>
  <c r="C439" i="22" s="1"/>
  <c r="C440" i="22" s="1"/>
  <c r="C441" i="22" s="1"/>
  <c r="C442" i="22" s="1"/>
  <c r="C443" i="22" s="1"/>
  <c r="C444" i="22" s="1"/>
  <c r="C445" i="22" s="1"/>
  <c r="C446" i="22" s="1"/>
  <c r="C447" i="22" s="1"/>
  <c r="C448" i="22" s="1"/>
  <c r="C449" i="22" s="1"/>
  <c r="C450" i="22" s="1"/>
  <c r="C451" i="22" s="1"/>
  <c r="C452" i="22" s="1"/>
  <c r="C453" i="22" s="1"/>
  <c r="C454" i="22" s="1"/>
  <c r="C455" i="22" s="1"/>
  <c r="C415" i="22"/>
  <c r="C416" i="22" s="1"/>
  <c r="C417" i="22" s="1"/>
  <c r="C418" i="22" s="1"/>
  <c r="C419" i="22" s="1"/>
  <c r="C420" i="22" s="1"/>
  <c r="C421" i="22" s="1"/>
  <c r="C422" i="22" s="1"/>
  <c r="C423" i="22" s="1"/>
  <c r="C395" i="22"/>
  <c r="C396" i="22" s="1"/>
  <c r="C397" i="22" s="1"/>
  <c r="C398" i="22" s="1"/>
  <c r="C399" i="22" s="1"/>
  <c r="C400" i="22" s="1"/>
  <c r="C401" i="22" s="1"/>
  <c r="C402" i="22" s="1"/>
  <c r="C403" i="22" s="1"/>
  <c r="C404" i="22" s="1"/>
  <c r="C405" i="22" s="1"/>
  <c r="C406" i="22"/>
  <c r="C407" i="22" s="1"/>
  <c r="C408" i="22" s="1"/>
  <c r="C409" i="22" s="1"/>
  <c r="C410" i="22" s="1"/>
  <c r="C411" i="22" s="1"/>
  <c r="C412" i="22" s="1"/>
  <c r="C413" i="22" s="1"/>
  <c r="C414" i="22" s="1"/>
  <c r="C386" i="22"/>
  <c r="Y234" i="23"/>
  <c r="X250" i="23"/>
  <c r="X235" i="23"/>
  <c r="AO20" i="21"/>
  <c r="B329" i="22"/>
  <c r="B330" i="22"/>
  <c r="I330" i="22" s="1"/>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A361" i="22" s="1"/>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M5" i="22"/>
  <c r="Y284" i="23" l="1"/>
  <c r="A347" i="22"/>
  <c r="I347" i="22"/>
  <c r="A368" i="22"/>
  <c r="I368" i="22"/>
  <c r="A332" i="22"/>
  <c r="I332" i="22"/>
  <c r="A376" i="22"/>
  <c r="I376" i="22"/>
  <c r="A364" i="22"/>
  <c r="I364" i="22"/>
  <c r="A352" i="22"/>
  <c r="I352" i="22"/>
  <c r="A340" i="22"/>
  <c r="I340" i="22"/>
  <c r="A375" i="22"/>
  <c r="I375" i="22"/>
  <c r="A374" i="22"/>
  <c r="I374" i="22"/>
  <c r="A362" i="22"/>
  <c r="I362" i="22"/>
  <c r="A350" i="22"/>
  <c r="I350" i="22"/>
  <c r="A338" i="22"/>
  <c r="I338" i="22"/>
  <c r="A385" i="22"/>
  <c r="I385" i="22"/>
  <c r="A373" i="22"/>
  <c r="I373" i="22"/>
  <c r="A349" i="22"/>
  <c r="I349" i="22"/>
  <c r="A337" i="22"/>
  <c r="I337" i="22"/>
  <c r="A363" i="22"/>
  <c r="I363" i="22"/>
  <c r="A384" i="22"/>
  <c r="I384" i="22"/>
  <c r="A372" i="22"/>
  <c r="I372" i="22"/>
  <c r="A360" i="22"/>
  <c r="I360" i="22"/>
  <c r="A348" i="22"/>
  <c r="I348" i="22"/>
  <c r="A336" i="22"/>
  <c r="I336" i="22"/>
  <c r="A371" i="22"/>
  <c r="I371" i="22"/>
  <c r="A335" i="22"/>
  <c r="I335" i="22"/>
  <c r="A358" i="22"/>
  <c r="I358" i="22"/>
  <c r="A334" i="22"/>
  <c r="I334" i="22"/>
  <c r="A359" i="22"/>
  <c r="I359" i="22"/>
  <c r="A381" i="22"/>
  <c r="I381" i="22"/>
  <c r="A369" i="22"/>
  <c r="I369" i="22"/>
  <c r="A357" i="22"/>
  <c r="I357" i="22"/>
  <c r="A345" i="22"/>
  <c r="I345" i="22"/>
  <c r="A333" i="22"/>
  <c r="I333" i="22"/>
  <c r="A383" i="22"/>
  <c r="I383" i="22"/>
  <c r="A346" i="22"/>
  <c r="I346" i="22"/>
  <c r="A356" i="22"/>
  <c r="I356" i="22"/>
  <c r="A379" i="22"/>
  <c r="I379" i="22"/>
  <c r="A367" i="22"/>
  <c r="I367" i="22"/>
  <c r="A355" i="22"/>
  <c r="I355" i="22"/>
  <c r="A343" i="22"/>
  <c r="I343" i="22"/>
  <c r="A331" i="22"/>
  <c r="I331" i="22"/>
  <c r="A351" i="22"/>
  <c r="I351" i="22"/>
  <c r="A370" i="22"/>
  <c r="I370" i="22"/>
  <c r="A380" i="22"/>
  <c r="I380" i="22"/>
  <c r="A378" i="22"/>
  <c r="I378" i="22"/>
  <c r="A354" i="22"/>
  <c r="I354" i="22"/>
  <c r="A342" i="22"/>
  <c r="I342" i="22"/>
  <c r="A339" i="22"/>
  <c r="I339" i="22"/>
  <c r="A382" i="22"/>
  <c r="I382" i="22"/>
  <c r="A344" i="22"/>
  <c r="I344" i="22"/>
  <c r="A366" i="22"/>
  <c r="I366" i="22"/>
  <c r="A377" i="22"/>
  <c r="I377" i="22"/>
  <c r="A365" i="22"/>
  <c r="I365" i="22"/>
  <c r="A353" i="22"/>
  <c r="I353" i="22"/>
  <c r="A341" i="22"/>
  <c r="I341" i="22"/>
  <c r="A329" i="22"/>
  <c r="I329" i="22"/>
  <c r="W16" i="26"/>
  <c r="Y16" i="26"/>
  <c r="Y41" i="26"/>
  <c r="W41" i="26"/>
  <c r="F30" i="26"/>
  <c r="H15" i="26"/>
  <c r="Z15" i="26"/>
  <c r="Z30" i="26" s="1"/>
  <c r="F28" i="26"/>
  <c r="Y29" i="26"/>
  <c r="W29" i="26"/>
  <c r="Z31" i="26"/>
  <c r="H31" i="26"/>
  <c r="Y18" i="26"/>
  <c r="W18" i="26"/>
  <c r="AB239" i="23"/>
  <c r="W254" i="23"/>
  <c r="X254" i="23" s="1"/>
  <c r="Y283" i="23" s="1"/>
  <c r="X248" i="23"/>
  <c r="X251" i="23" s="1"/>
  <c r="T233" i="23"/>
  <c r="Y248" i="23"/>
  <c r="Z248" i="23" s="1"/>
  <c r="X238" i="23"/>
  <c r="AB241" i="23"/>
  <c r="X285" i="23"/>
  <c r="Q254" i="23"/>
  <c r="Q256" i="23" s="1"/>
  <c r="Y249" i="23"/>
  <c r="Z249" i="23" s="1"/>
  <c r="X239" i="23"/>
  <c r="X240" i="23" s="1"/>
  <c r="X243" i="23" s="1"/>
  <c r="Q251" i="23"/>
  <c r="Q257" i="23" s="1"/>
  <c r="C387" i="22"/>
  <c r="C388" i="22" s="1"/>
  <c r="C389" i="22" s="1"/>
  <c r="C390" i="22" s="1"/>
  <c r="C391" i="22" s="1"/>
  <c r="C392" i="22" s="1"/>
  <c r="C393" i="22" s="1"/>
  <c r="C394" i="22" s="1"/>
  <c r="C338" i="22"/>
  <c r="C339" i="22" s="1"/>
  <c r="C340" i="22" s="1"/>
  <c r="C341" i="22" s="1"/>
  <c r="C342" i="22" s="1"/>
  <c r="C343" i="22" s="1"/>
  <c r="C344" i="22" s="1"/>
  <c r="C345" i="22" s="1"/>
  <c r="C346" i="22" s="1"/>
  <c r="C347" i="22"/>
  <c r="C348" i="22" s="1"/>
  <c r="C349" i="22" s="1"/>
  <c r="C350" i="22" s="1"/>
  <c r="C351" i="22" s="1"/>
  <c r="C352" i="22" s="1"/>
  <c r="C353" i="22" s="1"/>
  <c r="C354" i="22" s="1"/>
  <c r="C355" i="22" s="1"/>
  <c r="C356" i="22"/>
  <c r="C357" i="22" s="1"/>
  <c r="C358" i="22" s="1"/>
  <c r="C359" i="22" s="1"/>
  <c r="C360" i="22" s="1"/>
  <c r="C361" i="22" s="1"/>
  <c r="C362" i="22" s="1"/>
  <c r="C363" i="22" s="1"/>
  <c r="C364" i="22" s="1"/>
  <c r="C374" i="22"/>
  <c r="C375" i="22" s="1"/>
  <c r="C376" i="22" s="1"/>
  <c r="C377" i="22" s="1"/>
  <c r="C378" i="22" s="1"/>
  <c r="C379" i="22" s="1"/>
  <c r="C380" i="22" s="1"/>
  <c r="C381" i="22" s="1"/>
  <c r="C382" i="22" s="1"/>
  <c r="C383" i="22" s="1"/>
  <c r="C384" i="22" s="1"/>
  <c r="C385" i="22" s="1"/>
  <c r="U233" i="23"/>
  <c r="T244" i="23"/>
  <c r="A330" i="22"/>
  <c r="C365" i="22"/>
  <c r="C366" i="22" s="1"/>
  <c r="C367" i="22" s="1"/>
  <c r="C368" i="22" s="1"/>
  <c r="C369" i="22" s="1"/>
  <c r="C370" i="22" s="1"/>
  <c r="C371" i="22" s="1"/>
  <c r="C372" i="22" s="1"/>
  <c r="C373" i="22" s="1"/>
  <c r="C329" i="22"/>
  <c r="R223" i="23"/>
  <c r="Q223" i="23"/>
  <c r="W226" i="23" s="1"/>
  <c r="P221" i="23"/>
  <c r="O221" i="23"/>
  <c r="N221" i="23"/>
  <c r="M221" i="23"/>
  <c r="Q220" i="23"/>
  <c r="Q219" i="23"/>
  <c r="Q217" i="23"/>
  <c r="Q216" i="23"/>
  <c r="Q215" i="23"/>
  <c r="Q214" i="23"/>
  <c r="Q213" i="23"/>
  <c r="T212" i="23"/>
  <c r="Q212" i="23"/>
  <c r="AB211" i="23"/>
  <c r="Q210" i="23"/>
  <c r="X209" i="23" s="1"/>
  <c r="P210" i="23"/>
  <c r="O210" i="23"/>
  <c r="M210" i="23"/>
  <c r="Q209" i="23"/>
  <c r="Q208" i="23"/>
  <c r="Q207" i="23"/>
  <c r="AB206" i="23"/>
  <c r="X206" i="23"/>
  <c r="X205" i="23"/>
  <c r="Y205" i="23" s="1"/>
  <c r="X204" i="23"/>
  <c r="Z28" i="26" l="1"/>
  <c r="H28" i="26"/>
  <c r="W15" i="26"/>
  <c r="W30" i="26" s="1"/>
  <c r="Y15" i="26"/>
  <c r="Y30" i="26" s="1"/>
  <c r="H30" i="26"/>
  <c r="W31" i="26"/>
  <c r="Y31" i="26"/>
  <c r="W256" i="23"/>
  <c r="AB285" i="23"/>
  <c r="AB286" i="23" s="1"/>
  <c r="S254" i="23"/>
  <c r="S255" i="23" s="1"/>
  <c r="Q255" i="23"/>
  <c r="Y251" i="23"/>
  <c r="Y252" i="23" s="1"/>
  <c r="Z251" i="23"/>
  <c r="C330" i="22"/>
  <c r="C331" i="22" s="1"/>
  <c r="C332" i="22" s="1"/>
  <c r="C333" i="22" s="1"/>
  <c r="C334" i="22" s="1"/>
  <c r="C335" i="22" s="1"/>
  <c r="C336" i="22" s="1"/>
  <c r="C337" i="22" s="1"/>
  <c r="X256" i="23"/>
  <c r="X221" i="23"/>
  <c r="Y221" i="23"/>
  <c r="X219" i="23"/>
  <c r="AB210" i="23"/>
  <c r="AB212" i="23"/>
  <c r="T204" i="23"/>
  <c r="T215" i="23" s="1"/>
  <c r="Q221" i="23"/>
  <c r="W28" i="26" l="1"/>
  <c r="Y28" i="26"/>
  <c r="Y285" i="23"/>
  <c r="U204" i="23"/>
  <c r="Y220" i="23"/>
  <c r="Q225" i="23"/>
  <c r="I7" i="1" l="1"/>
  <c r="L7" i="1" s="1"/>
  <c r="M7" i="1" s="1"/>
  <c r="J7" i="1" l="1"/>
  <c r="O7" i="1" s="1"/>
  <c r="P7" i="1" s="1"/>
  <c r="O6" i="1"/>
  <c r="P6" i="1" s="1"/>
  <c r="M6" i="1"/>
  <c r="J6" i="1"/>
  <c r="L6" i="1"/>
  <c r="C6" i="1"/>
  <c r="I6" i="1"/>
  <c r="P192" i="23" l="1"/>
  <c r="O192" i="23"/>
  <c r="N192" i="23"/>
  <c r="M192" i="23"/>
  <c r="P181" i="23"/>
  <c r="O181" i="23"/>
  <c r="M181" i="23"/>
  <c r="M152" i="23"/>
  <c r="N152" i="23"/>
  <c r="O152" i="23"/>
  <c r="P152" i="23"/>
  <c r="M163" i="23"/>
  <c r="N163" i="23"/>
  <c r="O163" i="23"/>
  <c r="P163" i="23"/>
  <c r="AO6" i="21"/>
  <c r="AP6" i="21" s="1"/>
  <c r="AQ6" i="21" s="1"/>
  <c r="AR6" i="21" s="1"/>
  <c r="AS6" i="21" s="1"/>
  <c r="AT6" i="21" s="1"/>
  <c r="AU6" i="21" s="1"/>
  <c r="AV6" i="21" s="1"/>
  <c r="AW6" i="21" s="1"/>
  <c r="AX6" i="21" s="1"/>
  <c r="AY6" i="21" s="1"/>
  <c r="AZ6" i="21" s="1"/>
  <c r="BA6" i="21" s="1"/>
  <c r="AN6" i="21"/>
  <c r="AL6" i="21"/>
  <c r="R194" i="23"/>
  <c r="Q194" i="23"/>
  <c r="W197" i="23" s="1"/>
  <c r="Q192" i="23"/>
  <c r="Q191" i="23"/>
  <c r="Q190" i="23"/>
  <c r="Q188" i="23"/>
  <c r="Q187" i="23"/>
  <c r="Q186" i="23"/>
  <c r="Q185" i="23"/>
  <c r="Q184" i="23"/>
  <c r="T183" i="23"/>
  <c r="Q183" i="23"/>
  <c r="AB182" i="23"/>
  <c r="Q181" i="23"/>
  <c r="Q180" i="23"/>
  <c r="Q179" i="23"/>
  <c r="Q178" i="23"/>
  <c r="AB177" i="23"/>
  <c r="X176" i="23"/>
  <c r="X175" i="23"/>
  <c r="AF18"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AI19" i="21"/>
  <c r="F19" i="21"/>
  <c r="AJ19" i="21" s="1"/>
  <c r="Q10" i="1"/>
  <c r="L5" i="1"/>
  <c r="M5" i="1" s="1"/>
  <c r="J5" i="1"/>
  <c r="R5" i="1" s="1"/>
  <c r="I5" i="1"/>
  <c r="C5" i="1"/>
  <c r="AJ16" i="21"/>
  <c r="J10" i="1" l="1"/>
  <c r="S5" i="1"/>
  <c r="R10" i="1"/>
  <c r="O5" i="1"/>
  <c r="P5" i="1" s="1"/>
  <c r="Y191" i="23"/>
  <c r="Q196" i="23"/>
  <c r="AB183" i="23"/>
  <c r="T175" i="23"/>
  <c r="X180" i="23"/>
  <c r="X190" i="23"/>
  <c r="Y192" i="23"/>
  <c r="X192" i="23"/>
  <c r="X177" i="23"/>
  <c r="B267" i="22"/>
  <c r="B268" i="22"/>
  <c r="B269" i="22"/>
  <c r="B270" i="22"/>
  <c r="B271" i="22"/>
  <c r="B272" i="22"/>
  <c r="B273" i="22"/>
  <c r="B274" i="22"/>
  <c r="B275" i="22"/>
  <c r="B276" i="22"/>
  <c r="B277" i="22"/>
  <c r="B278" i="22"/>
  <c r="B279" i="22"/>
  <c r="B280" i="22"/>
  <c r="B281" i="22"/>
  <c r="B282" i="22"/>
  <c r="B283" i="22"/>
  <c r="B284" i="22"/>
  <c r="C284" i="22" s="1"/>
  <c r="B285" i="22"/>
  <c r="B286" i="22"/>
  <c r="B287" i="22"/>
  <c r="B288" i="22"/>
  <c r="B289" i="22"/>
  <c r="B290" i="22"/>
  <c r="B291" i="22"/>
  <c r="B292" i="22"/>
  <c r="B293" i="22"/>
  <c r="C293" i="22" s="1"/>
  <c r="B294" i="22"/>
  <c r="B295" i="22"/>
  <c r="B296" i="22"/>
  <c r="B297" i="22"/>
  <c r="B298" i="22"/>
  <c r="B299" i="22"/>
  <c r="B300" i="22"/>
  <c r="B301" i="22"/>
  <c r="B302" i="22"/>
  <c r="C302" i="22" s="1"/>
  <c r="B303" i="22"/>
  <c r="B304" i="22"/>
  <c r="B305" i="22"/>
  <c r="B306" i="22"/>
  <c r="B307" i="22"/>
  <c r="B308" i="22"/>
  <c r="B309" i="22"/>
  <c r="B310" i="22"/>
  <c r="B311" i="22"/>
  <c r="B312" i="22"/>
  <c r="B313" i="22"/>
  <c r="B314" i="22"/>
  <c r="B315" i="22"/>
  <c r="B316" i="22"/>
  <c r="B317" i="22"/>
  <c r="B318" i="22"/>
  <c r="B319" i="22"/>
  <c r="B320" i="22"/>
  <c r="C320" i="22" s="1"/>
  <c r="B321" i="22"/>
  <c r="B322" i="22"/>
  <c r="B323" i="22"/>
  <c r="B324" i="22"/>
  <c r="B325" i="22"/>
  <c r="B326" i="22"/>
  <c r="I326" i="22" s="1"/>
  <c r="B327" i="22"/>
  <c r="I327" i="22" s="1"/>
  <c r="B328" i="22"/>
  <c r="I328" i="22" s="1"/>
  <c r="C321" i="22" l="1"/>
  <c r="C322" i="22" s="1"/>
  <c r="C285" i="22"/>
  <c r="C286" i="22" s="1"/>
  <c r="C294" i="22"/>
  <c r="A297" i="22"/>
  <c r="I297" i="22"/>
  <c r="A307" i="22"/>
  <c r="I307" i="22"/>
  <c r="A296" i="22"/>
  <c r="I296" i="22"/>
  <c r="A286" i="22"/>
  <c r="I286" i="22"/>
  <c r="A318" i="22"/>
  <c r="I318" i="22"/>
  <c r="A306" i="22"/>
  <c r="I306" i="22"/>
  <c r="A295" i="22"/>
  <c r="I295" i="22"/>
  <c r="A275" i="22"/>
  <c r="I275" i="22"/>
  <c r="A305" i="22"/>
  <c r="I305" i="22"/>
  <c r="A285" i="22"/>
  <c r="I285" i="22"/>
  <c r="A274" i="22"/>
  <c r="I274" i="22"/>
  <c r="A316" i="22"/>
  <c r="I316" i="22"/>
  <c r="A304" i="22"/>
  <c r="I304" i="22"/>
  <c r="A273" i="22"/>
  <c r="I273" i="22"/>
  <c r="A327" i="22"/>
  <c r="A315" i="22"/>
  <c r="I315" i="22"/>
  <c r="A303" i="22"/>
  <c r="I303" i="22"/>
  <c r="A284" i="22"/>
  <c r="I284" i="22"/>
  <c r="A272" i="22"/>
  <c r="I272" i="22"/>
  <c r="A293" i="22"/>
  <c r="I293" i="22"/>
  <c r="A283" i="22"/>
  <c r="I283" i="22"/>
  <c r="A271" i="22"/>
  <c r="I271" i="22"/>
  <c r="A325" i="22"/>
  <c r="I325" i="22"/>
  <c r="A313" i="22"/>
  <c r="I313" i="22"/>
  <c r="A302" i="22"/>
  <c r="I302" i="22"/>
  <c r="A292" i="22"/>
  <c r="I292" i="22"/>
  <c r="A270" i="22"/>
  <c r="I270" i="22"/>
  <c r="A324" i="22"/>
  <c r="I324" i="22"/>
  <c r="A301" i="22"/>
  <c r="I301" i="22"/>
  <c r="A291" i="22"/>
  <c r="I291" i="22"/>
  <c r="A281" i="22"/>
  <c r="I281" i="22"/>
  <c r="A269" i="22"/>
  <c r="I269" i="22"/>
  <c r="A323" i="22"/>
  <c r="I323" i="22"/>
  <c r="A300" i="22"/>
  <c r="I300" i="22"/>
  <c r="A290" i="22"/>
  <c r="I290" i="22"/>
  <c r="A280" i="22"/>
  <c r="I280" i="22"/>
  <c r="A268" i="22"/>
  <c r="I268" i="22"/>
  <c r="A287" i="22"/>
  <c r="I287" i="22"/>
  <c r="A317" i="22"/>
  <c r="I317" i="22"/>
  <c r="A294" i="22"/>
  <c r="I294" i="22"/>
  <c r="A308" i="22"/>
  <c r="I308" i="22"/>
  <c r="A277" i="22"/>
  <c r="I277" i="22"/>
  <c r="A319" i="22"/>
  <c r="I319" i="22"/>
  <c r="A276" i="22"/>
  <c r="I276" i="22"/>
  <c r="A326" i="22"/>
  <c r="A314" i="22"/>
  <c r="I314" i="22"/>
  <c r="A282" i="22"/>
  <c r="I282" i="22"/>
  <c r="A312" i="22"/>
  <c r="I312" i="22"/>
  <c r="A322" i="22"/>
  <c r="I322" i="22"/>
  <c r="A310" i="22"/>
  <c r="I310" i="22"/>
  <c r="A299" i="22"/>
  <c r="I299" i="22"/>
  <c r="A289" i="22"/>
  <c r="I289" i="22"/>
  <c r="A279" i="22"/>
  <c r="I279" i="22"/>
  <c r="A267" i="22"/>
  <c r="I267" i="22"/>
  <c r="A321" i="22"/>
  <c r="I321" i="22"/>
  <c r="A309" i="22"/>
  <c r="I309" i="22"/>
  <c r="A298" i="22"/>
  <c r="I298" i="22"/>
  <c r="A288" i="22"/>
  <c r="I288" i="22"/>
  <c r="A278" i="22"/>
  <c r="I278" i="22"/>
  <c r="A311" i="22"/>
  <c r="I311" i="22"/>
  <c r="A320" i="22"/>
  <c r="I320" i="22"/>
  <c r="A328" i="22"/>
  <c r="T186" i="23"/>
  <c r="U175" i="23"/>
  <c r="C323" i="22"/>
  <c r="C324" i="22" s="1"/>
  <c r="C325" i="22" s="1"/>
  <c r="C326" i="22" s="1"/>
  <c r="C327" i="22" s="1"/>
  <c r="C328" i="22" s="1"/>
  <c r="C311" i="22"/>
  <c r="C312" i="22" s="1"/>
  <c r="C313" i="22" s="1"/>
  <c r="C314" i="22" s="1"/>
  <c r="C315" i="22" s="1"/>
  <c r="C316" i="22" s="1"/>
  <c r="C317" i="22" s="1"/>
  <c r="C318" i="22" s="1"/>
  <c r="C319" i="22" s="1"/>
  <c r="C303" i="22"/>
  <c r="C304" i="22" s="1"/>
  <c r="C305" i="22" s="1"/>
  <c r="C306" i="22" s="1"/>
  <c r="C307" i="22" s="1"/>
  <c r="C308" i="22" s="1"/>
  <c r="C309" i="22" s="1"/>
  <c r="C310" i="22" s="1"/>
  <c r="C295" i="22"/>
  <c r="C296" i="22" s="1"/>
  <c r="C297" i="22" s="1"/>
  <c r="C298" i="22" s="1"/>
  <c r="C299" i="22" s="1"/>
  <c r="C300" i="22" s="1"/>
  <c r="C301" i="22" s="1"/>
  <c r="C287" i="22"/>
  <c r="C288" i="22" s="1"/>
  <c r="C289" i="22" s="1"/>
  <c r="C290" i="22" s="1"/>
  <c r="C291" i="22" s="1"/>
  <c r="C292" i="22" s="1"/>
  <c r="C275" i="22"/>
  <c r="C276" i="22" s="1"/>
  <c r="C277" i="22" s="1"/>
  <c r="C278" i="22" s="1"/>
  <c r="C279" i="22" s="1"/>
  <c r="C280" i="22" s="1"/>
  <c r="C281" i="22" s="1"/>
  <c r="C282" i="22" s="1"/>
  <c r="C283" i="22" s="1"/>
  <c r="Y31" i="21"/>
  <c r="Z31" i="21"/>
  <c r="AA31" i="21"/>
  <c r="R165" i="23" l="1"/>
  <c r="Q165" i="23"/>
  <c r="Q162" i="23"/>
  <c r="Q161" i="23"/>
  <c r="Q159" i="23"/>
  <c r="Q158" i="23"/>
  <c r="Q157" i="23"/>
  <c r="Q156" i="23"/>
  <c r="Q155" i="23"/>
  <c r="T154" i="23"/>
  <c r="Q154" i="23"/>
  <c r="AB153" i="23"/>
  <c r="Q152" i="23"/>
  <c r="AB181" i="23" s="1"/>
  <c r="Q151" i="23"/>
  <c r="Q150" i="23"/>
  <c r="Q149" i="23"/>
  <c r="AB148" i="23"/>
  <c r="X147" i="23"/>
  <c r="Y176" i="23" s="1"/>
  <c r="X146" i="23"/>
  <c r="AC20" i="21"/>
  <c r="B236" i="22"/>
  <c r="B237" i="22"/>
  <c r="B238" i="22"/>
  <c r="C238" i="22" s="1"/>
  <c r="B239" i="22"/>
  <c r="B240" i="22"/>
  <c r="B241" i="22"/>
  <c r="B242" i="22"/>
  <c r="B243" i="22"/>
  <c r="B244" i="22"/>
  <c r="B245" i="22"/>
  <c r="B246" i="22"/>
  <c r="B247" i="22"/>
  <c r="C247" i="22" s="1"/>
  <c r="B248" i="22"/>
  <c r="B249" i="22"/>
  <c r="B250" i="22"/>
  <c r="B251" i="22"/>
  <c r="B252" i="22"/>
  <c r="B253" i="22"/>
  <c r="B254" i="22"/>
  <c r="B255" i="22"/>
  <c r="B256" i="22"/>
  <c r="B257" i="22"/>
  <c r="C257" i="22" s="1"/>
  <c r="B258" i="22"/>
  <c r="B259" i="22"/>
  <c r="B260" i="22"/>
  <c r="B261" i="22"/>
  <c r="B262" i="22"/>
  <c r="B263" i="22"/>
  <c r="B264" i="22"/>
  <c r="B265" i="22"/>
  <c r="B266" i="22"/>
  <c r="C239" i="22" l="1"/>
  <c r="A259" i="22"/>
  <c r="I259" i="22"/>
  <c r="A248" i="22"/>
  <c r="I248" i="22"/>
  <c r="A247" i="22"/>
  <c r="I247" i="22"/>
  <c r="A246" i="22"/>
  <c r="I246" i="22"/>
  <c r="A256" i="22"/>
  <c r="I256" i="22"/>
  <c r="A244" i="22"/>
  <c r="I244" i="22"/>
  <c r="A243" i="22"/>
  <c r="A242" i="22"/>
  <c r="I242" i="22"/>
  <c r="A263" i="22"/>
  <c r="I263" i="22"/>
  <c r="A262" i="22"/>
  <c r="I262" i="22"/>
  <c r="A251" i="22"/>
  <c r="I251" i="22"/>
  <c r="A240" i="22"/>
  <c r="I240" i="22"/>
  <c r="A257" i="22"/>
  <c r="I257" i="22"/>
  <c r="A245" i="22"/>
  <c r="I245" i="22"/>
  <c r="A255" i="22"/>
  <c r="I255" i="22"/>
  <c r="A254" i="22"/>
  <c r="I254" i="22"/>
  <c r="A253" i="22"/>
  <c r="I253" i="22"/>
  <c r="A241" i="22"/>
  <c r="I241" i="22"/>
  <c r="A261" i="22"/>
  <c r="I261" i="22"/>
  <c r="A250" i="22"/>
  <c r="I250" i="22"/>
  <c r="A258" i="22"/>
  <c r="I258" i="22"/>
  <c r="A238" i="22"/>
  <c r="I238" i="22"/>
  <c r="A237" i="22"/>
  <c r="I237" i="22"/>
  <c r="A236" i="22"/>
  <c r="I236" i="22"/>
  <c r="A266" i="22"/>
  <c r="I266" i="22"/>
  <c r="A265" i="22"/>
  <c r="I265" i="22"/>
  <c r="A264" i="22"/>
  <c r="I264" i="22"/>
  <c r="A252" i="22"/>
  <c r="I252" i="22"/>
  <c r="A260" i="22"/>
  <c r="I260" i="22"/>
  <c r="A249" i="22"/>
  <c r="I249" i="22"/>
  <c r="A239" i="22"/>
  <c r="I239" i="22"/>
  <c r="C258" i="22"/>
  <c r="C259" i="22" s="1"/>
  <c r="C260" i="22" s="1"/>
  <c r="C261" i="22" s="1"/>
  <c r="C262" i="22" s="1"/>
  <c r="C263" i="22" s="1"/>
  <c r="C264" i="22" s="1"/>
  <c r="C265" i="22" s="1"/>
  <c r="C266" i="22" s="1"/>
  <c r="C267" i="22" s="1"/>
  <c r="C268" i="22" s="1"/>
  <c r="C269" i="22" s="1"/>
  <c r="C270" i="22" s="1"/>
  <c r="C271" i="22" s="1"/>
  <c r="C272" i="22" s="1"/>
  <c r="C273" i="22" s="1"/>
  <c r="C274" i="22" s="1"/>
  <c r="Q163" i="23"/>
  <c r="Q167" i="23" s="1"/>
  <c r="X148" i="23"/>
  <c r="Y147" i="23"/>
  <c r="W168" i="23"/>
  <c r="AB152" i="23"/>
  <c r="T146" i="23"/>
  <c r="X151" i="23"/>
  <c r="X161" i="23"/>
  <c r="Y162" i="23"/>
  <c r="AB154" i="23"/>
  <c r="X163" i="23"/>
  <c r="Y163" i="23"/>
  <c r="C248" i="22"/>
  <c r="C249" i="22" s="1"/>
  <c r="C250" i="22" s="1"/>
  <c r="C251" i="22" s="1"/>
  <c r="C252" i="22" s="1"/>
  <c r="C253" i="22" s="1"/>
  <c r="C254" i="22" s="1"/>
  <c r="C255" i="22" s="1"/>
  <c r="C256" i="22" s="1"/>
  <c r="C240" i="22"/>
  <c r="C241" i="22" s="1"/>
  <c r="C242" i="22" s="1"/>
  <c r="C243" i="22" s="1"/>
  <c r="C244" i="22" s="1"/>
  <c r="C245" i="22" s="1"/>
  <c r="C246" i="22" s="1"/>
  <c r="Z31" i="24"/>
  <c r="Y31" i="24"/>
  <c r="R136" i="23"/>
  <c r="Q136" i="23"/>
  <c r="Y134" i="23" s="1"/>
  <c r="P134" i="23"/>
  <c r="O134" i="23"/>
  <c r="N134" i="23"/>
  <c r="M134" i="23"/>
  <c r="Q133" i="23"/>
  <c r="Q132" i="23"/>
  <c r="Q130" i="23"/>
  <c r="Q129" i="23"/>
  <c r="Q128" i="23"/>
  <c r="Q127" i="23"/>
  <c r="Q126" i="23"/>
  <c r="T125" i="23"/>
  <c r="Q125" i="23"/>
  <c r="AB124" i="23"/>
  <c r="P123" i="23"/>
  <c r="O123" i="23"/>
  <c r="N123" i="23"/>
  <c r="Q123" i="23" s="1"/>
  <c r="M123" i="23"/>
  <c r="Q122" i="23"/>
  <c r="Q121" i="23"/>
  <c r="Q120" i="23"/>
  <c r="AB119" i="23"/>
  <c r="X118" i="23"/>
  <c r="X117" i="23"/>
  <c r="T16" i="21"/>
  <c r="T12" i="21"/>
  <c r="T157" i="23" l="1"/>
  <c r="U146" i="23"/>
  <c r="W139" i="23"/>
  <c r="Q134" i="23"/>
  <c r="X122" i="23"/>
  <c r="X132" i="23"/>
  <c r="T117" i="23"/>
  <c r="AB123" i="23"/>
  <c r="Y133" i="23"/>
  <c r="Q138" i="23"/>
  <c r="AB125" i="23"/>
  <c r="Y118" i="23"/>
  <c r="X119" i="23"/>
  <c r="X134" i="23"/>
  <c r="CL113" i="21"/>
  <c r="R107" i="23"/>
  <c r="Q107" i="23"/>
  <c r="Y105" i="23" s="1"/>
  <c r="P105" i="23"/>
  <c r="O105" i="23"/>
  <c r="N105" i="23"/>
  <c r="M105" i="23"/>
  <c r="Q104" i="23"/>
  <c r="Q103" i="23"/>
  <c r="Q101" i="23"/>
  <c r="Q100" i="23"/>
  <c r="Q99" i="23"/>
  <c r="Q98" i="23"/>
  <c r="Q97" i="23"/>
  <c r="T96" i="23"/>
  <c r="Q96" i="23"/>
  <c r="P94" i="23"/>
  <c r="O94" i="23"/>
  <c r="N94" i="23"/>
  <c r="M94" i="23"/>
  <c r="Q93" i="23"/>
  <c r="Q92" i="23"/>
  <c r="Q91" i="23"/>
  <c r="AB90" i="23"/>
  <c r="X89" i="23"/>
  <c r="O15" i="21"/>
  <c r="M12" i="21"/>
  <c r="B76" i="22"/>
  <c r="C76" i="22" s="1"/>
  <c r="B77" i="22"/>
  <c r="A77" i="22" s="1"/>
  <c r="B78" i="22"/>
  <c r="A78" i="22" s="1"/>
  <c r="B79" i="22"/>
  <c r="A79" i="22" s="1"/>
  <c r="B80" i="22"/>
  <c r="B81" i="22"/>
  <c r="A81" i="22" s="1"/>
  <c r="B82" i="22"/>
  <c r="A82" i="22" s="1"/>
  <c r="B83" i="22"/>
  <c r="A83" i="22" s="1"/>
  <c r="B84" i="22"/>
  <c r="A84" i="22" s="1"/>
  <c r="B85" i="22"/>
  <c r="A85" i="22" s="1"/>
  <c r="B86" i="22"/>
  <c r="A86" i="22" s="1"/>
  <c r="B87" i="22"/>
  <c r="A87" i="22" s="1"/>
  <c r="B88" i="22"/>
  <c r="I88" i="22" s="1"/>
  <c r="B89" i="22"/>
  <c r="A89" i="22" s="1"/>
  <c r="B90" i="22"/>
  <c r="A90" i="22" s="1"/>
  <c r="B91" i="22"/>
  <c r="A91" i="22" s="1"/>
  <c r="B92" i="22"/>
  <c r="I92" i="22" s="1"/>
  <c r="B93" i="22"/>
  <c r="A93" i="22" s="1"/>
  <c r="B94" i="22"/>
  <c r="A94" i="22" s="1"/>
  <c r="B95" i="22"/>
  <c r="C95" i="22" s="1"/>
  <c r="B96" i="22"/>
  <c r="I96" i="22" s="1"/>
  <c r="B97" i="22"/>
  <c r="A97" i="22" s="1"/>
  <c r="B98" i="22"/>
  <c r="A98" i="22" s="1"/>
  <c r="B99" i="22"/>
  <c r="A99" i="22" s="1"/>
  <c r="B100" i="22"/>
  <c r="A100" i="22" s="1"/>
  <c r="B101" i="22"/>
  <c r="A101" i="22" s="1"/>
  <c r="B102" i="22"/>
  <c r="A102" i="22" s="1"/>
  <c r="B103" i="22"/>
  <c r="A103" i="22" s="1"/>
  <c r="B104" i="22"/>
  <c r="C104" i="22" s="1"/>
  <c r="B105" i="22"/>
  <c r="A105" i="22" s="1"/>
  <c r="B106" i="22"/>
  <c r="A106" i="22" s="1"/>
  <c r="B107" i="22"/>
  <c r="A107" i="22" s="1"/>
  <c r="B108" i="22"/>
  <c r="A108" i="22" s="1"/>
  <c r="B109" i="22"/>
  <c r="A109" i="22" s="1"/>
  <c r="B110" i="22"/>
  <c r="A110" i="22" s="1"/>
  <c r="B111" i="22"/>
  <c r="A111" i="22" s="1"/>
  <c r="B112" i="22"/>
  <c r="A112" i="22" s="1"/>
  <c r="B113" i="22"/>
  <c r="A113" i="22" s="1"/>
  <c r="B114" i="22"/>
  <c r="A114" i="22" s="1"/>
  <c r="B115" i="22"/>
  <c r="A115" i="22" s="1"/>
  <c r="B116" i="22"/>
  <c r="I116" i="22" s="1"/>
  <c r="B117" i="22"/>
  <c r="A117" i="22" s="1"/>
  <c r="B118" i="22"/>
  <c r="A118" i="22" s="1"/>
  <c r="B119" i="22"/>
  <c r="A119" i="22" s="1"/>
  <c r="B120" i="22"/>
  <c r="I120" i="22" s="1"/>
  <c r="B121" i="22"/>
  <c r="A121" i="22" s="1"/>
  <c r="B122" i="22"/>
  <c r="A122" i="22" s="1"/>
  <c r="B123" i="22"/>
  <c r="I123" i="22" s="1"/>
  <c r="B124" i="22"/>
  <c r="I124" i="22" s="1"/>
  <c r="B125" i="22"/>
  <c r="A125" i="22" s="1"/>
  <c r="B126" i="22"/>
  <c r="A126" i="22" s="1"/>
  <c r="B127" i="22"/>
  <c r="A127" i="22" s="1"/>
  <c r="B128" i="22"/>
  <c r="A128" i="22" s="1"/>
  <c r="B129" i="22"/>
  <c r="A129" i="22" s="1"/>
  <c r="B130" i="22"/>
  <c r="A130" i="22" s="1"/>
  <c r="B131" i="22"/>
  <c r="A131" i="22" s="1"/>
  <c r="B132" i="22"/>
  <c r="A132" i="22" s="1"/>
  <c r="B133" i="22"/>
  <c r="A133" i="22" s="1"/>
  <c r="B134" i="22"/>
  <c r="A134" i="22" s="1"/>
  <c r="B135" i="22"/>
  <c r="B136" i="22"/>
  <c r="I136" i="22" s="1"/>
  <c r="B137" i="22"/>
  <c r="B138" i="22"/>
  <c r="B139" i="22"/>
  <c r="B140" i="22"/>
  <c r="B141" i="22"/>
  <c r="B142" i="22"/>
  <c r="B143" i="22"/>
  <c r="I143" i="22" s="1"/>
  <c r="B144" i="22"/>
  <c r="B145" i="22"/>
  <c r="B146" i="22"/>
  <c r="B147" i="22"/>
  <c r="B148" i="22"/>
  <c r="I148" i="22" s="1"/>
  <c r="B149" i="22"/>
  <c r="B150" i="22"/>
  <c r="B151" i="22"/>
  <c r="B152" i="22"/>
  <c r="B153" i="22"/>
  <c r="B154" i="22"/>
  <c r="B155" i="22"/>
  <c r="B156" i="22"/>
  <c r="I156" i="22" s="1"/>
  <c r="B157" i="22"/>
  <c r="B158" i="22"/>
  <c r="B159" i="22"/>
  <c r="B160" i="22"/>
  <c r="I160" i="22" s="1"/>
  <c r="B161" i="22"/>
  <c r="B162" i="22"/>
  <c r="B163" i="22"/>
  <c r="B164" i="22"/>
  <c r="B165" i="22"/>
  <c r="B166" i="22"/>
  <c r="B167" i="22"/>
  <c r="B168" i="22"/>
  <c r="B169" i="22"/>
  <c r="B170" i="22"/>
  <c r="B171" i="22"/>
  <c r="B172" i="22"/>
  <c r="I172" i="22" s="1"/>
  <c r="B173" i="22"/>
  <c r="B174" i="22"/>
  <c r="B175" i="22"/>
  <c r="B176" i="22"/>
  <c r="B177" i="22"/>
  <c r="B178" i="22"/>
  <c r="B179" i="22"/>
  <c r="B180" i="22"/>
  <c r="B181" i="22"/>
  <c r="B182" i="22"/>
  <c r="B183" i="22"/>
  <c r="B184" i="22"/>
  <c r="I184" i="22" s="1"/>
  <c r="B185" i="22"/>
  <c r="B186" i="22"/>
  <c r="B187" i="22"/>
  <c r="B188" i="22"/>
  <c r="B189" i="22"/>
  <c r="B190" i="22"/>
  <c r="B191" i="22"/>
  <c r="I191" i="22" s="1"/>
  <c r="B192" i="22"/>
  <c r="I192" i="22" s="1"/>
  <c r="B193" i="22"/>
  <c r="B194" i="22"/>
  <c r="B195" i="22"/>
  <c r="B196" i="22"/>
  <c r="I196" i="22" s="1"/>
  <c r="B197" i="22"/>
  <c r="B198" i="22"/>
  <c r="B199" i="22"/>
  <c r="B200" i="22"/>
  <c r="B201" i="22"/>
  <c r="B202" i="22"/>
  <c r="B203" i="22"/>
  <c r="B204" i="22"/>
  <c r="B205" i="22"/>
  <c r="B206" i="22"/>
  <c r="B207" i="22"/>
  <c r="B208" i="22"/>
  <c r="I208" i="22" s="1"/>
  <c r="B209" i="22"/>
  <c r="B210" i="22"/>
  <c r="B211" i="22"/>
  <c r="B212" i="22"/>
  <c r="I212" i="22" s="1"/>
  <c r="B213" i="22"/>
  <c r="B214" i="22"/>
  <c r="B215" i="22"/>
  <c r="B216" i="22"/>
  <c r="I216" i="22" s="1"/>
  <c r="B217" i="22"/>
  <c r="B218" i="22"/>
  <c r="B219" i="22"/>
  <c r="B220" i="22"/>
  <c r="I220" i="22" s="1"/>
  <c r="B221" i="22"/>
  <c r="B222" i="22"/>
  <c r="B223" i="22"/>
  <c r="B224" i="22"/>
  <c r="B225" i="22"/>
  <c r="B226" i="22"/>
  <c r="B227" i="22"/>
  <c r="B228" i="22"/>
  <c r="I228" i="22" s="1"/>
  <c r="B229" i="22"/>
  <c r="B230" i="22"/>
  <c r="B231" i="22"/>
  <c r="B232" i="22"/>
  <c r="I232" i="22" s="1"/>
  <c r="B233" i="22"/>
  <c r="B234" i="22"/>
  <c r="B235" i="22"/>
  <c r="V6" i="22"/>
  <c r="U6" i="22"/>
  <c r="X6" i="22"/>
  <c r="W6" i="22"/>
  <c r="A88" i="22" l="1"/>
  <c r="I100" i="22"/>
  <c r="I99" i="22"/>
  <c r="I98" i="22"/>
  <c r="I87" i="22"/>
  <c r="I86" i="22"/>
  <c r="C85" i="22"/>
  <c r="C86" i="22" s="1"/>
  <c r="C87" i="22" s="1"/>
  <c r="I85" i="22"/>
  <c r="I76" i="22"/>
  <c r="I84" i="22"/>
  <c r="I112" i="22"/>
  <c r="I83" i="22"/>
  <c r="I111" i="22"/>
  <c r="I82" i="22"/>
  <c r="I110" i="22"/>
  <c r="I109" i="22"/>
  <c r="I108" i="22"/>
  <c r="A158" i="22"/>
  <c r="I158" i="22"/>
  <c r="I107" i="22"/>
  <c r="A217" i="22"/>
  <c r="I217" i="22"/>
  <c r="A193" i="22"/>
  <c r="I193" i="22"/>
  <c r="A169" i="22"/>
  <c r="I169" i="22"/>
  <c r="A145" i="22"/>
  <c r="I145" i="22"/>
  <c r="A92" i="22"/>
  <c r="A180" i="22"/>
  <c r="I180" i="22"/>
  <c r="A168" i="22"/>
  <c r="I168" i="22"/>
  <c r="A144" i="22"/>
  <c r="I144" i="22"/>
  <c r="A76" i="22"/>
  <c r="I105" i="22"/>
  <c r="I91" i="22"/>
  <c r="I78" i="22"/>
  <c r="A213" i="22"/>
  <c r="I213" i="22"/>
  <c r="A189" i="22"/>
  <c r="I189" i="22"/>
  <c r="A165" i="22"/>
  <c r="I165" i="22"/>
  <c r="A153" i="22"/>
  <c r="I153" i="22"/>
  <c r="A141" i="22"/>
  <c r="I141" i="22"/>
  <c r="A188" i="22"/>
  <c r="I188" i="22"/>
  <c r="A164" i="22"/>
  <c r="I164" i="22"/>
  <c r="A140" i="22"/>
  <c r="I140" i="22"/>
  <c r="A223" i="22"/>
  <c r="I223" i="22"/>
  <c r="A199" i="22"/>
  <c r="I199" i="22"/>
  <c r="A175" i="22"/>
  <c r="I175" i="22"/>
  <c r="A151" i="22"/>
  <c r="I151" i="22"/>
  <c r="A139" i="22"/>
  <c r="I139" i="22"/>
  <c r="A234" i="22"/>
  <c r="I234" i="22"/>
  <c r="A210" i="22"/>
  <c r="I210" i="22"/>
  <c r="A186" i="22"/>
  <c r="I186" i="22"/>
  <c r="A162" i="22"/>
  <c r="I162" i="22"/>
  <c r="A138" i="22"/>
  <c r="I138" i="22"/>
  <c r="A221" i="22"/>
  <c r="I221" i="22"/>
  <c r="A185" i="22"/>
  <c r="I185" i="22"/>
  <c r="A161" i="22"/>
  <c r="I161" i="22"/>
  <c r="A219" i="22"/>
  <c r="I219" i="22"/>
  <c r="A183" i="22"/>
  <c r="I183" i="22"/>
  <c r="A159" i="22"/>
  <c r="I159" i="22"/>
  <c r="A147" i="22"/>
  <c r="I147" i="22"/>
  <c r="A135" i="22"/>
  <c r="I135" i="22"/>
  <c r="A218" i="22"/>
  <c r="I218" i="22"/>
  <c r="A206" i="22"/>
  <c r="I206" i="22"/>
  <c r="A182" i="22"/>
  <c r="I182" i="22"/>
  <c r="A146" i="22"/>
  <c r="I146" i="22"/>
  <c r="I93" i="22"/>
  <c r="A205" i="22"/>
  <c r="I205" i="22"/>
  <c r="A181" i="22"/>
  <c r="I181" i="22"/>
  <c r="A157" i="22"/>
  <c r="I157" i="22"/>
  <c r="C77" i="22"/>
  <c r="C78" i="22" s="1"/>
  <c r="C79" i="22" s="1"/>
  <c r="C80" i="22" s="1"/>
  <c r="C81" i="22" s="1"/>
  <c r="C82" i="22" s="1"/>
  <c r="C83" i="22" s="1"/>
  <c r="C84" i="22" s="1"/>
  <c r="I106" i="22"/>
  <c r="I79" i="22"/>
  <c r="A204" i="22"/>
  <c r="I204" i="22"/>
  <c r="A227" i="22"/>
  <c r="I227" i="22"/>
  <c r="A203" i="22"/>
  <c r="I203" i="22"/>
  <c r="A179" i="22"/>
  <c r="I179" i="22"/>
  <c r="A167" i="22"/>
  <c r="I167" i="22"/>
  <c r="A155" i="22"/>
  <c r="I155" i="22"/>
  <c r="I104" i="22"/>
  <c r="I90" i="22"/>
  <c r="A225" i="22"/>
  <c r="I225" i="22"/>
  <c r="A201" i="22"/>
  <c r="I201" i="22"/>
  <c r="A177" i="22"/>
  <c r="I177" i="22"/>
  <c r="A224" i="22"/>
  <c r="I224" i="22"/>
  <c r="A200" i="22"/>
  <c r="I200" i="22"/>
  <c r="A176" i="22"/>
  <c r="I176" i="22"/>
  <c r="A152" i="22"/>
  <c r="I152" i="22"/>
  <c r="A235" i="22"/>
  <c r="I235" i="22"/>
  <c r="A211" i="22"/>
  <c r="I211" i="22"/>
  <c r="A187" i="22"/>
  <c r="I187" i="22"/>
  <c r="A163" i="22"/>
  <c r="I163" i="22"/>
  <c r="A222" i="22"/>
  <c r="I222" i="22"/>
  <c r="A198" i="22"/>
  <c r="I198" i="22"/>
  <c r="A174" i="22"/>
  <c r="I174" i="22"/>
  <c r="A150" i="22"/>
  <c r="I150" i="22"/>
  <c r="A96" i="22"/>
  <c r="A80" i="22"/>
  <c r="A233" i="22"/>
  <c r="I233" i="22"/>
  <c r="A209" i="22"/>
  <c r="I209" i="22"/>
  <c r="A197" i="22"/>
  <c r="I197" i="22"/>
  <c r="A173" i="22"/>
  <c r="I173" i="22"/>
  <c r="A149" i="22"/>
  <c r="I149" i="22"/>
  <c r="A137" i="22"/>
  <c r="I137" i="22"/>
  <c r="C105" i="22"/>
  <c r="C106" i="22" s="1"/>
  <c r="C107" i="22" s="1"/>
  <c r="C108" i="22" s="1"/>
  <c r="C109" i="22" s="1"/>
  <c r="C110" i="22" s="1"/>
  <c r="C111" i="22" s="1"/>
  <c r="C112" i="22" s="1"/>
  <c r="C113" i="22" s="1"/>
  <c r="C114" i="22" s="1"/>
  <c r="C115" i="22" s="1"/>
  <c r="C116" i="22" s="1"/>
  <c r="C117" i="22" s="1"/>
  <c r="C118" i="22" s="1"/>
  <c r="C119" i="22" s="1"/>
  <c r="C120" i="22" s="1"/>
  <c r="C121" i="22" s="1"/>
  <c r="C122" i="22" s="1"/>
  <c r="C123" i="22" s="1"/>
  <c r="C124" i="22" s="1"/>
  <c r="C125" i="22" s="1"/>
  <c r="C126" i="22" s="1"/>
  <c r="C127" i="22" s="1"/>
  <c r="C128" i="22" s="1"/>
  <c r="C129" i="22" s="1"/>
  <c r="C130" i="22" s="1"/>
  <c r="C131" i="22" s="1"/>
  <c r="C132" i="22" s="1"/>
  <c r="C133" i="22" s="1"/>
  <c r="C134" i="22" s="1"/>
  <c r="C135" i="22" s="1"/>
  <c r="C136" i="22" s="1"/>
  <c r="C137" i="22" s="1"/>
  <c r="C138" i="22" s="1"/>
  <c r="C139" i="22" s="1"/>
  <c r="C140" i="22" s="1"/>
  <c r="C141" i="22" s="1"/>
  <c r="C142" i="22" s="1"/>
  <c r="C143" i="22" s="1"/>
  <c r="C144" i="22" s="1"/>
  <c r="C145" i="22" s="1"/>
  <c r="C146" i="22" s="1"/>
  <c r="C147" i="22" s="1"/>
  <c r="C148" i="22" s="1"/>
  <c r="C149" i="22" s="1"/>
  <c r="C150" i="22" s="1"/>
  <c r="C151" i="22" s="1"/>
  <c r="C152" i="22" s="1"/>
  <c r="C153" i="22" s="1"/>
  <c r="C154" i="22" s="1"/>
  <c r="C155" i="22" s="1"/>
  <c r="C156" i="22" s="1"/>
  <c r="C157" i="22" s="1"/>
  <c r="C158" i="22" s="1"/>
  <c r="C159" i="22" s="1"/>
  <c r="C160" i="22" s="1"/>
  <c r="C161" i="22" s="1"/>
  <c r="C162" i="22" s="1"/>
  <c r="C163" i="22" s="1"/>
  <c r="C164" i="22" s="1"/>
  <c r="C165" i="22" s="1"/>
  <c r="C166" i="22" s="1"/>
  <c r="C167" i="22" s="1"/>
  <c r="C168" i="22" s="1"/>
  <c r="C169" i="22" s="1"/>
  <c r="C170" i="22" s="1"/>
  <c r="C171" i="22" s="1"/>
  <c r="C172" i="22" s="1"/>
  <c r="C173" i="22" s="1"/>
  <c r="C174" i="22" s="1"/>
  <c r="C175" i="22" s="1"/>
  <c r="C176" i="22" s="1"/>
  <c r="C177" i="22" s="1"/>
  <c r="C178" i="22" s="1"/>
  <c r="C179" i="22" s="1"/>
  <c r="C180" i="22" s="1"/>
  <c r="C181" i="22" s="1"/>
  <c r="C182" i="22" s="1"/>
  <c r="C183" i="22" s="1"/>
  <c r="C184" i="22" s="1"/>
  <c r="I97" i="22"/>
  <c r="A104" i="22"/>
  <c r="A231" i="22"/>
  <c r="I231" i="22"/>
  <c r="A207" i="22"/>
  <c r="I207" i="22"/>
  <c r="A195" i="22"/>
  <c r="I195" i="22"/>
  <c r="A171" i="22"/>
  <c r="I171" i="22"/>
  <c r="I95" i="22"/>
  <c r="A230" i="22"/>
  <c r="I230" i="22"/>
  <c r="A194" i="22"/>
  <c r="I194" i="22"/>
  <c r="A170" i="22"/>
  <c r="I170" i="22"/>
  <c r="I80" i="22"/>
  <c r="A229" i="22"/>
  <c r="I229" i="22"/>
  <c r="A215" i="22"/>
  <c r="I215" i="22"/>
  <c r="A226" i="22"/>
  <c r="I226" i="22"/>
  <c r="A214" i="22"/>
  <c r="I214" i="22"/>
  <c r="A202" i="22"/>
  <c r="I202" i="22"/>
  <c r="A190" i="22"/>
  <c r="I190" i="22"/>
  <c r="A178" i="22"/>
  <c r="I178" i="22"/>
  <c r="A166" i="22"/>
  <c r="I166" i="22"/>
  <c r="A154" i="22"/>
  <c r="I154" i="22"/>
  <c r="A142" i="22"/>
  <c r="I142" i="22"/>
  <c r="I102" i="22"/>
  <c r="I89" i="22"/>
  <c r="I77" i="22"/>
  <c r="I101" i="22"/>
  <c r="A232" i="22"/>
  <c r="A212" i="22"/>
  <c r="A220" i="22"/>
  <c r="A228" i="22"/>
  <c r="A216" i="22"/>
  <c r="U117" i="23"/>
  <c r="T128" i="23"/>
  <c r="A184" i="22"/>
  <c r="A148" i="22"/>
  <c r="I131" i="22"/>
  <c r="A123" i="22"/>
  <c r="I133" i="22"/>
  <c r="I130" i="22"/>
  <c r="I134" i="22"/>
  <c r="A196" i="22"/>
  <c r="I132" i="22"/>
  <c r="I121" i="22"/>
  <c r="I122" i="22"/>
  <c r="A192" i="22"/>
  <c r="A156" i="22"/>
  <c r="A116" i="22"/>
  <c r="I128" i="22"/>
  <c r="A120" i="22"/>
  <c r="A172" i="22"/>
  <c r="I129" i="22"/>
  <c r="I117" i="22"/>
  <c r="A124" i="22"/>
  <c r="A160" i="22"/>
  <c r="I127" i="22"/>
  <c r="I115" i="22"/>
  <c r="I126" i="22"/>
  <c r="I114" i="22"/>
  <c r="I125" i="22"/>
  <c r="I113" i="22"/>
  <c r="A136" i="22"/>
  <c r="I119" i="22"/>
  <c r="A208" i="22"/>
  <c r="I118" i="22"/>
  <c r="Q105" i="23"/>
  <c r="Q94" i="23"/>
  <c r="W110" i="23"/>
  <c r="X93" i="23"/>
  <c r="T88" i="23"/>
  <c r="X103" i="23"/>
  <c r="Y104" i="23"/>
  <c r="Q109" i="23"/>
  <c r="X105" i="23"/>
  <c r="I103" i="22"/>
  <c r="I94" i="22"/>
  <c r="A143" i="22"/>
  <c r="A95" i="22"/>
  <c r="C96" i="22"/>
  <c r="C97" i="22" s="1"/>
  <c r="C98" i="22" s="1"/>
  <c r="C99" i="22" s="1"/>
  <c r="C100" i="22" s="1"/>
  <c r="C101" i="22" s="1"/>
  <c r="C102" i="22" s="1"/>
  <c r="C103" i="22" s="1"/>
  <c r="A191" i="22"/>
  <c r="C88" i="22"/>
  <c r="C89" i="22" s="1"/>
  <c r="C90" i="22" s="1"/>
  <c r="C91" i="22" s="1"/>
  <c r="C92" i="22" s="1"/>
  <c r="C93" i="22" s="1"/>
  <c r="C94" i="22" s="1"/>
  <c r="AT31" i="21"/>
  <c r="AT32" i="21" s="1"/>
  <c r="AU31" i="21"/>
  <c r="AU32" i="21" s="1"/>
  <c r="AV31" i="21"/>
  <c r="AV32" i="21" s="1"/>
  <c r="AW31" i="21"/>
  <c r="AW32" i="21" s="1"/>
  <c r="AX31" i="21"/>
  <c r="AX32" i="21" s="1"/>
  <c r="AY31" i="21"/>
  <c r="AY32" i="21" s="1"/>
  <c r="AT33" i="21"/>
  <c r="AU33" i="21"/>
  <c r="AV33" i="21"/>
  <c r="AW33" i="21"/>
  <c r="AX33" i="21"/>
  <c r="AY33" i="21"/>
  <c r="AT34" i="21"/>
  <c r="AU34" i="21"/>
  <c r="AV34" i="21"/>
  <c r="AW34" i="21"/>
  <c r="AX34" i="21"/>
  <c r="AY34" i="21"/>
  <c r="AT35" i="21"/>
  <c r="AU35" i="21"/>
  <c r="AV35" i="21"/>
  <c r="AW35" i="21"/>
  <c r="AX35" i="21"/>
  <c r="AY35" i="21"/>
  <c r="AT36" i="21"/>
  <c r="AU36" i="21"/>
  <c r="AV36" i="21"/>
  <c r="AW36" i="21"/>
  <c r="AX36" i="21"/>
  <c r="AY36" i="21"/>
  <c r="AT37" i="21"/>
  <c r="AU37" i="21"/>
  <c r="AV37" i="21"/>
  <c r="AW37" i="21"/>
  <c r="AX37" i="21"/>
  <c r="AY37" i="21"/>
  <c r="AT38" i="21"/>
  <c r="AU38" i="21"/>
  <c r="AV38" i="21"/>
  <c r="AW38" i="21"/>
  <c r="AX38" i="21"/>
  <c r="AY38" i="21"/>
  <c r="BA4" i="21"/>
  <c r="BA5" i="21"/>
  <c r="BA31" i="21"/>
  <c r="BA32" i="21" s="1"/>
  <c r="BA33" i="21"/>
  <c r="BA34" i="21"/>
  <c r="BA35" i="21"/>
  <c r="BA36" i="21"/>
  <c r="BA37" i="21"/>
  <c r="BA38" i="21"/>
  <c r="BA39" i="21"/>
  <c r="BA45" i="21"/>
  <c r="BA46" i="21"/>
  <c r="BA71" i="21"/>
  <c r="BA97" i="21"/>
  <c r="BA98" i="21"/>
  <c r="BA116" i="21"/>
  <c r="U5" i="22"/>
  <c r="C185" i="22" l="1"/>
  <c r="C186" i="22" s="1"/>
  <c r="C187" i="22" s="1"/>
  <c r="C188" i="22" s="1"/>
  <c r="C189" i="22" s="1"/>
  <c r="C190" i="22" s="1"/>
  <c r="C191" i="22" s="1"/>
  <c r="C192" i="22" s="1"/>
  <c r="C193" i="22" s="1"/>
  <c r="T99" i="23"/>
  <c r="BA40" i="21"/>
  <c r="I17" i="21"/>
  <c r="G17" i="21"/>
  <c r="K17" i="21"/>
  <c r="J17" i="21"/>
  <c r="H17" i="21"/>
  <c r="J15" i="21"/>
  <c r="I15" i="21"/>
  <c r="K12" i="21"/>
  <c r="J12" i="21"/>
  <c r="I12" i="21"/>
  <c r="H12" i="21"/>
  <c r="R78" i="23"/>
  <c r="Q78" i="23"/>
  <c r="Y76" i="23" s="1"/>
  <c r="P76" i="23"/>
  <c r="O76" i="23"/>
  <c r="N76" i="23"/>
  <c r="M76" i="23"/>
  <c r="Q75" i="23"/>
  <c r="Q74" i="23"/>
  <c r="Q72" i="23"/>
  <c r="Q71" i="23"/>
  <c r="Q70" i="23"/>
  <c r="Q69" i="23"/>
  <c r="Q68" i="23"/>
  <c r="T67" i="23"/>
  <c r="Q67" i="23"/>
  <c r="P65" i="23"/>
  <c r="O65" i="23"/>
  <c r="M65" i="23"/>
  <c r="Q64" i="23"/>
  <c r="Q63" i="23"/>
  <c r="Q62" i="23"/>
  <c r="AB61" i="23"/>
  <c r="X60" i="23"/>
  <c r="V5" i="22"/>
  <c r="X76" i="23" l="1"/>
  <c r="Y89" i="23"/>
  <c r="C194" i="22"/>
  <c r="C195" i="22" s="1"/>
  <c r="C196" i="22" s="1"/>
  <c r="C197" i="22" s="1"/>
  <c r="C198" i="22" s="1"/>
  <c r="C199" i="22" s="1"/>
  <c r="C200" i="22" s="1"/>
  <c r="C201" i="22" s="1"/>
  <c r="C202" i="22" s="1"/>
  <c r="Q65" i="23"/>
  <c r="AB94" i="23" s="1"/>
  <c r="W81" i="23"/>
  <c r="Q76" i="23"/>
  <c r="Y75" i="23" s="1"/>
  <c r="X74" i="23"/>
  <c r="T59" i="23"/>
  <c r="Y60" i="23"/>
  <c r="G15" i="21"/>
  <c r="W5" i="22"/>
  <c r="X5" i="22"/>
  <c r="X64" i="23" l="1"/>
  <c r="C203" i="22"/>
  <c r="C204" i="22" s="1"/>
  <c r="C205" i="22" s="1"/>
  <c r="C206" i="22" s="1"/>
  <c r="C207" i="22" s="1"/>
  <c r="C208" i="22" s="1"/>
  <c r="C209" i="22" s="1"/>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Q80" i="23"/>
  <c r="T70" i="23"/>
  <c r="G18" i="21"/>
  <c r="F36" i="21" l="1"/>
  <c r="G36" i="21"/>
  <c r="H36" i="21"/>
  <c r="I36" i="21"/>
  <c r="J36" i="21"/>
  <c r="K36" i="21"/>
  <c r="L36" i="21"/>
  <c r="M36" i="21"/>
  <c r="AB32" i="23"/>
  <c r="G23" i="21"/>
  <c r="G12" i="21"/>
  <c r="N47" i="23" l="1"/>
  <c r="N4" i="23"/>
  <c r="N5" i="23"/>
  <c r="N6" i="23"/>
  <c r="N7" i="23"/>
  <c r="N8" i="23"/>
  <c r="N9" i="23"/>
  <c r="N10" i="23"/>
  <c r="N11" i="23"/>
  <c r="N12" i="23"/>
  <c r="N13" i="23"/>
  <c r="N14" i="23"/>
  <c r="N15" i="23"/>
  <c r="N16" i="23"/>
  <c r="N17" i="23"/>
  <c r="N18" i="23"/>
  <c r="N19" i="23"/>
  <c r="N20" i="23"/>
  <c r="N21" i="23"/>
  <c r="B12" i="25" l="1"/>
  <c r="A12" i="25"/>
  <c r="C11" i="25"/>
  <c r="C10" i="25"/>
  <c r="C9" i="25"/>
  <c r="C8" i="25"/>
  <c r="C7" i="25"/>
  <c r="M12" i="25"/>
  <c r="R12" i="25" l="1"/>
  <c r="Q12" i="25"/>
  <c r="N12" i="25"/>
  <c r="J12" i="25"/>
  <c r="I12" i="25"/>
  <c r="F12" i="25"/>
  <c r="E12" i="25"/>
  <c r="U11" i="25"/>
  <c r="V11" i="25" s="1"/>
  <c r="S11" i="25"/>
  <c r="O11" i="25"/>
  <c r="K11" i="25"/>
  <c r="G11" i="25"/>
  <c r="U10" i="25"/>
  <c r="V10" i="25" s="1"/>
  <c r="S10" i="25"/>
  <c r="O10" i="25"/>
  <c r="K10" i="25"/>
  <c r="G10" i="25"/>
  <c r="U9" i="25"/>
  <c r="V9" i="25" s="1"/>
  <c r="S9" i="25"/>
  <c r="O9" i="25"/>
  <c r="K9" i="25"/>
  <c r="G9" i="25"/>
  <c r="U8" i="25"/>
  <c r="V8" i="25" s="1"/>
  <c r="S8" i="25"/>
  <c r="O8" i="25"/>
  <c r="K8" i="25"/>
  <c r="G8" i="25"/>
  <c r="U7" i="25"/>
  <c r="V7" i="25" s="1"/>
  <c r="S7" i="25"/>
  <c r="O7" i="25"/>
  <c r="K7" i="25"/>
  <c r="G7" i="25"/>
  <c r="J15" i="25" l="1"/>
  <c r="V12" i="25"/>
  <c r="U12" i="25"/>
  <c r="X3" i="24"/>
  <c r="Y3" i="24" s="1"/>
  <c r="AA29" i="24"/>
  <c r="AB29" i="24" s="1"/>
  <c r="X29" i="24"/>
  <c r="AA6" i="24"/>
  <c r="AB19" i="24"/>
  <c r="AB22" i="24"/>
  <c r="AB24" i="24"/>
  <c r="Z23" i="24"/>
  <c r="Y23" i="24"/>
  <c r="Z21" i="24"/>
  <c r="Y21" i="24"/>
  <c r="Z20" i="24"/>
  <c r="Y20" i="24"/>
  <c r="Y15" i="24"/>
  <c r="Z15" i="24"/>
  <c r="Y16" i="24"/>
  <c r="Z16" i="24"/>
  <c r="Y17" i="24"/>
  <c r="Z17" i="24"/>
  <c r="Y18" i="24"/>
  <c r="Z18" i="24"/>
  <c r="Y8" i="24"/>
  <c r="Z8" i="24"/>
  <c r="AB8" i="24" s="1"/>
  <c r="Y9" i="24"/>
  <c r="Z9" i="24"/>
  <c r="AB9" i="24" s="1"/>
  <c r="Y10" i="24"/>
  <c r="Z10" i="24"/>
  <c r="Y11" i="24"/>
  <c r="Z11" i="24"/>
  <c r="Y12" i="24"/>
  <c r="Z12" i="24"/>
  <c r="Y13" i="24"/>
  <c r="Z13" i="24"/>
  <c r="Z7" i="24"/>
  <c r="Y7" i="24"/>
  <c r="AO27" i="24"/>
  <c r="AN27" i="24"/>
  <c r="AG27" i="24"/>
  <c r="AG28" i="24"/>
  <c r="AH24" i="24"/>
  <c r="AH23" i="24"/>
  <c r="AH21" i="24"/>
  <c r="AH19" i="24"/>
  <c r="AH16" i="24"/>
  <c r="AH13" i="24"/>
  <c r="AH9" i="24"/>
  <c r="AK21" i="24"/>
  <c r="AK22" i="24"/>
  <c r="AK24" i="24"/>
  <c r="AK20" i="24"/>
  <c r="AK19" i="24"/>
  <c r="AK16" i="24"/>
  <c r="AK18" i="24"/>
  <c r="AK17" i="24"/>
  <c r="AK15" i="24"/>
  <c r="AK14" i="24"/>
  <c r="AK13" i="24"/>
  <c r="AK12" i="24"/>
  <c r="AK11" i="24"/>
  <c r="AK9" i="24"/>
  <c r="AK8" i="24"/>
  <c r="AK7" i="24"/>
  <c r="AP38" i="24"/>
  <c r="AO37" i="24"/>
  <c r="L37" i="24"/>
  <c r="AO36" i="24"/>
  <c r="Q36" i="24"/>
  <c r="P36" i="24"/>
  <c r="O36" i="24"/>
  <c r="N36" i="24"/>
  <c r="M36" i="24"/>
  <c r="AO35" i="24"/>
  <c r="Q35" i="24"/>
  <c r="P35" i="24"/>
  <c r="O35" i="24"/>
  <c r="AO34" i="24"/>
  <c r="AO33" i="24"/>
  <c r="Q32" i="24"/>
  <c r="P32" i="24"/>
  <c r="O32" i="24"/>
  <c r="N32" i="24"/>
  <c r="M32" i="24"/>
  <c r="AO31" i="24"/>
  <c r="R31" i="24"/>
  <c r="Q31" i="24"/>
  <c r="P31" i="24"/>
  <c r="O31" i="24"/>
  <c r="N31" i="24"/>
  <c r="M31" i="24"/>
  <c r="I26" i="24"/>
  <c r="AO25" i="24"/>
  <c r="AK23" i="24" s="1"/>
  <c r="I25" i="24"/>
  <c r="R24" i="24"/>
  <c r="I24" i="24"/>
  <c r="I23" i="24"/>
  <c r="I22" i="24"/>
  <c r="R21" i="24"/>
  <c r="L21" i="24"/>
  <c r="L29" i="24" s="1"/>
  <c r="R29" i="24" s="1"/>
  <c r="I21" i="24"/>
  <c r="R20" i="24"/>
  <c r="I20" i="24"/>
  <c r="N19" i="24"/>
  <c r="N35" i="24" s="1"/>
  <c r="M19" i="24"/>
  <c r="I19" i="24"/>
  <c r="R18" i="24"/>
  <c r="I18" i="24"/>
  <c r="R17" i="24"/>
  <c r="I17" i="24"/>
  <c r="I16" i="24"/>
  <c r="O15" i="24"/>
  <c r="N15" i="24"/>
  <c r="M15" i="24"/>
  <c r="I15" i="24"/>
  <c r="I14" i="24"/>
  <c r="I13" i="24"/>
  <c r="I12" i="24"/>
  <c r="I11" i="24"/>
  <c r="I10" i="24"/>
  <c r="AZ9" i="24"/>
  <c r="P15" i="24" s="1"/>
  <c r="I9" i="24"/>
  <c r="AZ8" i="24"/>
  <c r="Q15" i="24" s="1"/>
  <c r="I8" i="24"/>
  <c r="I7" i="24"/>
  <c r="R6" i="24"/>
  <c r="AX5" i="24" s="1"/>
  <c r="AX7" i="24" s="1"/>
  <c r="J6" i="24"/>
  <c r="J25" i="24" s="1"/>
  <c r="AX3" i="24"/>
  <c r="AZ3" i="24" s="1"/>
  <c r="CM6" i="21"/>
  <c r="Z14" i="24" l="1"/>
  <c r="Y14" i="24"/>
  <c r="J20" i="24"/>
  <c r="AB7" i="24"/>
  <c r="AB21" i="24"/>
  <c r="AH27" i="24"/>
  <c r="AK27" i="24"/>
  <c r="AB13" i="24"/>
  <c r="AB23" i="24"/>
  <c r="AC23" i="24" s="1"/>
  <c r="J11" i="24"/>
  <c r="Q11" i="24" s="1"/>
  <c r="J18" i="24"/>
  <c r="AC24" i="24"/>
  <c r="AB10" i="24"/>
  <c r="AB15" i="24"/>
  <c r="AK28" i="24"/>
  <c r="AO28" i="24"/>
  <c r="AB11" i="24"/>
  <c r="AB16" i="24"/>
  <c r="AH28" i="24"/>
  <c r="J24" i="24"/>
  <c r="R19" i="24"/>
  <c r="AB20" i="24"/>
  <c r="AC21" i="24" s="1"/>
  <c r="J7" i="24"/>
  <c r="P7" i="24" s="1"/>
  <c r="AB18" i="24"/>
  <c r="Y28" i="24"/>
  <c r="Z28" i="24"/>
  <c r="CM113" i="21" s="1"/>
  <c r="AB12" i="24"/>
  <c r="AB17" i="24"/>
  <c r="AC16" i="24"/>
  <c r="R15" i="24"/>
  <c r="N11" i="24"/>
  <c r="S20" i="24"/>
  <c r="R35" i="24"/>
  <c r="AP35" i="24" s="1"/>
  <c r="J26" i="24"/>
  <c r="M35" i="24"/>
  <c r="J15" i="24"/>
  <c r="AO39" i="24"/>
  <c r="S18" i="24"/>
  <c r="J10" i="24"/>
  <c r="R32" i="24"/>
  <c r="J9" i="24"/>
  <c r="O11" i="24"/>
  <c r="J14" i="24"/>
  <c r="L36" i="24"/>
  <c r="AO6" i="24"/>
  <c r="AL13" i="24" s="1"/>
  <c r="L26" i="24"/>
  <c r="J8" i="24"/>
  <c r="J13" i="24"/>
  <c r="J19" i="24"/>
  <c r="J21" i="24"/>
  <c r="J17" i="24"/>
  <c r="J12" i="24"/>
  <c r="O7" i="24"/>
  <c r="J23" i="24"/>
  <c r="N7" i="24"/>
  <c r="J16" i="24"/>
  <c r="J22" i="24"/>
  <c r="R49" i="23"/>
  <c r="Q49" i="23"/>
  <c r="Y47" i="23" s="1"/>
  <c r="P47" i="23"/>
  <c r="O47" i="23"/>
  <c r="M47" i="23"/>
  <c r="Q46" i="23"/>
  <c r="Q45" i="23"/>
  <c r="Q43" i="23"/>
  <c r="Q42" i="23"/>
  <c r="Q41" i="23"/>
  <c r="Q40" i="23"/>
  <c r="Q39" i="23"/>
  <c r="T38" i="23"/>
  <c r="Q38" i="23"/>
  <c r="P36" i="23"/>
  <c r="O36" i="23"/>
  <c r="N36" i="23"/>
  <c r="M36" i="23"/>
  <c r="Q35" i="23"/>
  <c r="Q34" i="23"/>
  <c r="Q33" i="23"/>
  <c r="X31" i="23"/>
  <c r="X47" i="23" s="1"/>
  <c r="M22" i="23"/>
  <c r="L22" i="23"/>
  <c r="U6" i="23" s="1"/>
  <c r="K22" i="23"/>
  <c r="T6" i="23" s="1"/>
  <c r="P21" i="23"/>
  <c r="P20" i="23"/>
  <c r="P19" i="23"/>
  <c r="P18" i="23"/>
  <c r="P17" i="23"/>
  <c r="P16" i="23"/>
  <c r="P15" i="23"/>
  <c r="P14" i="23"/>
  <c r="P13" i="23"/>
  <c r="P12" i="23"/>
  <c r="P11" i="23"/>
  <c r="P10" i="23"/>
  <c r="P9" i="23"/>
  <c r="P8" i="23"/>
  <c r="P7" i="23"/>
  <c r="P6" i="23"/>
  <c r="P5" i="23"/>
  <c r="T5" i="23"/>
  <c r="W3" i="23"/>
  <c r="B75" i="22"/>
  <c r="I75" i="22" s="1"/>
  <c r="B74" i="22"/>
  <c r="I74" i="22" s="1"/>
  <c r="B73" i="22"/>
  <c r="I73" i="22" s="1"/>
  <c r="B72" i="22"/>
  <c r="I72" i="22" s="1"/>
  <c r="B71" i="22"/>
  <c r="I71" i="22" s="1"/>
  <c r="B70" i="22"/>
  <c r="I70" i="22" s="1"/>
  <c r="B69" i="22"/>
  <c r="I69" i="22" s="1"/>
  <c r="B68" i="22"/>
  <c r="I68" i="22" s="1"/>
  <c r="B67" i="22"/>
  <c r="I67" i="22" s="1"/>
  <c r="B66" i="22"/>
  <c r="I66" i="22" s="1"/>
  <c r="B65" i="22"/>
  <c r="I65" i="22" s="1"/>
  <c r="B64" i="22"/>
  <c r="I64" i="22" s="1"/>
  <c r="B63" i="22"/>
  <c r="I63" i="22" s="1"/>
  <c r="B62" i="22"/>
  <c r="I62" i="22" s="1"/>
  <c r="B61" i="22"/>
  <c r="I61" i="22" s="1"/>
  <c r="B60" i="22"/>
  <c r="I60" i="22" s="1"/>
  <c r="B59" i="22"/>
  <c r="I59" i="22" s="1"/>
  <c r="B58" i="22"/>
  <c r="I58" i="22" s="1"/>
  <c r="B57" i="22"/>
  <c r="I57" i="22" s="1"/>
  <c r="B56" i="22"/>
  <c r="I56" i="22" s="1"/>
  <c r="B55" i="22"/>
  <c r="I55" i="22" s="1"/>
  <c r="B54" i="22"/>
  <c r="I54" i="22" s="1"/>
  <c r="B53" i="22"/>
  <c r="I53" i="22" s="1"/>
  <c r="B52" i="22"/>
  <c r="I52" i="22" s="1"/>
  <c r="B51" i="22"/>
  <c r="I51" i="22" s="1"/>
  <c r="B50" i="22"/>
  <c r="I50" i="22" s="1"/>
  <c r="B49" i="22"/>
  <c r="I49" i="22" s="1"/>
  <c r="B48" i="22"/>
  <c r="I48" i="22" s="1"/>
  <c r="B47" i="22"/>
  <c r="I47" i="22" s="1"/>
  <c r="B46" i="22"/>
  <c r="I46" i="22" s="1"/>
  <c r="B45" i="22"/>
  <c r="I45" i="22" s="1"/>
  <c r="B44" i="22"/>
  <c r="I44" i="22" s="1"/>
  <c r="B43" i="22"/>
  <c r="I43" i="22" s="1"/>
  <c r="B42" i="22"/>
  <c r="I42" i="22" s="1"/>
  <c r="B41" i="22"/>
  <c r="I41" i="22" s="1"/>
  <c r="B40" i="22"/>
  <c r="I40" i="22" s="1"/>
  <c r="B39" i="22"/>
  <c r="I39" i="22" s="1"/>
  <c r="B38" i="22"/>
  <c r="I38" i="22" s="1"/>
  <c r="B37" i="22"/>
  <c r="I37" i="22" s="1"/>
  <c r="B36" i="22"/>
  <c r="I36" i="22" s="1"/>
  <c r="B35" i="22"/>
  <c r="I35" i="22" s="1"/>
  <c r="B34" i="22"/>
  <c r="I34" i="22" s="1"/>
  <c r="B33" i="22"/>
  <c r="I33" i="22" s="1"/>
  <c r="B32" i="22"/>
  <c r="I32" i="22" s="1"/>
  <c r="B31" i="22"/>
  <c r="I31" i="22" s="1"/>
  <c r="B30" i="22"/>
  <c r="I30" i="22" s="1"/>
  <c r="B29" i="22"/>
  <c r="I29" i="22" s="1"/>
  <c r="B28" i="22"/>
  <c r="I28" i="22" s="1"/>
  <c r="B27" i="22"/>
  <c r="I27" i="22" s="1"/>
  <c r="B26" i="22"/>
  <c r="I26" i="22" s="1"/>
  <c r="B25" i="22"/>
  <c r="I25" i="22" s="1"/>
  <c r="B24" i="22"/>
  <c r="I24" i="22" s="1"/>
  <c r="B23" i="22"/>
  <c r="I23" i="22" s="1"/>
  <c r="B22" i="22"/>
  <c r="I22" i="22" s="1"/>
  <c r="B21" i="22"/>
  <c r="I21" i="22" s="1"/>
  <c r="B20" i="22"/>
  <c r="I20" i="22" s="1"/>
  <c r="B19" i="22"/>
  <c r="I19" i="22" s="1"/>
  <c r="B18" i="22"/>
  <c r="I18" i="22" s="1"/>
  <c r="B17" i="22"/>
  <c r="I17" i="22" s="1"/>
  <c r="B16" i="22"/>
  <c r="I16" i="22" s="1"/>
  <c r="B15" i="22"/>
  <c r="I15" i="22" s="1"/>
  <c r="B14" i="22"/>
  <c r="I14" i="22" s="1"/>
  <c r="B13" i="22"/>
  <c r="I13" i="22" s="1"/>
  <c r="B12" i="22"/>
  <c r="I12" i="22" s="1"/>
  <c r="B11" i="22"/>
  <c r="I11" i="22" s="1"/>
  <c r="B10" i="22"/>
  <c r="I10" i="22" s="1"/>
  <c r="B9" i="22"/>
  <c r="I9" i="22" s="1"/>
  <c r="B8" i="22"/>
  <c r="I8" i="22" s="1"/>
  <c r="K7" i="22"/>
  <c r="B7" i="22"/>
  <c r="I7" i="22" s="1"/>
  <c r="B6" i="22"/>
  <c r="B5" i="22"/>
  <c r="C5" i="22" s="1"/>
  <c r="AY187" i="21"/>
  <c r="T187" i="21"/>
  <c r="BD186" i="21"/>
  <c r="AI185" i="21"/>
  <c r="J185" i="21"/>
  <c r="I185" i="21"/>
  <c r="BD184" i="21"/>
  <c r="BD183" i="21"/>
  <c r="AI180" i="21"/>
  <c r="J180" i="21"/>
  <c r="I180" i="21"/>
  <c r="AY179" i="21"/>
  <c r="T179" i="21"/>
  <c r="BD178" i="21"/>
  <c r="BD177" i="21"/>
  <c r="BD176" i="21"/>
  <c r="CK160" i="21"/>
  <c r="CK159" i="21"/>
  <c r="CJ159" i="21"/>
  <c r="CI159" i="21"/>
  <c r="CK158" i="21"/>
  <c r="CJ158" i="21"/>
  <c r="CI158" i="21"/>
  <c r="CK157" i="21"/>
  <c r="CJ157" i="21"/>
  <c r="CI157" i="21"/>
  <c r="CK156" i="21"/>
  <c r="CJ156" i="21"/>
  <c r="CI156" i="21"/>
  <c r="CK155" i="21"/>
  <c r="CJ155" i="21"/>
  <c r="CI155" i="21"/>
  <c r="CK154" i="21"/>
  <c r="CJ154" i="21"/>
  <c r="CI154" i="21"/>
  <c r="CH154" i="21"/>
  <c r="CH155" i="21" s="1"/>
  <c r="CH156" i="21" s="1"/>
  <c r="CH157" i="21" s="1"/>
  <c r="CH158" i="21" s="1"/>
  <c r="CH159" i="21" s="1"/>
  <c r="CI153" i="21"/>
  <c r="CR140" i="21"/>
  <c r="CQ140" i="21"/>
  <c r="CR133" i="21"/>
  <c r="CQ133" i="21"/>
  <c r="CO131" i="21"/>
  <c r="CK122" i="21"/>
  <c r="CK140" i="21" s="1"/>
  <c r="BN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R116" i="21"/>
  <c r="Q116" i="21"/>
  <c r="P116" i="21"/>
  <c r="O116" i="21"/>
  <c r="N116" i="21"/>
  <c r="M116" i="21"/>
  <c r="L116" i="21"/>
  <c r="K116" i="21"/>
  <c r="J116" i="21"/>
  <c r="I116" i="21"/>
  <c r="H116" i="21"/>
  <c r="G116" i="21"/>
  <c r="F116" i="21"/>
  <c r="E116" i="21"/>
  <c r="BN115" i="21"/>
  <c r="BN114" i="21"/>
  <c r="BN113" i="21"/>
  <c r="CV107" i="21"/>
  <c r="CV110" i="21" s="1"/>
  <c r="BD106" i="21"/>
  <c r="BC104" i="21"/>
  <c r="BC109" i="21" s="1"/>
  <c r="BB104" i="21"/>
  <c r="BB109" i="21" s="1"/>
  <c r="CV102" i="21"/>
  <c r="BC98" i="21"/>
  <c r="BB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CR97" i="21"/>
  <c r="CQ97" i="21"/>
  <c r="CK97" i="21"/>
  <c r="BC97" i="21"/>
  <c r="BB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C96" i="21"/>
  <c r="BB96" i="21"/>
  <c r="E96" i="21"/>
  <c r="CV95" i="21"/>
  <c r="BC95" i="21"/>
  <c r="BB95" i="21"/>
  <c r="CJ91" i="21"/>
  <c r="AL89" i="21"/>
  <c r="E89" i="21"/>
  <c r="AL88" i="21"/>
  <c r="E88" i="21"/>
  <c r="AL87" i="21"/>
  <c r="AL86" i="21"/>
  <c r="E86" i="21"/>
  <c r="AL85" i="21"/>
  <c r="E85" i="21"/>
  <c r="AL84" i="21"/>
  <c r="E84" i="21"/>
  <c r="AL83" i="21"/>
  <c r="E83" i="21"/>
  <c r="AL82" i="21"/>
  <c r="E82" i="21"/>
  <c r="AL81" i="21"/>
  <c r="E81" i="21"/>
  <c r="AL80" i="21"/>
  <c r="E80" i="21"/>
  <c r="AL79" i="21"/>
  <c r="E79" i="21"/>
  <c r="AL78" i="21"/>
  <c r="E78" i="21"/>
  <c r="AL77" i="21"/>
  <c r="E77" i="21"/>
  <c r="AL76" i="21"/>
  <c r="E76" i="21"/>
  <c r="AL75" i="21"/>
  <c r="E75" i="21"/>
  <c r="AL74" i="21"/>
  <c r="E74" i="21"/>
  <c r="AL73" i="21"/>
  <c r="E73" i="21"/>
  <c r="AL72" i="21"/>
  <c r="E72" i="21"/>
  <c r="CR71" i="21"/>
  <c r="CQ71" i="21"/>
  <c r="CK71" i="21"/>
  <c r="BC71" i="21"/>
  <c r="BB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C70" i="21"/>
  <c r="BB70" i="21"/>
  <c r="E70" i="21"/>
  <c r="BC69" i="21"/>
  <c r="BB69" i="21"/>
  <c r="CJ66" i="21"/>
  <c r="E87" i="21"/>
  <c r="BD61" i="21"/>
  <c r="BD60" i="21"/>
  <c r="BD59" i="21"/>
  <c r="BD58" i="21"/>
  <c r="BD57" i="21"/>
  <c r="BD56" i="21"/>
  <c r="BD55" i="21"/>
  <c r="BD54" i="21"/>
  <c r="BD53" i="21"/>
  <c r="BD52" i="21"/>
  <c r="BD51" i="21"/>
  <c r="BD50" i="21"/>
  <c r="BD49" i="21"/>
  <c r="BD48" i="21"/>
  <c r="BD47" i="21"/>
  <c r="CR46" i="21"/>
  <c r="CQ46" i="21"/>
  <c r="CK46" i="21"/>
  <c r="BC46" i="21"/>
  <c r="BB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D46" i="21"/>
  <c r="BC45" i="21"/>
  <c r="BB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C44" i="21"/>
  <c r="BB44" i="21"/>
  <c r="E44" i="21"/>
  <c r="BC39" i="21"/>
  <c r="BB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C38" i="21"/>
  <c r="BB38" i="21"/>
  <c r="AZ38" i="21"/>
  <c r="AS38" i="21"/>
  <c r="AR38" i="21"/>
  <c r="AQ38" i="21"/>
  <c r="AP38" i="21"/>
  <c r="AO38" i="21"/>
  <c r="AN38" i="21"/>
  <c r="AM38" i="21"/>
  <c r="AL38" i="21"/>
  <c r="AK38" i="21"/>
  <c r="AJ38" i="21"/>
  <c r="AI38" i="21"/>
  <c r="AH38" i="21"/>
  <c r="AG38" i="21"/>
  <c r="AF38" i="21"/>
  <c r="AE38" i="21"/>
  <c r="AD38" i="21"/>
  <c r="AC38" i="21"/>
  <c r="AB38" i="21"/>
  <c r="AA38" i="21"/>
  <c r="Z38" i="21"/>
  <c r="X38" i="21"/>
  <c r="W38" i="21"/>
  <c r="V38" i="21"/>
  <c r="U38" i="21"/>
  <c r="T38" i="21"/>
  <c r="S38" i="21"/>
  <c r="R38" i="21"/>
  <c r="Q38" i="21"/>
  <c r="P38" i="21"/>
  <c r="O38" i="21"/>
  <c r="N38" i="21"/>
  <c r="M38" i="21"/>
  <c r="L38" i="21"/>
  <c r="K38" i="21"/>
  <c r="J38" i="21"/>
  <c r="I38" i="21"/>
  <c r="H38" i="21"/>
  <c r="G38" i="21"/>
  <c r="F38" i="21"/>
  <c r="E38" i="21"/>
  <c r="BC37" i="21"/>
  <c r="BB37" i="21"/>
  <c r="AZ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E37" i="21"/>
  <c r="BC36" i="21"/>
  <c r="BB36" i="21"/>
  <c r="AZ36" i="21"/>
  <c r="AS36" i="21"/>
  <c r="AR36" i="21"/>
  <c r="AQ36" i="21"/>
  <c r="AP36" i="21"/>
  <c r="AO36" i="21"/>
  <c r="AN36" i="21"/>
  <c r="AM36" i="21"/>
  <c r="AL36" i="21"/>
  <c r="AK36" i="21"/>
  <c r="AJ36" i="21"/>
  <c r="AI36" i="21"/>
  <c r="AH36" i="21"/>
  <c r="AG36" i="21"/>
  <c r="AF36" i="21"/>
  <c r="AE36" i="21"/>
  <c r="AC36" i="21"/>
  <c r="AB36" i="21"/>
  <c r="AA36" i="21"/>
  <c r="Z36" i="21"/>
  <c r="Y36" i="21"/>
  <c r="X36" i="21"/>
  <c r="W36" i="21"/>
  <c r="V36" i="21"/>
  <c r="U36" i="21"/>
  <c r="T36" i="21"/>
  <c r="Q36" i="21"/>
  <c r="P36" i="21"/>
  <c r="O36" i="21"/>
  <c r="N36" i="21"/>
  <c r="E36" i="21"/>
  <c r="BC35" i="21"/>
  <c r="BB35" i="21"/>
  <c r="AZ35" i="21"/>
  <c r="AS35" i="21"/>
  <c r="AO35" i="21"/>
  <c r="AN35" i="21"/>
  <c r="AM35" i="21"/>
  <c r="AL35" i="21"/>
  <c r="AK35" i="21"/>
  <c r="AJ35" i="21"/>
  <c r="AI35" i="21"/>
  <c r="AH35" i="21"/>
  <c r="AG35" i="21"/>
  <c r="AF35" i="21"/>
  <c r="AE35" i="21"/>
  <c r="AD35" i="21"/>
  <c r="AC35" i="21"/>
  <c r="AA35" i="21"/>
  <c r="Z35" i="21"/>
  <c r="Y35" i="21"/>
  <c r="X35" i="21"/>
  <c r="W35" i="21"/>
  <c r="V35" i="21"/>
  <c r="U35" i="21"/>
  <c r="T35" i="21"/>
  <c r="S35" i="21"/>
  <c r="R35" i="21"/>
  <c r="Q35" i="21"/>
  <c r="P35" i="21"/>
  <c r="O35" i="21"/>
  <c r="N35" i="21"/>
  <c r="M35" i="21"/>
  <c r="L35" i="21"/>
  <c r="K35" i="21"/>
  <c r="J35" i="21"/>
  <c r="I35" i="21"/>
  <c r="H35" i="21"/>
  <c r="G35" i="21"/>
  <c r="E35" i="21"/>
  <c r="AZ34" i="21"/>
  <c r="AS34" i="21"/>
  <c r="AR34" i="21"/>
  <c r="AP34" i="21"/>
  <c r="AN34" i="21"/>
  <c r="AM34" i="21"/>
  <c r="AL34" i="21"/>
  <c r="AK34" i="21"/>
  <c r="AJ34" i="21"/>
  <c r="AI34" i="21"/>
  <c r="AH34" i="21"/>
  <c r="AG34" i="21"/>
  <c r="AF34" i="21"/>
  <c r="AE34" i="21"/>
  <c r="AD34" i="21"/>
  <c r="AB34" i="21"/>
  <c r="AA34" i="21"/>
  <c r="Z34" i="21"/>
  <c r="Y34" i="21"/>
  <c r="X34" i="21"/>
  <c r="W34" i="21"/>
  <c r="V34" i="21"/>
  <c r="U34" i="21"/>
  <c r="T34" i="21"/>
  <c r="S34" i="21"/>
  <c r="Q34" i="21"/>
  <c r="P34" i="21"/>
  <c r="O34" i="21"/>
  <c r="N34" i="21"/>
  <c r="M34" i="21"/>
  <c r="L34" i="21"/>
  <c r="K34" i="21"/>
  <c r="J34" i="21"/>
  <c r="I34" i="21"/>
  <c r="H34" i="21"/>
  <c r="G34" i="21"/>
  <c r="E34" i="21"/>
  <c r="CR33" i="21"/>
  <c r="CQ33" i="21"/>
  <c r="CK33" i="21"/>
  <c r="AS33" i="21"/>
  <c r="AR33" i="21"/>
  <c r="AQ33" i="21"/>
  <c r="AN33" i="21"/>
  <c r="AM33" i="21"/>
  <c r="AL33" i="21"/>
  <c r="AK33" i="21"/>
  <c r="AJ33" i="21"/>
  <c r="AI33" i="21"/>
  <c r="AH33" i="21"/>
  <c r="AG33" i="21"/>
  <c r="AF33" i="21"/>
  <c r="AE33" i="21"/>
  <c r="AD33" i="21"/>
  <c r="AA33" i="21"/>
  <c r="Z33" i="21"/>
  <c r="Y33" i="21"/>
  <c r="X33" i="21"/>
  <c r="W33" i="21"/>
  <c r="V33" i="21"/>
  <c r="U33" i="21"/>
  <c r="T33" i="21"/>
  <c r="S33" i="21"/>
  <c r="Q33" i="21"/>
  <c r="P33" i="21"/>
  <c r="O33" i="21"/>
  <c r="N33" i="21"/>
  <c r="M33" i="21"/>
  <c r="L33" i="21"/>
  <c r="K33" i="21"/>
  <c r="J33" i="21"/>
  <c r="I33" i="21"/>
  <c r="H33" i="21"/>
  <c r="G33" i="21"/>
  <c r="CJ31" i="21"/>
  <c r="BC31" i="21"/>
  <c r="BC32" i="21" s="1"/>
  <c r="BB31" i="21"/>
  <c r="BB32" i="21" s="1"/>
  <c r="AS31" i="21"/>
  <c r="AS32" i="21" s="1"/>
  <c r="AR31" i="21"/>
  <c r="AR32" i="21" s="1"/>
  <c r="AN31" i="21"/>
  <c r="AN32" i="21" s="1"/>
  <c r="AM31" i="21"/>
  <c r="AM32" i="21" s="1"/>
  <c r="AL31" i="21"/>
  <c r="AL32" i="21" s="1"/>
  <c r="AK31" i="21"/>
  <c r="AK32" i="21" s="1"/>
  <c r="AJ31" i="21"/>
  <c r="AJ32" i="21" s="1"/>
  <c r="AI31" i="21"/>
  <c r="AI32" i="21" s="1"/>
  <c r="AH31" i="21"/>
  <c r="AH32" i="21" s="1"/>
  <c r="AG31" i="21"/>
  <c r="AG32" i="21" s="1"/>
  <c r="AF31" i="21"/>
  <c r="AF32" i="21" s="1"/>
  <c r="AE31" i="21"/>
  <c r="AE32" i="21" s="1"/>
  <c r="AA32" i="21"/>
  <c r="Z32" i="21"/>
  <c r="X31" i="21"/>
  <c r="X32" i="21" s="1"/>
  <c r="W31" i="21"/>
  <c r="W32" i="21" s="1"/>
  <c r="V31" i="21"/>
  <c r="V32" i="21" s="1"/>
  <c r="U31" i="21"/>
  <c r="U32" i="21" s="1"/>
  <c r="T31" i="21"/>
  <c r="T32" i="21" s="1"/>
  <c r="Q31" i="21"/>
  <c r="Q32" i="21" s="1"/>
  <c r="P31" i="21"/>
  <c r="P32" i="21" s="1"/>
  <c r="O31" i="21"/>
  <c r="O32" i="21" s="1"/>
  <c r="N31" i="21"/>
  <c r="N32" i="21" s="1"/>
  <c r="M31" i="21"/>
  <c r="M32" i="21" s="1"/>
  <c r="L31" i="21"/>
  <c r="L32" i="21" s="1"/>
  <c r="K31" i="21"/>
  <c r="K32" i="21" s="1"/>
  <c r="I31" i="21"/>
  <c r="I32" i="21" s="1"/>
  <c r="H31" i="21"/>
  <c r="H32" i="21" s="1"/>
  <c r="G31" i="21"/>
  <c r="E31" i="21"/>
  <c r="E32" i="21" s="1"/>
  <c r="CT30" i="21"/>
  <c r="BD29" i="21"/>
  <c r="BD28" i="21"/>
  <c r="Y32" i="21"/>
  <c r="BD26" i="21"/>
  <c r="BD25" i="21"/>
  <c r="BD24" i="21"/>
  <c r="F37" i="21"/>
  <c r="BD22" i="21"/>
  <c r="J31" i="21"/>
  <c r="J32" i="21" s="1"/>
  <c r="AD36" i="21"/>
  <c r="S36" i="21"/>
  <c r="R36" i="21"/>
  <c r="BD19" i="21"/>
  <c r="AR35" i="21"/>
  <c r="AQ35" i="21"/>
  <c r="AP33" i="21"/>
  <c r="AB33" i="21"/>
  <c r="AO33" i="21"/>
  <c r="AZ33" i="21"/>
  <c r="BD14" i="21"/>
  <c r="BD12" i="21"/>
  <c r="AQ34" i="21"/>
  <c r="F34" i="21"/>
  <c r="F9" i="21"/>
  <c r="G9" i="21" s="1"/>
  <c r="E8" i="21"/>
  <c r="BD7" i="21"/>
  <c r="CP6" i="21"/>
  <c r="CO6" i="21"/>
  <c r="CN6" i="21"/>
  <c r="AM74" i="21"/>
  <c r="F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CR24" i="21"/>
  <c r="CQ38" i="21"/>
  <c r="CQ15" i="21"/>
  <c r="S6" i="22"/>
  <c r="CR108" i="21"/>
  <c r="CQ78" i="21"/>
  <c r="CK83" i="21"/>
  <c r="CQ83" i="21"/>
  <c r="CR101" i="21"/>
  <c r="CK59" i="21"/>
  <c r="CK37" i="21"/>
  <c r="CR48" i="21"/>
  <c r="CQ72" i="21"/>
  <c r="V7" i="22"/>
  <c r="CK78" i="21"/>
  <c r="CQ19" i="21"/>
  <c r="CQ79" i="21"/>
  <c r="Q6" i="22"/>
  <c r="CQ50" i="21"/>
  <c r="CR53" i="21"/>
  <c r="CK16" i="21"/>
  <c r="CK13" i="21"/>
  <c r="CQ25" i="21"/>
  <c r="CQ31" i="21"/>
  <c r="CK60" i="21"/>
  <c r="CR17" i="21"/>
  <c r="CQ61" i="21"/>
  <c r="CK86" i="21"/>
  <c r="CQ28" i="21"/>
  <c r="CR107" i="21"/>
  <c r="CR55" i="21"/>
  <c r="W7" i="22"/>
  <c r="R7" i="22"/>
  <c r="CR18" i="21"/>
  <c r="CK52" i="21"/>
  <c r="CR27" i="21"/>
  <c r="CR110" i="21"/>
  <c r="CR74" i="21"/>
  <c r="CK57" i="21"/>
  <c r="CQ55" i="21"/>
  <c r="CR50" i="21"/>
  <c r="CK29" i="21"/>
  <c r="CR88" i="21"/>
  <c r="CQ100" i="21"/>
  <c r="CQ77" i="21"/>
  <c r="CR76" i="21"/>
  <c r="CR23" i="21"/>
  <c r="CK47" i="21"/>
  <c r="CQ84" i="21"/>
  <c r="N7" i="22"/>
  <c r="CK23" i="21"/>
  <c r="CQ22" i="21"/>
  <c r="CR51" i="21"/>
  <c r="CR47" i="21"/>
  <c r="CR91" i="21"/>
  <c r="CK49" i="21"/>
  <c r="CK51" i="21"/>
  <c r="CQ62" i="21"/>
  <c r="CR22" i="21"/>
  <c r="CR81" i="21"/>
  <c r="CK74" i="21"/>
  <c r="CR59" i="21"/>
  <c r="CK12" i="21"/>
  <c r="CQ73" i="21"/>
  <c r="X7" i="22"/>
  <c r="CK82" i="21"/>
  <c r="CK35" i="21"/>
  <c r="CK54" i="21"/>
  <c r="CK81" i="21"/>
  <c r="CR80" i="21"/>
  <c r="CQ87" i="21"/>
  <c r="CR82" i="21"/>
  <c r="CQ17" i="21"/>
  <c r="CR84" i="21"/>
  <c r="CR58" i="21"/>
  <c r="CR19" i="21"/>
  <c r="CK28" i="21"/>
  <c r="CQ105" i="21"/>
  <c r="CK27" i="21"/>
  <c r="CK62" i="21"/>
  <c r="CQ57" i="21"/>
  <c r="CQ29" i="21"/>
  <c r="CK87" i="21"/>
  <c r="CQ47" i="21"/>
  <c r="CR37" i="21"/>
  <c r="CR21" i="21"/>
  <c r="CR85" i="21"/>
  <c r="T7" i="22"/>
  <c r="M7" i="22"/>
  <c r="CQ13" i="21"/>
  <c r="CK25" i="21"/>
  <c r="CK24" i="21"/>
  <c r="CR56" i="21"/>
  <c r="CQ104" i="21"/>
  <c r="CK75" i="21"/>
  <c r="CQ86" i="21"/>
  <c r="T6" i="22"/>
  <c r="CQ85" i="21"/>
  <c r="CQ91" i="21"/>
  <c r="CR104" i="21"/>
  <c r="CR31" i="21"/>
  <c r="CR38" i="21"/>
  <c r="CQ27" i="21"/>
  <c r="CQ51" i="21"/>
  <c r="O6" i="22"/>
  <c r="CQ16" i="21"/>
  <c r="CR52" i="21"/>
  <c r="CR99" i="21"/>
  <c r="CR77" i="21"/>
  <c r="CK19" i="21"/>
  <c r="CK34" i="21"/>
  <c r="CR40" i="21"/>
  <c r="P6" i="22"/>
  <c r="CK17" i="21"/>
  <c r="CK89" i="21"/>
  <c r="CQ107" i="21"/>
  <c r="CK77" i="21"/>
  <c r="CK73" i="21"/>
  <c r="CQ110" i="21"/>
  <c r="CR61" i="21"/>
  <c r="CQ26" i="21"/>
  <c r="CK58" i="21"/>
  <c r="CR25" i="21"/>
  <c r="CR60" i="21"/>
  <c r="CQ53" i="21"/>
  <c r="CK85" i="21"/>
  <c r="CQ49" i="21"/>
  <c r="CR20" i="21"/>
  <c r="CQ99" i="21"/>
  <c r="CQ20" i="21"/>
  <c r="CK18" i="21"/>
  <c r="CK53" i="21"/>
  <c r="CR57" i="21"/>
  <c r="CK79" i="21"/>
  <c r="U7" i="22"/>
  <c r="CK50" i="21"/>
  <c r="CR87" i="21"/>
  <c r="CR83" i="21"/>
  <c r="CR15" i="21"/>
  <c r="CQ24" i="21"/>
  <c r="CQ40" i="21"/>
  <c r="CR29" i="21"/>
  <c r="CQ36" i="21"/>
  <c r="CR12" i="21"/>
  <c r="CK76" i="21"/>
  <c r="CR49" i="21"/>
  <c r="CR35" i="21"/>
  <c r="CQ59" i="21"/>
  <c r="CQ39" i="21"/>
  <c r="CR73" i="21"/>
  <c r="P7" i="22"/>
  <c r="CQ52" i="21"/>
  <c r="CQ88" i="21"/>
  <c r="CQ109" i="21"/>
  <c r="CR86" i="21"/>
  <c r="CQ80" i="21"/>
  <c r="N6" i="22"/>
  <c r="CR78" i="21"/>
  <c r="CR109" i="21"/>
  <c r="CK15" i="21"/>
  <c r="CQ48" i="21"/>
  <c r="CR39" i="21"/>
  <c r="Q7" i="22"/>
  <c r="CQ56" i="21"/>
  <c r="CK22" i="21"/>
  <c r="O7" i="22"/>
  <c r="CQ23" i="21"/>
  <c r="CK61" i="21"/>
  <c r="CK84" i="21"/>
  <c r="CR89" i="21"/>
  <c r="CK48" i="21"/>
  <c r="CK36" i="21"/>
  <c r="CQ89" i="21"/>
  <c r="CK31" i="21"/>
  <c r="CK56" i="21"/>
  <c r="CK39" i="21"/>
  <c r="CQ21" i="21"/>
  <c r="CQ54" i="21"/>
  <c r="CQ82" i="21"/>
  <c r="CK38" i="21"/>
  <c r="R6" i="22"/>
  <c r="CR14" i="21"/>
  <c r="CK26" i="21"/>
  <c r="CK55" i="21"/>
  <c r="CR54" i="21"/>
  <c r="CQ74" i="21"/>
  <c r="CQ60" i="21"/>
  <c r="CQ101" i="21"/>
  <c r="CK14" i="21"/>
  <c r="CR26" i="21"/>
  <c r="CR36" i="21"/>
  <c r="CQ12" i="21"/>
  <c r="CK72" i="21"/>
  <c r="CR72" i="21"/>
  <c r="CQ35" i="21"/>
  <c r="CR79" i="21"/>
  <c r="CQ18" i="21"/>
  <c r="CK21" i="21"/>
  <c r="CQ37" i="21"/>
  <c r="CQ76" i="21"/>
  <c r="CQ14" i="21"/>
  <c r="CR13" i="21"/>
  <c r="CQ108" i="21"/>
  <c r="CR105" i="21"/>
  <c r="CQ75" i="21"/>
  <c r="CQ58" i="21"/>
  <c r="CQ81" i="21"/>
  <c r="CK80" i="21"/>
  <c r="CR28" i="21"/>
  <c r="CR100" i="21"/>
  <c r="CR16" i="21"/>
  <c r="CK20" i="21"/>
  <c r="CR62" i="21"/>
  <c r="CR75" i="21"/>
  <c r="CK88" i="21"/>
  <c r="C6" i="22" l="1"/>
  <c r="I6" i="22"/>
  <c r="I3" i="22"/>
  <c r="CV105" i="21"/>
  <c r="CV106" i="21" s="1"/>
  <c r="G32" i="21"/>
  <c r="F3" i="21"/>
  <c r="BC40" i="21"/>
  <c r="BB40" i="21"/>
  <c r="O40" i="21"/>
  <c r="O41" i="21" s="1"/>
  <c r="P40" i="21"/>
  <c r="P41" i="21" s="1"/>
  <c r="A6" i="22"/>
  <c r="A20" i="22"/>
  <c r="A32" i="22"/>
  <c r="A44" i="22"/>
  <c r="A56" i="22"/>
  <c r="A68" i="22"/>
  <c r="A14" i="22"/>
  <c r="A65" i="22"/>
  <c r="A58" i="22"/>
  <c r="A11" i="22"/>
  <c r="A16" i="22"/>
  <c r="A28" i="22"/>
  <c r="A22" i="22"/>
  <c r="A70" i="22"/>
  <c r="A38" i="22"/>
  <c r="A74" i="22"/>
  <c r="C7" i="22"/>
  <c r="C8" i="22" s="1"/>
  <c r="C9" i="22" s="1"/>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48" i="22" s="1"/>
  <c r="C49" i="22" s="1"/>
  <c r="C50" i="22" s="1"/>
  <c r="C51" i="22" s="1"/>
  <c r="C52" i="22" s="1"/>
  <c r="C53" i="22" s="1"/>
  <c r="C54" i="22" s="1"/>
  <c r="C55" i="22" s="1"/>
  <c r="C56" i="22" s="1"/>
  <c r="C57" i="22" s="1"/>
  <c r="C58" i="22" s="1"/>
  <c r="C59" i="22" s="1"/>
  <c r="C60" i="22" s="1"/>
  <c r="C61" i="22" s="1"/>
  <c r="C62" i="22" s="1"/>
  <c r="C63" i="22" s="1"/>
  <c r="C64" i="22" s="1"/>
  <c r="C65" i="22" s="1"/>
  <c r="C66" i="22" s="1"/>
  <c r="C67" i="22" s="1"/>
  <c r="C68" i="22" s="1"/>
  <c r="C69" i="22" s="1"/>
  <c r="C70" i="22" s="1"/>
  <c r="C71" i="22" s="1"/>
  <c r="C72" i="22" s="1"/>
  <c r="C73" i="22" s="1"/>
  <c r="C74" i="22" s="1"/>
  <c r="C75" i="22" s="1"/>
  <c r="A46" i="22"/>
  <c r="A13" i="22"/>
  <c r="A61" i="22"/>
  <c r="A26" i="22"/>
  <c r="A49" i="22"/>
  <c r="A8" i="22"/>
  <c r="Q36" i="23"/>
  <c r="AB65" i="23" s="1"/>
  <c r="A73" i="22"/>
  <c r="AL40" i="21"/>
  <c r="AL92" i="21" s="1"/>
  <c r="U5" i="23"/>
  <c r="U7" i="23" s="1"/>
  <c r="A17" i="22"/>
  <c r="M7" i="24"/>
  <c r="M11" i="24"/>
  <c r="BD185" i="21"/>
  <c r="Q7" i="24"/>
  <c r="BD187" i="21"/>
  <c r="A41" i="22"/>
  <c r="A71" i="22"/>
  <c r="AC19" i="24"/>
  <c r="BD180" i="21"/>
  <c r="A50" i="22"/>
  <c r="AB14" i="24"/>
  <c r="AC13" i="24" s="1"/>
  <c r="F8" i="21"/>
  <c r="F95" i="21" s="1"/>
  <c r="P11" i="24"/>
  <c r="R11" i="24" s="1"/>
  <c r="AB28" i="24"/>
  <c r="AC9" i="24"/>
  <c r="AP25" i="24"/>
  <c r="AP26" i="24"/>
  <c r="AP10" i="24"/>
  <c r="AL19" i="24"/>
  <c r="AL23" i="24"/>
  <c r="AL21" i="24"/>
  <c r="AL24" i="24"/>
  <c r="AL9" i="24"/>
  <c r="AL16" i="24"/>
  <c r="R7" i="24"/>
  <c r="Q9" i="24"/>
  <c r="P9" i="24"/>
  <c r="O9" i="24"/>
  <c r="N9" i="24"/>
  <c r="M9" i="24"/>
  <c r="O22" i="24"/>
  <c r="Q22" i="24"/>
  <c r="P22" i="24"/>
  <c r="N22" i="24"/>
  <c r="M22" i="24"/>
  <c r="O16" i="24"/>
  <c r="Q16" i="24"/>
  <c r="P16" i="24"/>
  <c r="N16" i="24"/>
  <c r="M16" i="24"/>
  <c r="Q13" i="24"/>
  <c r="O13" i="24"/>
  <c r="N13" i="24"/>
  <c r="M13" i="24"/>
  <c r="P13" i="24"/>
  <c r="M10" i="24"/>
  <c r="Q10" i="24"/>
  <c r="P10" i="24"/>
  <c r="O10" i="24"/>
  <c r="N10" i="24"/>
  <c r="P8" i="24"/>
  <c r="Q8" i="24"/>
  <c r="O8" i="24"/>
  <c r="N8" i="24"/>
  <c r="M8" i="24"/>
  <c r="O23" i="24"/>
  <c r="N23" i="24"/>
  <c r="M23" i="24"/>
  <c r="Q23" i="24"/>
  <c r="P23" i="24"/>
  <c r="AP15" i="24"/>
  <c r="AP23" i="24"/>
  <c r="AP20" i="24"/>
  <c r="AP18" i="24"/>
  <c r="AO32" i="24"/>
  <c r="L39" i="24"/>
  <c r="R36" i="24"/>
  <c r="AP36" i="24" s="1"/>
  <c r="N12" i="24"/>
  <c r="M12" i="24"/>
  <c r="Q12" i="24"/>
  <c r="P12" i="24"/>
  <c r="O12" i="24"/>
  <c r="Q14" i="24"/>
  <c r="Q34" i="24" s="1"/>
  <c r="P14" i="24"/>
  <c r="P34" i="24" s="1"/>
  <c r="O14" i="24"/>
  <c r="N14" i="24"/>
  <c r="M14" i="24"/>
  <c r="Q47" i="23"/>
  <c r="Q51" i="23" s="1"/>
  <c r="W4" i="23"/>
  <c r="W5" i="23" s="1"/>
  <c r="X88" i="23" s="1"/>
  <c r="A53" i="22"/>
  <c r="A5" i="22"/>
  <c r="A10" i="22"/>
  <c r="A7" i="22"/>
  <c r="A23" i="22"/>
  <c r="A39" i="22"/>
  <c r="A29" i="22"/>
  <c r="A35" i="22"/>
  <c r="A40" i="22"/>
  <c r="A51" i="22"/>
  <c r="A62" i="22"/>
  <c r="A25" i="22"/>
  <c r="A47" i="22"/>
  <c r="A52" i="22"/>
  <c r="A37" i="22"/>
  <c r="A59" i="22"/>
  <c r="A64" i="22"/>
  <c r="A75" i="22"/>
  <c r="W6" i="23"/>
  <c r="P4" i="23"/>
  <c r="P22" i="23" s="1"/>
  <c r="N22" i="23"/>
  <c r="S208" i="23" s="1"/>
  <c r="T7" i="23"/>
  <c r="Y31" i="23"/>
  <c r="W52" i="23"/>
  <c r="Q40" i="21"/>
  <c r="Q41" i="21" s="1"/>
  <c r="BD179" i="21"/>
  <c r="G3" i="21"/>
  <c r="G8" i="21"/>
  <c r="G95" i="21" s="1"/>
  <c r="AL100" i="21"/>
  <c r="AL101" i="21"/>
  <c r="AL103" i="21"/>
  <c r="AL108" i="21" s="1"/>
  <c r="E40" i="21"/>
  <c r="E41" i="21" s="1"/>
  <c r="J40" i="21"/>
  <c r="J41" i="21" s="1"/>
  <c r="AL104" i="21"/>
  <c r="AL109" i="21" s="1"/>
  <c r="AQ40" i="21"/>
  <c r="AQ92" i="21" s="1"/>
  <c r="AY40" i="21"/>
  <c r="Z40" i="21"/>
  <c r="Z41" i="21" s="1"/>
  <c r="AM40" i="21"/>
  <c r="AM92" i="21" s="1"/>
  <c r="N40" i="21"/>
  <c r="N41" i="21" s="1"/>
  <c r="AA40" i="21"/>
  <c r="AA41" i="21" s="1"/>
  <c r="AN40" i="21"/>
  <c r="AN92" i="21" s="1"/>
  <c r="AZ40" i="21"/>
  <c r="E100" i="21"/>
  <c r="A12" i="22"/>
  <c r="A45" i="22"/>
  <c r="A19" i="22"/>
  <c r="A69" i="22"/>
  <c r="A15" i="22"/>
  <c r="A21" i="22"/>
  <c r="A33" i="22"/>
  <c r="A63" i="22"/>
  <c r="A9" i="22"/>
  <c r="A27" i="22"/>
  <c r="A34" i="22"/>
  <c r="A57" i="22"/>
  <c r="A18" i="22"/>
  <c r="A24" i="22"/>
  <c r="A36" i="22"/>
  <c r="A48" i="22"/>
  <c r="A60" i="22"/>
  <c r="A72" i="22"/>
  <c r="A31" i="22"/>
  <c r="A43" i="22"/>
  <c r="A55" i="22"/>
  <c r="A67" i="22"/>
  <c r="K8" i="22"/>
  <c r="A30" i="22"/>
  <c r="A42" i="22"/>
  <c r="A54" i="22"/>
  <c r="A66" i="22"/>
  <c r="BD39" i="21"/>
  <c r="BD37" i="21"/>
  <c r="CQ66" i="21"/>
  <c r="CQ94" i="21" s="1"/>
  <c r="CR66" i="21"/>
  <c r="CR94" i="21" s="1"/>
  <c r="CK66" i="21"/>
  <c r="CR102" i="21"/>
  <c r="CQ102" i="21"/>
  <c r="CQ106" i="21"/>
  <c r="CR106" i="21"/>
  <c r="AD40" i="21"/>
  <c r="AR40" i="21"/>
  <c r="AS40" i="21"/>
  <c r="BD36" i="21"/>
  <c r="BD13" i="21"/>
  <c r="R33" i="21"/>
  <c r="R34" i="21"/>
  <c r="R40" i="21" s="1"/>
  <c r="BD16" i="21"/>
  <c r="R31" i="21"/>
  <c r="R32" i="21" s="1"/>
  <c r="AF40" i="21"/>
  <c r="AF41" i="21" s="1"/>
  <c r="AT40" i="21"/>
  <c r="F33" i="21"/>
  <c r="F35" i="21"/>
  <c r="F40" i="21" s="1"/>
  <c r="F31" i="21"/>
  <c r="BD18" i="21"/>
  <c r="AQ89" i="21"/>
  <c r="AQ88" i="21"/>
  <c r="AQ87" i="21"/>
  <c r="AQ82" i="21"/>
  <c r="AQ84" i="21"/>
  <c r="AQ86" i="21"/>
  <c r="AQ85" i="21"/>
  <c r="AQ83" i="21"/>
  <c r="AQ75" i="21"/>
  <c r="AQ81" i="21"/>
  <c r="AQ80" i="21"/>
  <c r="AQ78" i="21"/>
  <c r="AQ79" i="21"/>
  <c r="AQ77" i="21"/>
  <c r="AQ76" i="21"/>
  <c r="AQ73" i="21"/>
  <c r="AQ72" i="21"/>
  <c r="AQ74" i="21"/>
  <c r="T40" i="21"/>
  <c r="T41" i="21" s="1"/>
  <c r="AG40" i="21"/>
  <c r="E95" i="21"/>
  <c r="E69" i="21"/>
  <c r="E43" i="21"/>
  <c r="H40" i="21"/>
  <c r="H41" i="21" s="1"/>
  <c r="U40" i="21"/>
  <c r="U41" i="21" s="1"/>
  <c r="AH40" i="21"/>
  <c r="BD15" i="21"/>
  <c r="BD23" i="21"/>
  <c r="Y38" i="21"/>
  <c r="BD38" i="21" s="1"/>
  <c r="BD27" i="21"/>
  <c r="I40" i="21"/>
  <c r="I41" i="21" s="1"/>
  <c r="V40" i="21"/>
  <c r="V41" i="21" s="1"/>
  <c r="AC33" i="21"/>
  <c r="K40" i="21"/>
  <c r="K41" i="21" s="1"/>
  <c r="W40" i="21"/>
  <c r="W41" i="21" s="1"/>
  <c r="AI40" i="21"/>
  <c r="AU40" i="21"/>
  <c r="AB31" i="21"/>
  <c r="AB32" i="21" s="1"/>
  <c r="AZ31" i="21"/>
  <c r="AZ32" i="21" s="1"/>
  <c r="L40" i="21"/>
  <c r="L41" i="21" s="1"/>
  <c r="X40" i="21"/>
  <c r="X41" i="21" s="1"/>
  <c r="AJ40" i="21"/>
  <c r="AV40" i="21"/>
  <c r="BD17" i="21"/>
  <c r="AM88" i="21"/>
  <c r="AM84" i="21"/>
  <c r="AM86" i="21"/>
  <c r="AM83" i="21"/>
  <c r="AM79" i="21"/>
  <c r="AM89" i="21"/>
  <c r="AM85" i="21"/>
  <c r="AM82" i="21"/>
  <c r="AM78" i="21"/>
  <c r="AM87" i="21"/>
  <c r="AM77" i="21"/>
  <c r="AM75" i="21"/>
  <c r="AM80" i="21"/>
  <c r="AM81" i="21"/>
  <c r="AM76" i="21"/>
  <c r="AM72" i="21"/>
  <c r="AC31" i="21"/>
  <c r="AC32" i="21" s="1"/>
  <c r="AO31" i="21"/>
  <c r="AO32" i="21" s="1"/>
  <c r="M40" i="21"/>
  <c r="M41" i="21" s="1"/>
  <c r="AK40" i="21"/>
  <c r="AW40" i="21"/>
  <c r="AN89" i="21"/>
  <c r="AN88" i="21"/>
  <c r="AN85" i="21"/>
  <c r="AN82" i="21"/>
  <c r="AN84" i="21"/>
  <c r="AN87" i="21"/>
  <c r="AN86" i="21"/>
  <c r="AN83" i="21"/>
  <c r="AN79" i="21"/>
  <c r="AN76" i="21"/>
  <c r="AN81" i="21"/>
  <c r="AN80" i="21"/>
  <c r="AN77" i="21"/>
  <c r="AN74" i="21"/>
  <c r="AN75" i="21"/>
  <c r="AN78" i="21"/>
  <c r="AN73" i="21"/>
  <c r="AN72" i="21"/>
  <c r="AD31" i="21"/>
  <c r="AD32" i="21" s="1"/>
  <c r="AP31" i="21"/>
  <c r="AP32" i="21" s="1"/>
  <c r="AX40" i="21"/>
  <c r="AB35" i="21"/>
  <c r="AB40" i="21" s="1"/>
  <c r="AO84" i="21"/>
  <c r="AO89" i="21"/>
  <c r="AO85" i="21"/>
  <c r="AO88" i="21"/>
  <c r="AO81" i="21"/>
  <c r="AO87" i="21"/>
  <c r="AO83" i="21"/>
  <c r="AO77" i="21"/>
  <c r="AO79" i="21"/>
  <c r="AO76" i="21"/>
  <c r="AO80" i="21"/>
  <c r="AO86" i="21"/>
  <c r="AO78" i="21"/>
  <c r="AO74" i="21"/>
  <c r="AO82" i="21"/>
  <c r="AO75" i="21"/>
  <c r="AO72" i="21"/>
  <c r="AO73" i="21"/>
  <c r="F96" i="21"/>
  <c r="F70" i="21"/>
  <c r="F44" i="21"/>
  <c r="S31" i="21"/>
  <c r="S32" i="21" s="1"/>
  <c r="AQ31" i="21"/>
  <c r="AQ32" i="21" s="1"/>
  <c r="AM73" i="21"/>
  <c r="G96" i="21"/>
  <c r="G70" i="21"/>
  <c r="G44" i="21"/>
  <c r="F89" i="21"/>
  <c r="F88" i="21"/>
  <c r="F87" i="21"/>
  <c r="F84" i="21"/>
  <c r="F86" i="21"/>
  <c r="F85" i="21"/>
  <c r="F83" i="21"/>
  <c r="F81" i="21"/>
  <c r="F80" i="21"/>
  <c r="F82" i="21"/>
  <c r="F78" i="21"/>
  <c r="F76" i="21"/>
  <c r="F79" i="21"/>
  <c r="F75" i="21"/>
  <c r="F73" i="21"/>
  <c r="F72" i="21"/>
  <c r="F77" i="21"/>
  <c r="F74" i="21"/>
  <c r="H9" i="21"/>
  <c r="BD20" i="21"/>
  <c r="BD21" i="21"/>
  <c r="AC34" i="21"/>
  <c r="AC40" i="21" s="1"/>
  <c r="AO34" i="21"/>
  <c r="AO40" i="21" s="1"/>
  <c r="AO92" i="21" s="1"/>
  <c r="AP89" i="21"/>
  <c r="AP88" i="21"/>
  <c r="AP87" i="21"/>
  <c r="AP85" i="21"/>
  <c r="AP84" i="21"/>
  <c r="AP86" i="21"/>
  <c r="AP83" i="21"/>
  <c r="AP79" i="21"/>
  <c r="AP81" i="21"/>
  <c r="AP80" i="21"/>
  <c r="AP82" i="21"/>
  <c r="AP74" i="21"/>
  <c r="AP77" i="21"/>
  <c r="AP76" i="21"/>
  <c r="AP75" i="21"/>
  <c r="AP73" i="21"/>
  <c r="AP72" i="21"/>
  <c r="AP78" i="21"/>
  <c r="AP35" i="21"/>
  <c r="AP40" i="21" s="1"/>
  <c r="AP92" i="21" s="1"/>
  <c r="G6" i="21"/>
  <c r="G40" i="21"/>
  <c r="G41" i="21" s="1"/>
  <c r="S40" i="21"/>
  <c r="AE40" i="21"/>
  <c r="AE41" i="21" s="1"/>
  <c r="AL99" i="21"/>
  <c r="AL91" i="21"/>
  <c r="E99" i="21"/>
  <c r="E91" i="21"/>
  <c r="BD62" i="21"/>
  <c r="E101" i="21"/>
  <c r="E102" i="21"/>
  <c r="E103" i="21"/>
  <c r="AL102" i="21"/>
  <c r="E104" i="21"/>
  <c r="FE155" i="2"/>
  <c r="FE156" i="2"/>
  <c r="FE157" i="2"/>
  <c r="FE158" i="2"/>
  <c r="FE159" i="2"/>
  <c r="FE160" i="2"/>
  <c r="FE154" i="2"/>
  <c r="N5" i="22"/>
  <c r="CK101" i="21"/>
  <c r="CK40" i="21"/>
  <c r="V8" i="22"/>
  <c r="U8" i="22"/>
  <c r="M8" i="22"/>
  <c r="CK99" i="21"/>
  <c r="R5" i="22"/>
  <c r="CK91" i="21"/>
  <c r="X8" i="22"/>
  <c r="Q5" i="22"/>
  <c r="S7" i="22"/>
  <c r="CK100" i="21"/>
  <c r="R8" i="22"/>
  <c r="T5" i="22"/>
  <c r="O5" i="22"/>
  <c r="W8" i="22"/>
  <c r="S5" i="22"/>
  <c r="P5" i="22"/>
  <c r="CK104" i="21"/>
  <c r="S179" i="23" l="1"/>
  <c r="S150" i="23"/>
  <c r="S121" i="23"/>
  <c r="Y46" i="23"/>
  <c r="X45" i="23"/>
  <c r="X30" i="23"/>
  <c r="X32" i="23" s="1"/>
  <c r="X59" i="23"/>
  <c r="X61" i="23" s="1"/>
  <c r="X90" i="23"/>
  <c r="U88" i="23"/>
  <c r="X35" i="23"/>
  <c r="T30" i="23"/>
  <c r="T41" i="23" s="1"/>
  <c r="O22" i="23"/>
  <c r="S92" i="23"/>
  <c r="S63" i="23"/>
  <c r="F92" i="21"/>
  <c r="G43" i="21"/>
  <c r="G69" i="21"/>
  <c r="AC41" i="21"/>
  <c r="S41" i="21"/>
  <c r="Y40" i="21"/>
  <c r="Y41" i="21" s="1"/>
  <c r="F43" i="21"/>
  <c r="F69" i="21"/>
  <c r="AC5" i="22"/>
  <c r="W7" i="23"/>
  <c r="AR92" i="21"/>
  <c r="AB27" i="24"/>
  <c r="AB41" i="21"/>
  <c r="AC27" i="24"/>
  <c r="R23" i="24"/>
  <c r="N37" i="24"/>
  <c r="AL27" i="24"/>
  <c r="AL28" i="24"/>
  <c r="P37" i="24"/>
  <c r="Q37" i="24"/>
  <c r="O34" i="24"/>
  <c r="AP27" i="24"/>
  <c r="R8" i="24"/>
  <c r="O37" i="24"/>
  <c r="N34" i="24"/>
  <c r="Q33" i="24"/>
  <c r="R10" i="24"/>
  <c r="N26" i="24"/>
  <c r="N28" i="24" s="1"/>
  <c r="O26" i="24"/>
  <c r="O28" i="24" s="1"/>
  <c r="Q26" i="24"/>
  <c r="Q28" i="24" s="1"/>
  <c r="R13" i="24"/>
  <c r="R9" i="24"/>
  <c r="AP28" i="24"/>
  <c r="P26" i="24"/>
  <c r="P28" i="24" s="1"/>
  <c r="P33" i="24"/>
  <c r="R12" i="24"/>
  <c r="N33" i="24"/>
  <c r="R16" i="24"/>
  <c r="M34" i="24"/>
  <c r="R14" i="24"/>
  <c r="O33" i="24"/>
  <c r="M33" i="24"/>
  <c r="R22" i="24"/>
  <c r="M37" i="24"/>
  <c r="M26" i="24"/>
  <c r="M28" i="24" s="1"/>
  <c r="U30" i="23"/>
  <c r="S34" i="23"/>
  <c r="AM104" i="21"/>
  <c r="AM109" i="21" s="1"/>
  <c r="R41" i="21"/>
  <c r="AQ102" i="21"/>
  <c r="AQ103" i="21"/>
  <c r="AQ108" i="21" s="1"/>
  <c r="AN104" i="21"/>
  <c r="AN109" i="21" s="1"/>
  <c r="AQ100" i="21"/>
  <c r="AQ104" i="21"/>
  <c r="AQ109" i="21" s="1"/>
  <c r="AP104" i="21"/>
  <c r="AP109" i="21" s="1"/>
  <c r="AQ101" i="21"/>
  <c r="AO103" i="21"/>
  <c r="AO108" i="21" s="1"/>
  <c r="AN103" i="21"/>
  <c r="AN108" i="21" s="1"/>
  <c r="BD35" i="21"/>
  <c r="AP100" i="21"/>
  <c r="K9" i="22"/>
  <c r="CQ112" i="21"/>
  <c r="G92" i="21"/>
  <c r="F100" i="21"/>
  <c r="AN100" i="21"/>
  <c r="AM100" i="21"/>
  <c r="AO101" i="21"/>
  <c r="E92" i="21"/>
  <c r="BD66" i="21"/>
  <c r="AL107" i="21"/>
  <c r="AL110" i="21" s="1"/>
  <c r="AL105" i="21"/>
  <c r="G89" i="21"/>
  <c r="G88" i="21"/>
  <c r="G87" i="21"/>
  <c r="G82" i="21"/>
  <c r="G86" i="21"/>
  <c r="G85" i="21"/>
  <c r="G84" i="21"/>
  <c r="G83" i="21"/>
  <c r="G81" i="21"/>
  <c r="G75" i="21"/>
  <c r="G79" i="21"/>
  <c r="G78" i="21"/>
  <c r="G73" i="21"/>
  <c r="G72" i="21"/>
  <c r="G74" i="21"/>
  <c r="G76" i="21"/>
  <c r="G80" i="21"/>
  <c r="G77" i="21"/>
  <c r="H6" i="21"/>
  <c r="AP101" i="21"/>
  <c r="AR89" i="21"/>
  <c r="AR87" i="21"/>
  <c r="AR88" i="21"/>
  <c r="AR86" i="21"/>
  <c r="AR83" i="21"/>
  <c r="AR81" i="21"/>
  <c r="AR80" i="21"/>
  <c r="AR82" i="21"/>
  <c r="AR85" i="21"/>
  <c r="AR79" i="21"/>
  <c r="AR84" i="21"/>
  <c r="AR75" i="21"/>
  <c r="AR73" i="21"/>
  <c r="AR72" i="21"/>
  <c r="AR78" i="21"/>
  <c r="AR74" i="21"/>
  <c r="AR77" i="21"/>
  <c r="AR76" i="21"/>
  <c r="F104" i="21"/>
  <c r="AQ99" i="21"/>
  <c r="AQ91" i="21"/>
  <c r="BD33" i="21"/>
  <c r="BD30" i="21"/>
  <c r="CK94" i="21"/>
  <c r="AN101" i="21"/>
  <c r="F32" i="21"/>
  <c r="BD31" i="21"/>
  <c r="AO100" i="21"/>
  <c r="AM103" i="21"/>
  <c r="AM108" i="21" s="1"/>
  <c r="F99" i="21"/>
  <c r="F91" i="21"/>
  <c r="E107" i="21"/>
  <c r="E105" i="21"/>
  <c r="AP102" i="21"/>
  <c r="AO102" i="21"/>
  <c r="AN102" i="21"/>
  <c r="AD41" i="21"/>
  <c r="E108" i="21"/>
  <c r="BD34" i="21"/>
  <c r="E109" i="21"/>
  <c r="AP99" i="21"/>
  <c r="AP91" i="21"/>
  <c r="AO99" i="21"/>
  <c r="AO91" i="21"/>
  <c r="AN99" i="21"/>
  <c r="AN91" i="21"/>
  <c r="AM99" i="21"/>
  <c r="AM91" i="21"/>
  <c r="AM102" i="21"/>
  <c r="AP103" i="21"/>
  <c r="AP108" i="21" s="1"/>
  <c r="F101" i="21"/>
  <c r="AO104" i="21"/>
  <c r="AO109" i="21" s="1"/>
  <c r="CR112" i="21"/>
  <c r="H96" i="21"/>
  <c r="H70" i="21"/>
  <c r="H44" i="21"/>
  <c r="I9" i="21"/>
  <c r="H8" i="21"/>
  <c r="H3" i="21"/>
  <c r="F102" i="21"/>
  <c r="AM101" i="21"/>
  <c r="F41" i="21"/>
  <c r="F103" i="21"/>
  <c r="F108" i="21" s="1"/>
  <c r="DL26" i="2"/>
  <c r="DQ27" i="2"/>
  <c r="DP27" i="2"/>
  <c r="DP17" i="2"/>
  <c r="DT12" i="2"/>
  <c r="DT31" i="2" s="1"/>
  <c r="DT32" i="2" s="1"/>
  <c r="DS15" i="2"/>
  <c r="DS34" i="2" s="1"/>
  <c r="DR14" i="2"/>
  <c r="DR13" i="2"/>
  <c r="DR31" i="2" s="1"/>
  <c r="DR32" i="2" s="1"/>
  <c r="DQ15" i="2"/>
  <c r="DP15" i="2"/>
  <c r="DT4" i="2"/>
  <c r="DS4" i="2"/>
  <c r="DR4" i="2"/>
  <c r="DT116" i="2"/>
  <c r="DT98" i="2"/>
  <c r="DT97" i="2"/>
  <c r="DT71" i="2"/>
  <c r="DT66" i="2"/>
  <c r="DT46" i="2"/>
  <c r="DT39" i="2"/>
  <c r="DT38" i="2"/>
  <c r="DT37" i="2"/>
  <c r="DT36" i="2"/>
  <c r="DT35" i="2"/>
  <c r="DT34" i="2"/>
  <c r="DS116" i="2"/>
  <c r="DS98" i="2"/>
  <c r="DS97" i="2"/>
  <c r="DS71" i="2"/>
  <c r="DS66" i="2"/>
  <c r="DS46" i="2"/>
  <c r="DS39" i="2"/>
  <c r="DS38" i="2"/>
  <c r="DS37" i="2"/>
  <c r="DS36" i="2"/>
  <c r="DS35" i="2"/>
  <c r="DR116" i="2"/>
  <c r="DR98" i="2"/>
  <c r="DR97" i="2"/>
  <c r="DR71" i="2"/>
  <c r="DR66" i="2"/>
  <c r="DR46" i="2"/>
  <c r="DR39" i="2"/>
  <c r="DR38" i="2"/>
  <c r="DR37" i="2"/>
  <c r="DR36" i="2"/>
  <c r="DR35" i="2"/>
  <c r="DR34" i="2"/>
  <c r="B1077" i="17"/>
  <c r="B1078" i="17"/>
  <c r="B1079" i="17"/>
  <c r="B1080" i="17"/>
  <c r="B1081" i="17"/>
  <c r="B1082" i="17"/>
  <c r="B1083" i="17"/>
  <c r="B1084" i="17"/>
  <c r="B1085" i="17"/>
  <c r="B1086" i="17"/>
  <c r="B1087" i="17"/>
  <c r="B1088" i="17"/>
  <c r="B1089" i="17"/>
  <c r="B1090" i="17"/>
  <c r="B1091" i="17"/>
  <c r="B1092" i="17"/>
  <c r="B1093" i="17"/>
  <c r="B1094" i="17"/>
  <c r="B1095" i="17"/>
  <c r="B1096" i="17"/>
  <c r="B1097" i="17"/>
  <c r="B1098" i="17"/>
  <c r="B1099" i="17"/>
  <c r="B1100" i="17"/>
  <c r="B1101" i="17"/>
  <c r="B1102" i="17"/>
  <c r="B1103" i="17"/>
  <c r="B1104" i="17"/>
  <c r="B1105" i="17"/>
  <c r="B1106" i="17"/>
  <c r="B1107" i="17"/>
  <c r="B1108" i="17"/>
  <c r="B1109" i="17"/>
  <c r="B1110" i="17"/>
  <c r="B1111" i="17"/>
  <c r="B1112" i="17"/>
  <c r="B1113" i="17"/>
  <c r="B1114" i="17"/>
  <c r="B1115" i="17"/>
  <c r="B1116" i="17"/>
  <c r="B1117" i="17"/>
  <c r="B1118" i="17"/>
  <c r="B1119" i="17"/>
  <c r="B1120" i="17"/>
  <c r="B1121" i="17"/>
  <c r="B1122" i="17"/>
  <c r="B1123" i="17"/>
  <c r="B1124" i="17"/>
  <c r="B1125" i="17"/>
  <c r="B1126" i="17"/>
  <c r="B1127" i="17"/>
  <c r="B1128" i="17"/>
  <c r="B1129" i="17"/>
  <c r="B1130" i="17"/>
  <c r="B1131" i="17"/>
  <c r="B1132" i="17"/>
  <c r="B1133" i="17"/>
  <c r="B1134" i="17"/>
  <c r="B1135" i="17"/>
  <c r="B1136" i="17"/>
  <c r="B1137" i="17"/>
  <c r="B1138" i="17"/>
  <c r="B1139" i="17"/>
  <c r="B1140" i="17"/>
  <c r="B1141" i="17"/>
  <c r="B1142" i="17"/>
  <c r="B1143" i="17"/>
  <c r="B1144" i="17"/>
  <c r="B1145" i="17"/>
  <c r="B1146" i="17"/>
  <c r="B1147" i="17"/>
  <c r="B1148" i="17"/>
  <c r="B1149" i="17"/>
  <c r="B1150" i="17"/>
  <c r="B1151" i="17"/>
  <c r="B1152" i="17"/>
  <c r="B1153" i="17"/>
  <c r="B1154" i="17"/>
  <c r="B1155" i="17"/>
  <c r="B1156" i="17"/>
  <c r="B1157" i="17"/>
  <c r="B1158" i="17"/>
  <c r="B1159" i="17"/>
  <c r="B1160" i="17"/>
  <c r="B1161" i="17"/>
  <c r="B1162" i="17"/>
  <c r="B1163" i="17"/>
  <c r="B1164" i="17"/>
  <c r="B1165" i="17"/>
  <c r="B1166" i="17"/>
  <c r="B1167" i="17"/>
  <c r="B1168" i="17"/>
  <c r="B1169" i="17"/>
  <c r="A1169" i="17" s="1"/>
  <c r="M9" i="22"/>
  <c r="P596" i="17"/>
  <c r="CK105" i="21"/>
  <c r="T8" i="22"/>
  <c r="P8" i="22"/>
  <c r="V9" i="22"/>
  <c r="S8" i="22"/>
  <c r="N8" i="22"/>
  <c r="U9" i="22"/>
  <c r="CK107" i="21"/>
  <c r="Q8" i="22"/>
  <c r="X9" i="22"/>
  <c r="O593" i="17"/>
  <c r="CK108" i="21"/>
  <c r="O596" i="17"/>
  <c r="CK109" i="21"/>
  <c r="P593" i="17"/>
  <c r="W9" i="22"/>
  <c r="O8" i="22"/>
  <c r="T213" i="23" l="1"/>
  <c r="S225" i="23" s="1"/>
  <c r="S226" i="23" s="1"/>
  <c r="X226" i="23"/>
  <c r="Y255" i="23" s="1"/>
  <c r="Y219" i="23"/>
  <c r="Q224" i="23"/>
  <c r="Z221" i="23"/>
  <c r="Q222" i="23"/>
  <c r="Q228" i="23" s="1"/>
  <c r="X210" i="23"/>
  <c r="X211" i="23" s="1"/>
  <c r="X214" i="23" s="1"/>
  <c r="X220" i="23"/>
  <c r="X222" i="23" s="1"/>
  <c r="W225" i="23"/>
  <c r="Q226" i="23"/>
  <c r="Z220" i="23"/>
  <c r="Q227" i="23"/>
  <c r="X36" i="23"/>
  <c r="X37" i="23" s="1"/>
  <c r="X40" i="23" s="1"/>
  <c r="T184" i="23"/>
  <c r="S196" i="23" s="1"/>
  <c r="S197" i="23" s="1"/>
  <c r="Q195" i="23"/>
  <c r="W196" i="23"/>
  <c r="X197" i="23"/>
  <c r="Q193" i="23"/>
  <c r="Y190" i="23"/>
  <c r="X191" i="23"/>
  <c r="X193" i="23" s="1"/>
  <c r="X181" i="23"/>
  <c r="X182" i="23" s="1"/>
  <c r="X185" i="23" s="1"/>
  <c r="Q198" i="23"/>
  <c r="Z192" i="23"/>
  <c r="Z191" i="23"/>
  <c r="Q197" i="23"/>
  <c r="T155" i="23"/>
  <c r="S167" i="23" s="1"/>
  <c r="S168" i="23" s="1"/>
  <c r="Q166" i="23"/>
  <c r="X162" i="23"/>
  <c r="X164" i="23" s="1"/>
  <c r="Q164" i="23"/>
  <c r="W167" i="23"/>
  <c r="Y161" i="23"/>
  <c r="X152" i="23"/>
  <c r="X153" i="23" s="1"/>
  <c r="X156" i="23" s="1"/>
  <c r="X133" i="23"/>
  <c r="X135" i="23" s="1"/>
  <c r="W138" i="23"/>
  <c r="Q137" i="23"/>
  <c r="Y132" i="23"/>
  <c r="Z163" i="23"/>
  <c r="Q135" i="23"/>
  <c r="X168" i="23"/>
  <c r="Z162" i="23"/>
  <c r="T126" i="23"/>
  <c r="S138" i="23" s="1"/>
  <c r="Z134" i="23"/>
  <c r="Q168" i="23"/>
  <c r="Q169" i="23"/>
  <c r="X123" i="23"/>
  <c r="X124" i="23" s="1"/>
  <c r="X127" i="23" s="1"/>
  <c r="X139" i="23"/>
  <c r="Z133" i="23"/>
  <c r="Q140" i="23"/>
  <c r="AB140" i="23" s="1"/>
  <c r="AB141" i="23" s="1"/>
  <c r="Q139" i="23"/>
  <c r="U59" i="23"/>
  <c r="Y45" i="23"/>
  <c r="Z45" i="23" s="1"/>
  <c r="W51" i="23"/>
  <c r="W53" i="23" s="1"/>
  <c r="Z47" i="23"/>
  <c r="Q52" i="23"/>
  <c r="Q48" i="23"/>
  <c r="Q50" i="23"/>
  <c r="X46" i="23"/>
  <c r="X48" i="23" s="1"/>
  <c r="O24" i="23"/>
  <c r="Z46" i="23"/>
  <c r="X52" i="23"/>
  <c r="Y52" i="23" s="1"/>
  <c r="Q53" i="23"/>
  <c r="AB53" i="23" s="1"/>
  <c r="AB54" i="23" s="1"/>
  <c r="T39" i="23"/>
  <c r="S51" i="23" s="1"/>
  <c r="S52" i="23" s="1"/>
  <c r="T97" i="23"/>
  <c r="S109" i="23" s="1"/>
  <c r="S110" i="23" s="1"/>
  <c r="X104" i="23"/>
  <c r="X106" i="23" s="1"/>
  <c r="Z105" i="23"/>
  <c r="Q106" i="23"/>
  <c r="W109" i="23"/>
  <c r="Q108" i="23"/>
  <c r="Y103" i="23"/>
  <c r="X94" i="23"/>
  <c r="X95" i="23" s="1"/>
  <c r="X98" i="23" s="1"/>
  <c r="X110" i="23"/>
  <c r="Q110" i="23"/>
  <c r="Z104" i="23"/>
  <c r="Q111" i="23"/>
  <c r="T68" i="23"/>
  <c r="S80" i="23" s="1"/>
  <c r="S81" i="23" s="1"/>
  <c r="Q79" i="23"/>
  <c r="Y74" i="23"/>
  <c r="Z76" i="23"/>
  <c r="W80" i="23"/>
  <c r="X81" i="23"/>
  <c r="Q81" i="23"/>
  <c r="Z75" i="23"/>
  <c r="X75" i="23"/>
  <c r="X77" i="23" s="1"/>
  <c r="Q77" i="23"/>
  <c r="X65" i="23"/>
  <c r="X66" i="23" s="1"/>
  <c r="X69" i="23" s="1"/>
  <c r="Q82" i="23"/>
  <c r="BD32" i="21"/>
  <c r="F109" i="21"/>
  <c r="BD40" i="21"/>
  <c r="Z264" i="23" s="1"/>
  <c r="P281" i="23" s="1"/>
  <c r="Q39" i="24"/>
  <c r="P39" i="24"/>
  <c r="O39" i="24"/>
  <c r="N39" i="24"/>
  <c r="R28" i="24"/>
  <c r="R33" i="24"/>
  <c r="AP33" i="24" s="1"/>
  <c r="R25" i="24"/>
  <c r="S23" i="24"/>
  <c r="R37" i="24"/>
  <c r="AP37" i="24" s="1"/>
  <c r="M39" i="24"/>
  <c r="R34" i="24"/>
  <c r="AP34" i="24" s="1"/>
  <c r="S15" i="24"/>
  <c r="S10" i="24"/>
  <c r="X51" i="23"/>
  <c r="G101" i="21"/>
  <c r="AR100" i="21"/>
  <c r="AR102" i="21"/>
  <c r="AR104" i="21"/>
  <c r="AR109" i="21" s="1"/>
  <c r="AR103" i="21"/>
  <c r="AR108" i="21" s="1"/>
  <c r="K10" i="22"/>
  <c r="AN107" i="21"/>
  <c r="AN110" i="21" s="1"/>
  <c r="AN105" i="21"/>
  <c r="G100" i="21"/>
  <c r="G103" i="21"/>
  <c r="G108" i="21" s="1"/>
  <c r="AP107" i="21"/>
  <c r="AP110" i="21" s="1"/>
  <c r="AP105" i="21"/>
  <c r="AS89" i="21"/>
  <c r="AS87" i="21"/>
  <c r="AS88" i="21"/>
  <c r="AS86" i="21"/>
  <c r="AS81" i="21"/>
  <c r="AS84" i="21"/>
  <c r="AS83" i="21"/>
  <c r="AS85" i="21"/>
  <c r="AS80" i="21"/>
  <c r="AS74" i="21"/>
  <c r="AS82" i="21"/>
  <c r="AS77" i="21"/>
  <c r="AS75" i="21"/>
  <c r="AS73" i="21"/>
  <c r="AS72" i="21"/>
  <c r="AS78" i="21"/>
  <c r="AS79" i="21"/>
  <c r="AS76" i="21"/>
  <c r="AS92" i="21"/>
  <c r="AR101" i="21"/>
  <c r="G99" i="21"/>
  <c r="G91" i="21"/>
  <c r="G104" i="21"/>
  <c r="E110" i="21"/>
  <c r="AM107" i="21"/>
  <c r="AM110" i="21" s="1"/>
  <c r="AM105" i="21"/>
  <c r="F107" i="21"/>
  <c r="F105" i="21"/>
  <c r="AR99" i="21"/>
  <c r="AR91" i="21"/>
  <c r="AQ107" i="21"/>
  <c r="AQ110" i="21" s="1"/>
  <c r="AQ105" i="21"/>
  <c r="G102" i="21"/>
  <c r="H95" i="21"/>
  <c r="H69" i="21"/>
  <c r="H43" i="21"/>
  <c r="I96" i="21"/>
  <c r="I70" i="21"/>
  <c r="I44" i="21"/>
  <c r="J9" i="21"/>
  <c r="I8" i="21"/>
  <c r="I3" i="21"/>
  <c r="AO107" i="21"/>
  <c r="AO110" i="21" s="1"/>
  <c r="AO105" i="21"/>
  <c r="H89" i="21"/>
  <c r="H88" i="21"/>
  <c r="H87" i="21"/>
  <c r="H86" i="21"/>
  <c r="H83" i="21"/>
  <c r="H81" i="21"/>
  <c r="H80" i="21"/>
  <c r="H85" i="21"/>
  <c r="H84" i="21"/>
  <c r="H82" i="21"/>
  <c r="H79" i="21"/>
  <c r="H78" i="21"/>
  <c r="H76" i="21"/>
  <c r="H73" i="21"/>
  <c r="H72" i="21"/>
  <c r="H75" i="21"/>
  <c r="H74" i="21"/>
  <c r="H77" i="21"/>
  <c r="I6" i="21"/>
  <c r="H92" i="21"/>
  <c r="DT33" i="2"/>
  <c r="DR33" i="2"/>
  <c r="DS31" i="2"/>
  <c r="DS32" i="2" s="1"/>
  <c r="DS33" i="2"/>
  <c r="A1144" i="17"/>
  <c r="A1120" i="17"/>
  <c r="A1167" i="17"/>
  <c r="A1143" i="17"/>
  <c r="A1107" i="17"/>
  <c r="A1084" i="17"/>
  <c r="A1154" i="17"/>
  <c r="A1130" i="17"/>
  <c r="A1095" i="17"/>
  <c r="A1083" i="17"/>
  <c r="A1165" i="17"/>
  <c r="A1153" i="17"/>
  <c r="A1141" i="17"/>
  <c r="A1129" i="17"/>
  <c r="A1117" i="17"/>
  <c r="A1105" i="17"/>
  <c r="A1094" i="17"/>
  <c r="A1082" i="17"/>
  <c r="A1132" i="17"/>
  <c r="A1097" i="17"/>
  <c r="A1155" i="17"/>
  <c r="A1119" i="17"/>
  <c r="A1096" i="17"/>
  <c r="A1166" i="17"/>
  <c r="A1142" i="17"/>
  <c r="A1118" i="17"/>
  <c r="A1164" i="17"/>
  <c r="A1152" i="17"/>
  <c r="A1140" i="17"/>
  <c r="A1128" i="17"/>
  <c r="A1116" i="17"/>
  <c r="A1093" i="17"/>
  <c r="A1081" i="17"/>
  <c r="A1168" i="17"/>
  <c r="A1139" i="17"/>
  <c r="A1092" i="17"/>
  <c r="A1126" i="17"/>
  <c r="A1114" i="17"/>
  <c r="A1103" i="17"/>
  <c r="A1091" i="17"/>
  <c r="A1079" i="17"/>
  <c r="A1161" i="17"/>
  <c r="A1149" i="17"/>
  <c r="A1137" i="17"/>
  <c r="A1125" i="17"/>
  <c r="A1113" i="17"/>
  <c r="A1102" i="17"/>
  <c r="A1090" i="17"/>
  <c r="A1078" i="17"/>
  <c r="A1163" i="17"/>
  <c r="A1115" i="17"/>
  <c r="A1162" i="17"/>
  <c r="A1136" i="17"/>
  <c r="A1101" i="17"/>
  <c r="A1147" i="17"/>
  <c r="A1123" i="17"/>
  <c r="A1111" i="17"/>
  <c r="A1100" i="17"/>
  <c r="A1088" i="17"/>
  <c r="A1151" i="17"/>
  <c r="A1104" i="17"/>
  <c r="A1150" i="17"/>
  <c r="A1160" i="17"/>
  <c r="A1112" i="17"/>
  <c r="A1077" i="17"/>
  <c r="A1159" i="17"/>
  <c r="A1135" i="17"/>
  <c r="A1158" i="17"/>
  <c r="A1146" i="17"/>
  <c r="A1134" i="17"/>
  <c r="A1122" i="17"/>
  <c r="A1110" i="17"/>
  <c r="A1099" i="17"/>
  <c r="A1087" i="17"/>
  <c r="A1127" i="17"/>
  <c r="A1080" i="17"/>
  <c r="A1138" i="17"/>
  <c r="A1148" i="17"/>
  <c r="A1124" i="17"/>
  <c r="A1089" i="17"/>
  <c r="A1157" i="17"/>
  <c r="A1145" i="17"/>
  <c r="A1133" i="17"/>
  <c r="A1121" i="17"/>
  <c r="A1109" i="17"/>
  <c r="A1098" i="17"/>
  <c r="A1086" i="17"/>
  <c r="A1156" i="17"/>
  <c r="A1085" i="17"/>
  <c r="A1131" i="17"/>
  <c r="A1108" i="17"/>
  <c r="A1106" i="17"/>
  <c r="DR40" i="2"/>
  <c r="DT40" i="2"/>
  <c r="DS40" i="2"/>
  <c r="H25" i="1"/>
  <c r="C25" i="1"/>
  <c r="S9" i="22"/>
  <c r="O9" i="22"/>
  <c r="M10" i="22"/>
  <c r="Q9" i="22"/>
  <c r="V10" i="22"/>
  <c r="P9" i="22"/>
  <c r="W10" i="22"/>
  <c r="N9" i="22"/>
  <c r="R9" i="22"/>
  <c r="X10" i="22"/>
  <c r="T9" i="22"/>
  <c r="CK110" i="21"/>
  <c r="U10" i="22"/>
  <c r="AB227" i="23" l="1"/>
  <c r="AB228" i="23" s="1"/>
  <c r="AB256" i="23"/>
  <c r="AB257" i="23" s="1"/>
  <c r="Y110" i="23"/>
  <c r="AB198" i="23"/>
  <c r="AB199" i="23" s="1"/>
  <c r="Q54" i="23"/>
  <c r="Q199" i="23"/>
  <c r="Q170" i="23"/>
  <c r="Y197" i="23"/>
  <c r="Z206" i="23"/>
  <c r="P223" i="23" s="1"/>
  <c r="Z235" i="23"/>
  <c r="P252" i="23" s="1"/>
  <c r="Z219" i="23"/>
  <c r="Z222" i="23" s="1"/>
  <c r="Y222" i="23"/>
  <c r="Y223" i="23" s="1"/>
  <c r="Y226" i="23"/>
  <c r="W227" i="23"/>
  <c r="X225" i="23"/>
  <c r="Y254" i="23" s="1"/>
  <c r="Z148" i="23"/>
  <c r="P165" i="23" s="1"/>
  <c r="Z177" i="23"/>
  <c r="P194" i="23" s="1"/>
  <c r="W169" i="23"/>
  <c r="X167" i="23"/>
  <c r="Y168" i="23"/>
  <c r="Z132" i="23"/>
  <c r="Z135" i="23" s="1"/>
  <c r="Y135" i="23"/>
  <c r="Y136" i="23" s="1"/>
  <c r="Y139" i="23"/>
  <c r="X138" i="23"/>
  <c r="W140" i="23"/>
  <c r="Y81" i="23"/>
  <c r="AB169" i="23"/>
  <c r="AB170" i="23" s="1"/>
  <c r="X196" i="23"/>
  <c r="W198" i="23"/>
  <c r="Q141" i="23"/>
  <c r="Y164" i="23"/>
  <c r="Y165" i="23" s="1"/>
  <c r="Z161" i="23"/>
  <c r="Z164" i="23" s="1"/>
  <c r="Z190" i="23"/>
  <c r="Z193" i="23" s="1"/>
  <c r="Y193" i="23"/>
  <c r="Y194" i="23" s="1"/>
  <c r="Z61" i="23"/>
  <c r="P78" i="23" s="1"/>
  <c r="Z119" i="23"/>
  <c r="P136" i="23" s="1"/>
  <c r="AB82" i="23"/>
  <c r="AB83" i="23" s="1"/>
  <c r="Q83" i="23"/>
  <c r="Z48" i="23"/>
  <c r="P23" i="23"/>
  <c r="AB111" i="23"/>
  <c r="AB112" i="23" s="1"/>
  <c r="Y48" i="23"/>
  <c r="Y49" i="23" s="1"/>
  <c r="X80" i="23"/>
  <c r="Y80" i="23" s="1"/>
  <c r="W82" i="23"/>
  <c r="X109" i="23"/>
  <c r="W111" i="23"/>
  <c r="Q112" i="23"/>
  <c r="Z74" i="23"/>
  <c r="Z77" i="23" s="1"/>
  <c r="Y77" i="23"/>
  <c r="Y78" i="23" s="1"/>
  <c r="Z103" i="23"/>
  <c r="Z106" i="23" s="1"/>
  <c r="Y106" i="23"/>
  <c r="Y107" i="23" s="1"/>
  <c r="Z32" i="23"/>
  <c r="Z90" i="23"/>
  <c r="P107" i="23" s="1"/>
  <c r="F110" i="21"/>
  <c r="S28" i="24"/>
  <c r="R39" i="24"/>
  <c r="AP39" i="24" s="1"/>
  <c r="R27" i="24"/>
  <c r="Y51" i="23"/>
  <c r="X53" i="23"/>
  <c r="AS102" i="21"/>
  <c r="H102" i="21"/>
  <c r="AS103" i="21"/>
  <c r="AS108" i="21" s="1"/>
  <c r="K11" i="22"/>
  <c r="CK112" i="21"/>
  <c r="H103" i="21"/>
  <c r="I95" i="21"/>
  <c r="I69" i="21"/>
  <c r="I43" i="21"/>
  <c r="AS101" i="21"/>
  <c r="H101" i="21"/>
  <c r="J96" i="21"/>
  <c r="J44" i="21"/>
  <c r="J70" i="21"/>
  <c r="J3" i="21"/>
  <c r="J8" i="21"/>
  <c r="K9" i="21"/>
  <c r="AR107" i="21"/>
  <c r="AR110" i="21" s="1"/>
  <c r="AR105" i="21"/>
  <c r="H100" i="21"/>
  <c r="AT89" i="21"/>
  <c r="AT87" i="21"/>
  <c r="AT88" i="21"/>
  <c r="AT86" i="21"/>
  <c r="AT84" i="21"/>
  <c r="AT83" i="21"/>
  <c r="AT85" i="21"/>
  <c r="AT81" i="21"/>
  <c r="AT82" i="21"/>
  <c r="AT78" i="21"/>
  <c r="AT79" i="21"/>
  <c r="AT80" i="21"/>
  <c r="AT73" i="21"/>
  <c r="AT72" i="21"/>
  <c r="AT77" i="21"/>
  <c r="AT75" i="21"/>
  <c r="AT76" i="21"/>
  <c r="AT74" i="21"/>
  <c r="AT92" i="21"/>
  <c r="H99" i="21"/>
  <c r="H91" i="21"/>
  <c r="H104" i="21"/>
  <c r="AS99" i="21"/>
  <c r="AS91" i="21"/>
  <c r="AS104" i="21"/>
  <c r="AS109" i="21" s="1"/>
  <c r="I89" i="21"/>
  <c r="I88" i="21"/>
  <c r="I87" i="21"/>
  <c r="I86" i="21"/>
  <c r="I81" i="21"/>
  <c r="I85" i="21"/>
  <c r="I83" i="21"/>
  <c r="I84" i="21"/>
  <c r="I80" i="21"/>
  <c r="I82" i="21"/>
  <c r="I74" i="21"/>
  <c r="I79" i="21"/>
  <c r="I77" i="21"/>
  <c r="I78" i="21"/>
  <c r="I76" i="21"/>
  <c r="I73" i="21"/>
  <c r="I72" i="21"/>
  <c r="I75" i="21"/>
  <c r="J6" i="21"/>
  <c r="I92" i="21"/>
  <c r="G109" i="21"/>
  <c r="AS100" i="21"/>
  <c r="G107" i="21"/>
  <c r="G105" i="21"/>
  <c r="DX7" i="2"/>
  <c r="DN12" i="2"/>
  <c r="DK13" i="2"/>
  <c r="DK16" i="2"/>
  <c r="R4" i="17"/>
  <c r="B1033" i="17"/>
  <c r="B1034" i="17"/>
  <c r="B1035" i="17"/>
  <c r="B1036" i="17"/>
  <c r="B1037" i="17"/>
  <c r="B1038" i="17"/>
  <c r="B1039" i="17"/>
  <c r="B1040" i="17"/>
  <c r="B1041" i="17"/>
  <c r="B1042" i="17"/>
  <c r="B1043" i="17"/>
  <c r="B1044" i="17"/>
  <c r="B1045" i="17"/>
  <c r="B1046" i="17"/>
  <c r="B1047" i="17"/>
  <c r="B1048" i="17"/>
  <c r="B1049" i="17"/>
  <c r="B1050" i="17"/>
  <c r="B1051" i="17"/>
  <c r="B1052" i="17"/>
  <c r="B1053" i="17"/>
  <c r="B1054" i="17"/>
  <c r="B1055" i="17"/>
  <c r="B1056" i="17"/>
  <c r="B1057" i="17"/>
  <c r="B1058" i="17"/>
  <c r="B1059" i="17"/>
  <c r="B1060" i="17"/>
  <c r="A1060" i="17" s="1"/>
  <c r="B1061" i="17"/>
  <c r="B1062" i="17"/>
  <c r="B1063" i="17"/>
  <c r="B1064" i="17"/>
  <c r="B1065" i="17"/>
  <c r="B1066" i="17"/>
  <c r="B1067" i="17"/>
  <c r="B1068" i="17"/>
  <c r="B1069" i="17"/>
  <c r="B1070" i="17"/>
  <c r="B1071" i="17"/>
  <c r="B1072" i="17"/>
  <c r="B1073" i="17"/>
  <c r="B1074" i="17"/>
  <c r="B1075" i="17"/>
  <c r="B1076" i="17"/>
  <c r="C24" i="1"/>
  <c r="H24" i="1"/>
  <c r="I25" i="1" s="1"/>
  <c r="M11" i="22"/>
  <c r="T10" i="22"/>
  <c r="V11" i="22"/>
  <c r="R10" i="22"/>
  <c r="P10" i="22"/>
  <c r="S10" i="22"/>
  <c r="X11" i="22"/>
  <c r="N10" i="22"/>
  <c r="W11" i="22"/>
  <c r="U11" i="22"/>
  <c r="O10" i="22"/>
  <c r="Q10" i="22"/>
  <c r="Y225" i="23" l="1"/>
  <c r="X227" i="23"/>
  <c r="Y256" i="23" s="1"/>
  <c r="Y109" i="23"/>
  <c r="Y196" i="23"/>
  <c r="X198" i="23"/>
  <c r="Y167" i="23"/>
  <c r="X169" i="23"/>
  <c r="Y138" i="23"/>
  <c r="X140" i="23"/>
  <c r="AT104" i="21"/>
  <c r="AT109" i="21" s="1"/>
  <c r="X111" i="23"/>
  <c r="X82" i="23"/>
  <c r="Y82" i="23" s="1"/>
  <c r="H109" i="21"/>
  <c r="G110" i="21"/>
  <c r="AT101" i="21"/>
  <c r="Y53" i="23"/>
  <c r="I104" i="21"/>
  <c r="AT100" i="21"/>
  <c r="AT103" i="21"/>
  <c r="AT108" i="21" s="1"/>
  <c r="AT102" i="21"/>
  <c r="I100" i="21"/>
  <c r="K12" i="22"/>
  <c r="J88" i="21"/>
  <c r="J87" i="21"/>
  <c r="J86" i="21"/>
  <c r="J89" i="21"/>
  <c r="J85" i="21"/>
  <c r="J83" i="21"/>
  <c r="J84" i="21"/>
  <c r="J80" i="21"/>
  <c r="J82" i="21"/>
  <c r="J79" i="21"/>
  <c r="J78" i="21"/>
  <c r="J81" i="21"/>
  <c r="J76" i="21"/>
  <c r="J73" i="21"/>
  <c r="J72" i="21"/>
  <c r="J75" i="21"/>
  <c r="J74" i="21"/>
  <c r="J77" i="21"/>
  <c r="K6" i="21"/>
  <c r="K72" i="21" s="1"/>
  <c r="J92" i="21"/>
  <c r="I102" i="21"/>
  <c r="I103" i="21"/>
  <c r="I108" i="21" s="1"/>
  <c r="AS107" i="21"/>
  <c r="AS110" i="21" s="1"/>
  <c r="AS105" i="21"/>
  <c r="I99" i="21"/>
  <c r="I91" i="21"/>
  <c r="AU89" i="21"/>
  <c r="AU88" i="21"/>
  <c r="AU86" i="21"/>
  <c r="AU85" i="21"/>
  <c r="AU84" i="21"/>
  <c r="AU80" i="21"/>
  <c r="AU83" i="21"/>
  <c r="AU87" i="21"/>
  <c r="AU82" i="21"/>
  <c r="AU78" i="21"/>
  <c r="AU79" i="21"/>
  <c r="AU81" i="21"/>
  <c r="AU76" i="21"/>
  <c r="AU74" i="21"/>
  <c r="AU75" i="21"/>
  <c r="AU77" i="21"/>
  <c r="AU72" i="21"/>
  <c r="AU73" i="21"/>
  <c r="AU92" i="21"/>
  <c r="K96" i="21"/>
  <c r="K70" i="21"/>
  <c r="K44" i="21"/>
  <c r="K8" i="21"/>
  <c r="K3" i="21"/>
  <c r="L9" i="21"/>
  <c r="J95" i="21"/>
  <c r="J69" i="21"/>
  <c r="J43" i="21"/>
  <c r="AT99" i="21"/>
  <c r="AT91" i="21"/>
  <c r="H108" i="21"/>
  <c r="H107" i="21"/>
  <c r="H105" i="21"/>
  <c r="I101" i="21"/>
  <c r="A1062" i="17"/>
  <c r="A1045" i="17"/>
  <c r="A1068" i="17"/>
  <c r="A1056" i="17"/>
  <c r="A1044" i="17"/>
  <c r="A1072" i="17"/>
  <c r="A1066" i="17"/>
  <c r="A1065" i="17"/>
  <c r="A1053" i="17"/>
  <c r="A1041" i="17"/>
  <c r="A1055" i="17"/>
  <c r="A1040" i="17"/>
  <c r="A1076" i="17"/>
  <c r="A1064" i="17"/>
  <c r="A1052" i="17"/>
  <c r="A1075" i="17"/>
  <c r="A1063" i="17"/>
  <c r="A1039" i="17"/>
  <c r="A1074" i="17"/>
  <c r="A1038" i="17"/>
  <c r="A1057" i="17"/>
  <c r="A1067" i="17"/>
  <c r="A1054" i="17"/>
  <c r="A1073" i="17"/>
  <c r="A1061" i="17"/>
  <c r="A1049" i="17"/>
  <c r="A1037" i="17"/>
  <c r="A1036" i="17"/>
  <c r="A1043" i="17"/>
  <c r="A1048" i="17"/>
  <c r="A1071" i="17"/>
  <c r="A1047" i="17"/>
  <c r="A1035" i="17"/>
  <c r="A1070" i="17"/>
  <c r="A1058" i="17"/>
  <c r="A1046" i="17"/>
  <c r="A1034" i="17"/>
  <c r="A1050" i="17"/>
  <c r="A1059" i="17"/>
  <c r="L25" i="1"/>
  <c r="M25" i="1" s="1"/>
  <c r="J25" i="1"/>
  <c r="A1069" i="17"/>
  <c r="A1033" i="17"/>
  <c r="A1042" i="17"/>
  <c r="A1051" i="17"/>
  <c r="DI23" i="2"/>
  <c r="DG57" i="2"/>
  <c r="DH16" i="2"/>
  <c r="DG16" i="2"/>
  <c r="DG15" i="2"/>
  <c r="DE16" i="2"/>
  <c r="DD16" i="2"/>
  <c r="B988" i="17"/>
  <c r="B989" i="17"/>
  <c r="B990" i="17"/>
  <c r="B991" i="17"/>
  <c r="B992" i="17"/>
  <c r="B993" i="17"/>
  <c r="B994" i="17"/>
  <c r="B995" i="17"/>
  <c r="B996" i="17"/>
  <c r="B997" i="17"/>
  <c r="B998" i="17"/>
  <c r="B999" i="17"/>
  <c r="B1000" i="17"/>
  <c r="B1001" i="17"/>
  <c r="B1002" i="17"/>
  <c r="B1003" i="17"/>
  <c r="B1004" i="17"/>
  <c r="B1005" i="17"/>
  <c r="B1006" i="17"/>
  <c r="B1007" i="17"/>
  <c r="B1008" i="17"/>
  <c r="B1009" i="17"/>
  <c r="B1010" i="17"/>
  <c r="B1011" i="17"/>
  <c r="B1012" i="17"/>
  <c r="B1013" i="17"/>
  <c r="B1014" i="17"/>
  <c r="B1015" i="17"/>
  <c r="B1016" i="17"/>
  <c r="B1017" i="17"/>
  <c r="B1018" i="17"/>
  <c r="B1019" i="17"/>
  <c r="B1020" i="17"/>
  <c r="B1021" i="17"/>
  <c r="B1022" i="17"/>
  <c r="B1023" i="17"/>
  <c r="B1024" i="17"/>
  <c r="B1025" i="17"/>
  <c r="B1026" i="17"/>
  <c r="B1027" i="17"/>
  <c r="B1028" i="17"/>
  <c r="B1029" i="17"/>
  <c r="B1030" i="17"/>
  <c r="B1031" i="17"/>
  <c r="B1032" i="17"/>
  <c r="N11" i="22"/>
  <c r="O11" i="22"/>
  <c r="R11" i="22"/>
  <c r="S11" i="22"/>
  <c r="X12" i="22"/>
  <c r="W12" i="22"/>
  <c r="V12" i="22"/>
  <c r="U12" i="22"/>
  <c r="T11" i="22"/>
  <c r="Q11" i="22"/>
  <c r="P11" i="22"/>
  <c r="Y227" i="23" l="1"/>
  <c r="Y169" i="23"/>
  <c r="Y198" i="23"/>
  <c r="Y111" i="23"/>
  <c r="Y140" i="23"/>
  <c r="I109" i="21"/>
  <c r="J103" i="21"/>
  <c r="J108" i="21" s="1"/>
  <c r="AU102" i="21"/>
  <c r="AU104" i="21"/>
  <c r="AU109" i="21" s="1"/>
  <c r="J100" i="21"/>
  <c r="J104" i="21"/>
  <c r="H110" i="21"/>
  <c r="K13" i="22"/>
  <c r="AT105" i="21"/>
  <c r="AT107" i="21"/>
  <c r="AT110" i="21" s="1"/>
  <c r="J99" i="21"/>
  <c r="J91" i="21"/>
  <c r="AV89" i="21"/>
  <c r="AV87" i="21"/>
  <c r="AV88" i="21"/>
  <c r="AV86" i="21"/>
  <c r="AV90" i="21"/>
  <c r="AV84" i="21"/>
  <c r="AV83" i="21"/>
  <c r="AV85" i="21"/>
  <c r="AV82" i="21"/>
  <c r="AV81" i="21"/>
  <c r="AV80" i="21"/>
  <c r="AV77" i="21"/>
  <c r="AV79" i="21"/>
  <c r="AV73" i="21"/>
  <c r="AV72" i="21"/>
  <c r="AV78" i="21"/>
  <c r="AV76" i="21"/>
  <c r="AV74" i="21"/>
  <c r="AV75" i="21"/>
  <c r="AV92" i="21"/>
  <c r="AU101" i="21"/>
  <c r="AU99" i="21"/>
  <c r="AU91" i="21"/>
  <c r="L96" i="21"/>
  <c r="L70" i="21"/>
  <c r="L44" i="21"/>
  <c r="L8" i="21"/>
  <c r="L3" i="21"/>
  <c r="M9" i="21"/>
  <c r="AU100" i="21"/>
  <c r="AU103" i="21"/>
  <c r="AU108" i="21" s="1"/>
  <c r="K95" i="21"/>
  <c r="K69" i="21"/>
  <c r="K43" i="21"/>
  <c r="J101" i="21"/>
  <c r="K88" i="21"/>
  <c r="K86" i="21"/>
  <c r="K85" i="21"/>
  <c r="K80" i="21"/>
  <c r="K89" i="21"/>
  <c r="K83" i="21"/>
  <c r="K84" i="21"/>
  <c r="K82" i="21"/>
  <c r="K87" i="21"/>
  <c r="K79" i="21"/>
  <c r="K78" i="21"/>
  <c r="K75" i="21"/>
  <c r="K81" i="21"/>
  <c r="K74" i="21"/>
  <c r="K77" i="21"/>
  <c r="K76" i="21"/>
  <c r="K73" i="21"/>
  <c r="L6" i="21"/>
  <c r="K92" i="21"/>
  <c r="J102" i="21"/>
  <c r="I107" i="21"/>
  <c r="I105" i="21"/>
  <c r="A1022" i="17"/>
  <c r="A1021" i="17"/>
  <c r="A1009" i="17"/>
  <c r="A997" i="17"/>
  <c r="A998" i="17"/>
  <c r="A1008" i="17"/>
  <c r="A1032" i="17"/>
  <c r="A996" i="17"/>
  <c r="A1019" i="17"/>
  <c r="A1007" i="17"/>
  <c r="A995" i="17"/>
  <c r="A1011" i="17"/>
  <c r="A1010" i="17"/>
  <c r="A1020" i="17"/>
  <c r="A1031" i="17"/>
  <c r="A1030" i="17"/>
  <c r="A1018" i="17"/>
  <c r="A1006" i="17"/>
  <c r="A994" i="17"/>
  <c r="A993" i="17"/>
  <c r="A992" i="17"/>
  <c r="A999" i="17"/>
  <c r="A1029" i="17"/>
  <c r="A1027" i="17"/>
  <c r="A1015" i="17"/>
  <c r="A1003" i="17"/>
  <c r="A991" i="17"/>
  <c r="A1023" i="17"/>
  <c r="A1017" i="17"/>
  <c r="A1028" i="17"/>
  <c r="A1016" i="17"/>
  <c r="A1004" i="17"/>
  <c r="A1026" i="17"/>
  <c r="A1014" i="17"/>
  <c r="A1002" i="17"/>
  <c r="A990" i="17"/>
  <c r="A1005" i="17"/>
  <c r="A989" i="17"/>
  <c r="A1025" i="17"/>
  <c r="A1013" i="17"/>
  <c r="A1001" i="17"/>
  <c r="A1024" i="17"/>
  <c r="A1012" i="17"/>
  <c r="A1000" i="17"/>
  <c r="A988" i="17"/>
  <c r="C1011" i="17"/>
  <c r="C1012" i="17" s="1"/>
  <c r="C1013" i="17" s="1"/>
  <c r="C1014" i="17" s="1"/>
  <c r="C1015" i="17" s="1"/>
  <c r="C1016" i="17" s="1"/>
  <c r="C1017" i="17" s="1"/>
  <c r="C1018" i="17" s="1"/>
  <c r="C1019" i="17" s="1"/>
  <c r="C1020" i="17" s="1"/>
  <c r="C1021" i="17"/>
  <c r="C1022" i="17" s="1"/>
  <c r="C1023" i="17" s="1"/>
  <c r="C1024" i="17" s="1"/>
  <c r="C1025" i="17" s="1"/>
  <c r="C1026" i="17" s="1"/>
  <c r="C1027" i="17" s="1"/>
  <c r="C1028" i="17" s="1"/>
  <c r="C1029" i="17" s="1"/>
  <c r="C1030" i="17" s="1"/>
  <c r="C1031" i="17" s="1"/>
  <c r="C1032" i="17" s="1"/>
  <c r="C1033" i="17" s="1"/>
  <c r="C1034" i="17" s="1"/>
  <c r="C1035" i="17" s="1"/>
  <c r="C1036" i="17" s="1"/>
  <c r="C1037" i="17" s="1"/>
  <c r="C1038" i="17" s="1"/>
  <c r="C1039" i="17" s="1"/>
  <c r="C1040" i="17" s="1"/>
  <c r="C1041" i="17" s="1"/>
  <c r="C1042" i="17" s="1"/>
  <c r="C1043" i="17" s="1"/>
  <c r="C1044" i="17" s="1"/>
  <c r="C1045" i="17" s="1"/>
  <c r="C1046" i="17" s="1"/>
  <c r="C1047" i="17" s="1"/>
  <c r="C1048" i="17" s="1"/>
  <c r="C1049" i="17" s="1"/>
  <c r="C1050" i="17" s="1"/>
  <c r="C1051" i="17" s="1"/>
  <c r="C1052" i="17" s="1"/>
  <c r="C1053" i="17" s="1"/>
  <c r="C1054" i="17" s="1"/>
  <c r="C1055" i="17" s="1"/>
  <c r="C1056" i="17" s="1"/>
  <c r="C1057" i="17" s="1"/>
  <c r="C1058" i="17" s="1"/>
  <c r="C1059" i="17" s="1"/>
  <c r="C1060" i="17" s="1"/>
  <c r="C1061" i="17" s="1"/>
  <c r="C1062" i="17" s="1"/>
  <c r="C1063" i="17" s="1"/>
  <c r="C1064" i="17" s="1"/>
  <c r="C1065" i="17" s="1"/>
  <c r="C1066" i="17" s="1"/>
  <c r="C1067" i="17" s="1"/>
  <c r="C1068" i="17" s="1"/>
  <c r="C1069" i="17" s="1"/>
  <c r="C1070" i="17" s="1"/>
  <c r="C1071" i="17" s="1"/>
  <c r="C1072" i="17" s="1"/>
  <c r="C1073" i="17" s="1"/>
  <c r="C1074" i="17" s="1"/>
  <c r="C1075" i="17" s="1"/>
  <c r="C1076" i="17" s="1"/>
  <c r="C1077" i="17" s="1"/>
  <c r="C1078" i="17" s="1"/>
  <c r="C1079" i="17" s="1"/>
  <c r="C1080" i="17" s="1"/>
  <c r="C1081" i="17" s="1"/>
  <c r="C1082" i="17" s="1"/>
  <c r="C1083" i="17" s="1"/>
  <c r="C1084" i="17" s="1"/>
  <c r="C1085" i="17" s="1"/>
  <c r="C1086" i="17" s="1"/>
  <c r="C1087" i="17" s="1"/>
  <c r="C1088" i="17" s="1"/>
  <c r="C1089" i="17" s="1"/>
  <c r="C1090" i="17" s="1"/>
  <c r="C1091" i="17" s="1"/>
  <c r="C1092" i="17" s="1"/>
  <c r="C1093" i="17" s="1"/>
  <c r="C1094" i="17" s="1"/>
  <c r="C1095" i="17" s="1"/>
  <c r="C1096" i="17" s="1"/>
  <c r="C1097" i="17" s="1"/>
  <c r="C1098" i="17" s="1"/>
  <c r="C1099" i="17" s="1"/>
  <c r="C1100" i="17" s="1"/>
  <c r="C1101" i="17" s="1"/>
  <c r="C1102" i="17" s="1"/>
  <c r="C1103" i="17" s="1"/>
  <c r="C1104" i="17" s="1"/>
  <c r="C1105" i="17" s="1"/>
  <c r="C1106" i="17" s="1"/>
  <c r="C1107" i="17" s="1"/>
  <c r="C1108" i="17" s="1"/>
  <c r="C1109" i="17" s="1"/>
  <c r="C1110" i="17" s="1"/>
  <c r="C1111" i="17" s="1"/>
  <c r="C1112" i="17" s="1"/>
  <c r="C1113" i="17" s="1"/>
  <c r="C1114" i="17" s="1"/>
  <c r="C1115" i="17" s="1"/>
  <c r="C1116" i="17" s="1"/>
  <c r="C1117" i="17" s="1"/>
  <c r="C1118" i="17" s="1"/>
  <c r="C1119" i="17" s="1"/>
  <c r="C1120" i="17" s="1"/>
  <c r="C1121" i="17" s="1"/>
  <c r="C1122" i="17" s="1"/>
  <c r="C1123" i="17" s="1"/>
  <c r="C1124" i="17" s="1"/>
  <c r="C1125" i="17" s="1"/>
  <c r="C1126" i="17" s="1"/>
  <c r="C1127" i="17" s="1"/>
  <c r="C1128" i="17" s="1"/>
  <c r="C1129" i="17" s="1"/>
  <c r="C1130" i="17" s="1"/>
  <c r="C1131" i="17" s="1"/>
  <c r="C1132" i="17" s="1"/>
  <c r="C1133" i="17" s="1"/>
  <c r="C1134" i="17" s="1"/>
  <c r="C1135" i="17" s="1"/>
  <c r="C1136" i="17" s="1"/>
  <c r="C1137" i="17" s="1"/>
  <c r="C1138" i="17" s="1"/>
  <c r="C1139" i="17" s="1"/>
  <c r="C1140" i="17" s="1"/>
  <c r="C1141" i="17" s="1"/>
  <c r="C1142" i="17" s="1"/>
  <c r="C1143" i="17" s="1"/>
  <c r="C1144" i="17" s="1"/>
  <c r="C1145" i="17" s="1"/>
  <c r="C1146" i="17" s="1"/>
  <c r="C1147" i="17" s="1"/>
  <c r="C1148" i="17" s="1"/>
  <c r="C1149" i="17" s="1"/>
  <c r="C1150" i="17" s="1"/>
  <c r="C1151" i="17" s="1"/>
  <c r="C1152" i="17" s="1"/>
  <c r="C1153" i="17" s="1"/>
  <c r="C1154" i="17" s="1"/>
  <c r="C1155" i="17" s="1"/>
  <c r="C1156" i="17" s="1"/>
  <c r="C1157" i="17" s="1"/>
  <c r="C1158" i="17" s="1"/>
  <c r="C1159" i="17" s="1"/>
  <c r="C1160" i="17" s="1"/>
  <c r="C1161" i="17" s="1"/>
  <c r="C1162" i="17" s="1"/>
  <c r="C1163" i="17" s="1"/>
  <c r="C1164" i="17" s="1"/>
  <c r="C1165" i="17" s="1"/>
  <c r="C1166" i="17" s="1"/>
  <c r="C1167" i="17" s="1"/>
  <c r="C1168" i="17" s="1"/>
  <c r="C1169" i="17" s="1"/>
  <c r="DE33" i="2"/>
  <c r="DF33" i="2"/>
  <c r="DG33" i="2"/>
  <c r="DH33" i="2"/>
  <c r="DI33" i="2"/>
  <c r="DJ33" i="2"/>
  <c r="DK33" i="2"/>
  <c r="DL33" i="2"/>
  <c r="DM33" i="2"/>
  <c r="DN33" i="2"/>
  <c r="DO33" i="2"/>
  <c r="DP33" i="2"/>
  <c r="DQ33" i="2"/>
  <c r="DU33" i="2"/>
  <c r="DE34" i="2"/>
  <c r="DF34" i="2"/>
  <c r="DG34" i="2"/>
  <c r="DH34" i="2"/>
  <c r="DI34" i="2"/>
  <c r="DJ34" i="2"/>
  <c r="DK34" i="2"/>
  <c r="DL34" i="2"/>
  <c r="DM34" i="2"/>
  <c r="DN34" i="2"/>
  <c r="DO34" i="2"/>
  <c r="DP34" i="2"/>
  <c r="DQ34" i="2"/>
  <c r="DU34" i="2"/>
  <c r="G34" i="2"/>
  <c r="I34" i="2"/>
  <c r="J34" i="2"/>
  <c r="K34" i="2"/>
  <c r="L34" i="2"/>
  <c r="M34" i="2"/>
  <c r="N34" i="2"/>
  <c r="O34" i="2"/>
  <c r="P34" i="2"/>
  <c r="Q34" i="2"/>
  <c r="S34" i="2"/>
  <c r="T34" i="2"/>
  <c r="U34" i="2"/>
  <c r="V34" i="2"/>
  <c r="W34" i="2"/>
  <c r="X34" i="2"/>
  <c r="Y34" i="2"/>
  <c r="Z34" i="2"/>
  <c r="AA34" i="2"/>
  <c r="AB34" i="2"/>
  <c r="AD34" i="2"/>
  <c r="AE34" i="2"/>
  <c r="AF34" i="2"/>
  <c r="AG34" i="2"/>
  <c r="AH34" i="2"/>
  <c r="AI34" i="2"/>
  <c r="AJ34" i="2"/>
  <c r="AK34" i="2"/>
  <c r="AL34" i="2"/>
  <c r="AM34" i="2"/>
  <c r="AN34" i="2"/>
  <c r="AP34" i="2"/>
  <c r="AR34" i="2"/>
  <c r="AS34" i="2"/>
  <c r="AV34" i="2"/>
  <c r="AW34" i="2"/>
  <c r="AX34" i="2"/>
  <c r="AY34" i="2"/>
  <c r="BA34" i="2"/>
  <c r="BB34" i="2"/>
  <c r="BC34" i="2"/>
  <c r="BD34" i="2"/>
  <c r="BE34" i="2"/>
  <c r="BF34" i="2"/>
  <c r="BG34" i="2"/>
  <c r="BJ34" i="2"/>
  <c r="BK34" i="2"/>
  <c r="BN34" i="2"/>
  <c r="BO34" i="2"/>
  <c r="BP34" i="2"/>
  <c r="BR34" i="2"/>
  <c r="BW34" i="2"/>
  <c r="BX34" i="2"/>
  <c r="BZ34" i="2"/>
  <c r="CA34" i="2"/>
  <c r="CB34" i="2"/>
  <c r="CC34" i="2"/>
  <c r="CE34" i="2"/>
  <c r="CF34" i="2"/>
  <c r="CH34" i="2"/>
  <c r="CJ34" i="2"/>
  <c r="CL34" i="2"/>
  <c r="CM34" i="2"/>
  <c r="CN34" i="2"/>
  <c r="CO34" i="2"/>
  <c r="CP34" i="2"/>
  <c r="CQ34" i="2"/>
  <c r="CS34" i="2"/>
  <c r="CU34" i="2"/>
  <c r="CV34" i="2"/>
  <c r="CW34" i="2"/>
  <c r="CZ34" i="2"/>
  <c r="G33" i="2"/>
  <c r="I33" i="2"/>
  <c r="J33" i="2"/>
  <c r="K33" i="2"/>
  <c r="L33" i="2"/>
  <c r="M33" i="2"/>
  <c r="N33" i="2"/>
  <c r="O33" i="2"/>
  <c r="P33" i="2"/>
  <c r="Q33" i="2"/>
  <c r="S33" i="2"/>
  <c r="T33" i="2"/>
  <c r="U33" i="2"/>
  <c r="V33" i="2"/>
  <c r="W33" i="2"/>
  <c r="X33" i="2"/>
  <c r="Y33" i="2"/>
  <c r="Z33" i="2"/>
  <c r="AA33" i="2"/>
  <c r="AD33" i="2"/>
  <c r="AE33" i="2"/>
  <c r="AF33" i="2"/>
  <c r="AG33" i="2"/>
  <c r="AH33" i="2"/>
  <c r="AI33" i="2"/>
  <c r="AJ33" i="2"/>
  <c r="AK33" i="2"/>
  <c r="AL33" i="2"/>
  <c r="AM33" i="2"/>
  <c r="AN33" i="2"/>
  <c r="AS33" i="2"/>
  <c r="AW33" i="2"/>
  <c r="AY33" i="2"/>
  <c r="BA33" i="2"/>
  <c r="BB33" i="2"/>
  <c r="BC33" i="2"/>
  <c r="BD33" i="2"/>
  <c r="BE33" i="2"/>
  <c r="BF33" i="2"/>
  <c r="BG33" i="2"/>
  <c r="BJ33" i="2"/>
  <c r="BK33" i="2"/>
  <c r="BN33" i="2"/>
  <c r="BO33" i="2"/>
  <c r="BP33" i="2"/>
  <c r="BR33" i="2"/>
  <c r="BW33" i="2"/>
  <c r="BX33" i="2"/>
  <c r="BZ33" i="2"/>
  <c r="CA33" i="2"/>
  <c r="CB33" i="2"/>
  <c r="CC33" i="2"/>
  <c r="CE33" i="2"/>
  <c r="CF33" i="2"/>
  <c r="CH33" i="2"/>
  <c r="CJ33" i="2"/>
  <c r="CL33" i="2"/>
  <c r="CM33" i="2"/>
  <c r="CN33" i="2"/>
  <c r="CO33" i="2"/>
  <c r="CP33" i="2"/>
  <c r="CQ33" i="2"/>
  <c r="CS33" i="2"/>
  <c r="CU33" i="2"/>
  <c r="CV33" i="2"/>
  <c r="CW33" i="2"/>
  <c r="DD33" i="2"/>
  <c r="FP95" i="2"/>
  <c r="N12" i="22"/>
  <c r="Q12" i="22"/>
  <c r="R12" i="22"/>
  <c r="V13" i="22"/>
  <c r="O12" i="22"/>
  <c r="P12" i="22"/>
  <c r="W13" i="22"/>
  <c r="U13" i="22"/>
  <c r="S12" i="22"/>
  <c r="X13" i="22"/>
  <c r="M12" i="22"/>
  <c r="T12" i="22"/>
  <c r="I110" i="21" l="1"/>
  <c r="J109" i="21"/>
  <c r="AV101" i="21"/>
  <c r="AV104" i="21"/>
  <c r="AV109" i="21" s="1"/>
  <c r="K104" i="21"/>
  <c r="AV103" i="21"/>
  <c r="AV108" i="21" s="1"/>
  <c r="AV102" i="21"/>
  <c r="K14" i="22"/>
  <c r="AV99" i="21"/>
  <c r="AV91" i="21"/>
  <c r="AU105" i="21"/>
  <c r="AU107" i="21"/>
  <c r="AU110" i="21" s="1"/>
  <c r="AV100" i="21"/>
  <c r="L87" i="21"/>
  <c r="L86" i="21"/>
  <c r="L89" i="21"/>
  <c r="L88" i="21"/>
  <c r="L85" i="21"/>
  <c r="L83" i="21"/>
  <c r="L84" i="21"/>
  <c r="L82" i="21"/>
  <c r="L77" i="21"/>
  <c r="L81" i="21"/>
  <c r="L78" i="21"/>
  <c r="L73" i="21"/>
  <c r="L72" i="21"/>
  <c r="L74" i="21"/>
  <c r="L79" i="21"/>
  <c r="L80" i="21"/>
  <c r="L76" i="21"/>
  <c r="L75" i="21"/>
  <c r="M6" i="21"/>
  <c r="L92" i="21"/>
  <c r="J105" i="21"/>
  <c r="J107" i="21"/>
  <c r="K102" i="21"/>
  <c r="K99" i="21"/>
  <c r="K91" i="21"/>
  <c r="K101" i="21"/>
  <c r="AW90" i="21"/>
  <c r="AW89" i="21"/>
  <c r="AW87" i="21"/>
  <c r="AW88" i="21"/>
  <c r="AW85" i="21"/>
  <c r="AW86" i="21"/>
  <c r="AW82" i="21"/>
  <c r="AW84" i="21"/>
  <c r="AW81" i="21"/>
  <c r="AW80" i="21"/>
  <c r="AW78" i="21"/>
  <c r="AW77" i="21"/>
  <c r="AW79" i="21"/>
  <c r="AW76" i="21"/>
  <c r="AW83" i="21"/>
  <c r="AW73" i="21"/>
  <c r="AW72" i="21"/>
  <c r="AW74" i="21"/>
  <c r="AW75" i="21"/>
  <c r="AW92" i="21"/>
  <c r="K103" i="21"/>
  <c r="M96" i="21"/>
  <c r="M70" i="21"/>
  <c r="M44" i="21"/>
  <c r="M8" i="21"/>
  <c r="M3" i="21"/>
  <c r="N9" i="21"/>
  <c r="K100" i="21"/>
  <c r="L95" i="21"/>
  <c r="L69" i="21"/>
  <c r="L43" i="21"/>
  <c r="T14" i="22"/>
  <c r="Q13" i="22"/>
  <c r="P13" i="22"/>
  <c r="S14" i="22"/>
  <c r="H126" i="12" a="1"/>
  <c r="T13" i="22"/>
  <c r="H127" i="12" a="1"/>
  <c r="H138" i="12" a="1"/>
  <c r="V14" i="22"/>
  <c r="H130" i="12" a="1"/>
  <c r="H137" i="12" a="1"/>
  <c r="H128" i="12" a="1"/>
  <c r="H134" i="12" a="1"/>
  <c r="X14" i="22"/>
  <c r="H133" i="12" a="1"/>
  <c r="S13" i="22"/>
  <c r="H136" i="12" a="1"/>
  <c r="W14" i="22"/>
  <c r="O13" i="22"/>
  <c r="U14" i="22"/>
  <c r="H129" i="12" a="1"/>
  <c r="R13" i="22"/>
  <c r="M13" i="22"/>
  <c r="H135" i="12" a="1"/>
  <c r="N13" i="22"/>
  <c r="H132" i="12" a="1"/>
  <c r="H131" i="12" a="1"/>
  <c r="J110" i="21" l="1"/>
  <c r="K109" i="21"/>
  <c r="AW101" i="21"/>
  <c r="L101" i="21"/>
  <c r="AW102" i="21"/>
  <c r="L104" i="21"/>
  <c r="L109" i="21" s="1"/>
  <c r="L103" i="21"/>
  <c r="L108" i="21" s="1"/>
  <c r="K15" i="22"/>
  <c r="AW100" i="21"/>
  <c r="L99" i="21"/>
  <c r="L91" i="21"/>
  <c r="K108" i="21"/>
  <c r="M95" i="21"/>
  <c r="M43" i="21"/>
  <c r="M69" i="21"/>
  <c r="AX90" i="21"/>
  <c r="AX89" i="21"/>
  <c r="AX88" i="21"/>
  <c r="AX86" i="21"/>
  <c r="AX85" i="21"/>
  <c r="AX83" i="21"/>
  <c r="AX87" i="21"/>
  <c r="AX81" i="21"/>
  <c r="AX80" i="21"/>
  <c r="AX78" i="21"/>
  <c r="AX82" i="21"/>
  <c r="AX79" i="21"/>
  <c r="AX84" i="21"/>
  <c r="AX73" i="21"/>
  <c r="AX74" i="21"/>
  <c r="AX76" i="21"/>
  <c r="AX75" i="21"/>
  <c r="AX77" i="21"/>
  <c r="AX72" i="21"/>
  <c r="AX92" i="21"/>
  <c r="K105" i="21"/>
  <c r="K107" i="21"/>
  <c r="L100" i="21"/>
  <c r="N96" i="21"/>
  <c r="N70" i="21"/>
  <c r="N44" i="21"/>
  <c r="N8" i="21"/>
  <c r="N3" i="21"/>
  <c r="O9" i="21"/>
  <c r="AW99" i="21"/>
  <c r="AW91" i="21"/>
  <c r="AW103" i="21"/>
  <c r="AW108" i="21" s="1"/>
  <c r="AW104" i="21"/>
  <c r="AW109" i="21" s="1"/>
  <c r="M87" i="21"/>
  <c r="M85" i="21"/>
  <c r="M89" i="21"/>
  <c r="M86" i="21"/>
  <c r="M84" i="21"/>
  <c r="M88" i="21"/>
  <c r="M83" i="21"/>
  <c r="M82" i="21"/>
  <c r="M79" i="21"/>
  <c r="M78" i="21"/>
  <c r="M77" i="21"/>
  <c r="M81" i="21"/>
  <c r="M76" i="21"/>
  <c r="M80" i="21"/>
  <c r="M73" i="21"/>
  <c r="M72" i="21"/>
  <c r="M75" i="21"/>
  <c r="M74" i="21"/>
  <c r="N6" i="21"/>
  <c r="M92" i="21"/>
  <c r="L102" i="21"/>
  <c r="AV105" i="21"/>
  <c r="AV107" i="21"/>
  <c r="AV110" i="21" s="1"/>
  <c r="H130" i="12"/>
  <c r="H129" i="12"/>
  <c r="H134" i="12"/>
  <c r="H128" i="12"/>
  <c r="H135" i="12"/>
  <c r="H133" i="12"/>
  <c r="H127" i="12"/>
  <c r="H136" i="12"/>
  <c r="H138" i="12"/>
  <c r="H132" i="12"/>
  <c r="H126" i="12"/>
  <c r="H137" i="12"/>
  <c r="H131" i="12"/>
  <c r="M14" i="22"/>
  <c r="Q14" i="22"/>
  <c r="P14" i="22"/>
  <c r="V15" i="22"/>
  <c r="W15" i="22"/>
  <c r="R14" i="22"/>
  <c r="T15" i="22"/>
  <c r="O14" i="22"/>
  <c r="X15" i="22"/>
  <c r="U15" i="22"/>
  <c r="N14" i="22"/>
  <c r="S15" i="22"/>
  <c r="K110" i="21" l="1"/>
  <c r="M104" i="21"/>
  <c r="M109" i="21" s="1"/>
  <c r="AX100" i="21"/>
  <c r="AX104" i="21"/>
  <c r="AX109" i="21" s="1"/>
  <c r="M101" i="21"/>
  <c r="AX101" i="21"/>
  <c r="AX103" i="21"/>
  <c r="AX108" i="21" s="1"/>
  <c r="K16" i="22"/>
  <c r="N86" i="21"/>
  <c r="N89" i="21"/>
  <c r="N88" i="21"/>
  <c r="N85" i="21"/>
  <c r="N83" i="21"/>
  <c r="N87" i="21"/>
  <c r="N82" i="21"/>
  <c r="N79" i="21"/>
  <c r="N84" i="21"/>
  <c r="N81" i="21"/>
  <c r="N78" i="21"/>
  <c r="N75" i="21"/>
  <c r="N74" i="21"/>
  <c r="N77" i="21"/>
  <c r="N80" i="21"/>
  <c r="N76" i="21"/>
  <c r="N72" i="21"/>
  <c r="N73" i="21"/>
  <c r="O6" i="21"/>
  <c r="N92" i="21"/>
  <c r="M102" i="21"/>
  <c r="M99" i="21"/>
  <c r="M91" i="21"/>
  <c r="AW105" i="21"/>
  <c r="AW107" i="21"/>
  <c r="AW110" i="21" s="1"/>
  <c r="AY90" i="21"/>
  <c r="AY89" i="21"/>
  <c r="AY88" i="21"/>
  <c r="AY84" i="21"/>
  <c r="AY83" i="21"/>
  <c r="AY79" i="21"/>
  <c r="AY87" i="21"/>
  <c r="AY86" i="21"/>
  <c r="AY85" i="21"/>
  <c r="AY82" i="21"/>
  <c r="AY80" i="21"/>
  <c r="AY81" i="21"/>
  <c r="AY78" i="21"/>
  <c r="AY77" i="21"/>
  <c r="AY75" i="21"/>
  <c r="AY74" i="21"/>
  <c r="AY76" i="21"/>
  <c r="AY72" i="21"/>
  <c r="AY73" i="21"/>
  <c r="AY92" i="21"/>
  <c r="O96" i="21"/>
  <c r="O70" i="21"/>
  <c r="O44" i="21"/>
  <c r="O8" i="21"/>
  <c r="P9" i="21"/>
  <c r="O3" i="21"/>
  <c r="AX99" i="21"/>
  <c r="AX91" i="21"/>
  <c r="M103" i="21"/>
  <c r="AX102" i="21"/>
  <c r="N95" i="21"/>
  <c r="N69" i="21"/>
  <c r="N43" i="21"/>
  <c r="M100" i="21"/>
  <c r="L105" i="21"/>
  <c r="L107" i="21"/>
  <c r="L110" i="21" s="1"/>
  <c r="DC12" i="2"/>
  <c r="DB15" i="2"/>
  <c r="DB14" i="2"/>
  <c r="DA15" i="2"/>
  <c r="DA12" i="2"/>
  <c r="H123" i="12" a="1"/>
  <c r="S16" i="22"/>
  <c r="W16" i="22"/>
  <c r="U16" i="22"/>
  <c r="X16" i="22"/>
  <c r="T16" i="22"/>
  <c r="H124" i="12" a="1"/>
  <c r="M15" i="22"/>
  <c r="Q15" i="22"/>
  <c r="V16" i="22"/>
  <c r="N15" i="22"/>
  <c r="R15" i="22"/>
  <c r="O15" i="22"/>
  <c r="H122" i="12" a="1"/>
  <c r="H125" i="12" a="1"/>
  <c r="P15" i="22"/>
  <c r="N100" i="21" l="1"/>
  <c r="BA73" i="21"/>
  <c r="BA79" i="21"/>
  <c r="BA85" i="21"/>
  <c r="BA90" i="21"/>
  <c r="BA88" i="21"/>
  <c r="BA78" i="21"/>
  <c r="BA74" i="21"/>
  <c r="BA80" i="21"/>
  <c r="BA86" i="21"/>
  <c r="BA82" i="21"/>
  <c r="BA77" i="21"/>
  <c r="BA100" i="21" s="1"/>
  <c r="BA72" i="21"/>
  <c r="BA84" i="21"/>
  <c r="BA83" i="21"/>
  <c r="BA75" i="21"/>
  <c r="BA81" i="21"/>
  <c r="BA87" i="21"/>
  <c r="BA76" i="21"/>
  <c r="BA89" i="21"/>
  <c r="BA92" i="21"/>
  <c r="AY104" i="21"/>
  <c r="AY109" i="21" s="1"/>
  <c r="N101" i="21"/>
  <c r="AY101" i="21"/>
  <c r="AY103" i="21"/>
  <c r="AY108" i="21" s="1"/>
  <c r="N104" i="21"/>
  <c r="N109" i="21" s="1"/>
  <c r="AY102" i="21"/>
  <c r="AY100" i="21"/>
  <c r="N102" i="21"/>
  <c r="K17" i="22"/>
  <c r="AX107" i="21"/>
  <c r="AX110" i="21" s="1"/>
  <c r="AX105" i="21"/>
  <c r="O89" i="21"/>
  <c r="O88" i="21"/>
  <c r="O84" i="21"/>
  <c r="O86" i="21"/>
  <c r="O83" i="21"/>
  <c r="O79" i="21"/>
  <c r="O82" i="21"/>
  <c r="O87" i="21"/>
  <c r="O85" i="21"/>
  <c r="O78" i="21"/>
  <c r="O77" i="21"/>
  <c r="O81" i="21"/>
  <c r="O80" i="21"/>
  <c r="O75" i="21"/>
  <c r="O74" i="21"/>
  <c r="O76" i="21"/>
  <c r="O72" i="21"/>
  <c r="O73" i="21"/>
  <c r="P6" i="21"/>
  <c r="O92" i="21"/>
  <c r="P96" i="21"/>
  <c r="P70" i="21"/>
  <c r="P44" i="21"/>
  <c r="P8" i="21"/>
  <c r="P3" i="21"/>
  <c r="Q9" i="21"/>
  <c r="O95" i="21"/>
  <c r="O69" i="21"/>
  <c r="O43" i="21"/>
  <c r="N99" i="21"/>
  <c r="N91" i="21"/>
  <c r="N103" i="21"/>
  <c r="N108" i="21" s="1"/>
  <c r="M105" i="21"/>
  <c r="M107" i="21"/>
  <c r="AZ88" i="21"/>
  <c r="AZ90" i="21"/>
  <c r="AZ89" i="21"/>
  <c r="AZ87" i="21"/>
  <c r="AZ86" i="21"/>
  <c r="AZ85" i="21"/>
  <c r="AZ82" i="21"/>
  <c r="AZ84" i="21"/>
  <c r="AZ81" i="21"/>
  <c r="AZ76" i="21"/>
  <c r="AZ80" i="21"/>
  <c r="AZ78" i="21"/>
  <c r="AZ75" i="21"/>
  <c r="AZ83" i="21"/>
  <c r="AZ77" i="21"/>
  <c r="AZ73" i="21"/>
  <c r="AZ72" i="21"/>
  <c r="AZ79" i="21"/>
  <c r="AZ74" i="21"/>
  <c r="AZ92" i="21"/>
  <c r="M108" i="21"/>
  <c r="AY99" i="21"/>
  <c r="AY91" i="21"/>
  <c r="DA34" i="2"/>
  <c r="DA33" i="2"/>
  <c r="DB34" i="2"/>
  <c r="DB33" i="2"/>
  <c r="DC33" i="2"/>
  <c r="DC34" i="2"/>
  <c r="H125" i="12"/>
  <c r="H124" i="12"/>
  <c r="H123" i="12"/>
  <c r="H122" i="12"/>
  <c r="FP102" i="2"/>
  <c r="FP105" i="2" s="1"/>
  <c r="FP106" i="2" s="1"/>
  <c r="BD89" i="2"/>
  <c r="AL89" i="2"/>
  <c r="BD88" i="2"/>
  <c r="AL88" i="2"/>
  <c r="BD87" i="2"/>
  <c r="AL87" i="2"/>
  <c r="BD86" i="2"/>
  <c r="AL86" i="2"/>
  <c r="BD85" i="2"/>
  <c r="AL85" i="2"/>
  <c r="BD84" i="2"/>
  <c r="AL84" i="2"/>
  <c r="BD83" i="2"/>
  <c r="AL83" i="2"/>
  <c r="BD82" i="2"/>
  <c r="AL82" i="2"/>
  <c r="BD81" i="2"/>
  <c r="AL81" i="2"/>
  <c r="BD80" i="2"/>
  <c r="AL80" i="2"/>
  <c r="BD79" i="2"/>
  <c r="AL79" i="2"/>
  <c r="BD78" i="2"/>
  <c r="AL78" i="2"/>
  <c r="BD77" i="2"/>
  <c r="AL77" i="2"/>
  <c r="BD76" i="2"/>
  <c r="AL76" i="2"/>
  <c r="BD75" i="2"/>
  <c r="AL75" i="2"/>
  <c r="BD74" i="2"/>
  <c r="AL74" i="2"/>
  <c r="BD73" i="2"/>
  <c r="AL73" i="2"/>
  <c r="BD72" i="2"/>
  <c r="AL72" i="2"/>
  <c r="E89" i="2"/>
  <c r="E88" i="2"/>
  <c r="E86" i="2"/>
  <c r="E85" i="2"/>
  <c r="E84" i="2"/>
  <c r="E83" i="2"/>
  <c r="E82" i="2"/>
  <c r="E81" i="2"/>
  <c r="E80" i="2"/>
  <c r="E79" i="2"/>
  <c r="E78" i="2"/>
  <c r="E77" i="2"/>
  <c r="E76" i="2"/>
  <c r="E75" i="2"/>
  <c r="E74" i="2"/>
  <c r="E73" i="2"/>
  <c r="E72" i="2"/>
  <c r="BK31" i="2"/>
  <c r="BK32" i="2" s="1"/>
  <c r="BN31" i="2"/>
  <c r="BN32" i="2" s="1"/>
  <c r="BO31" i="2"/>
  <c r="BO32" i="2" s="1"/>
  <c r="BP31" i="2"/>
  <c r="BP32" i="2" s="1"/>
  <c r="BR31" i="2"/>
  <c r="BR32" i="2" s="1"/>
  <c r="BX31" i="2"/>
  <c r="BX32" i="2" s="1"/>
  <c r="BZ31" i="2"/>
  <c r="BZ32" i="2" s="1"/>
  <c r="CA31" i="2"/>
  <c r="CA32" i="2" s="1"/>
  <c r="CB31" i="2"/>
  <c r="CB32" i="2" s="1"/>
  <c r="CC31" i="2"/>
  <c r="CC32" i="2" s="1"/>
  <c r="CE31" i="2"/>
  <c r="CE32" i="2" s="1"/>
  <c r="CF31" i="2"/>
  <c r="CF32" i="2" s="1"/>
  <c r="CH31" i="2"/>
  <c r="CH32" i="2" s="1"/>
  <c r="CJ31" i="2"/>
  <c r="CJ32" i="2" s="1"/>
  <c r="CL31" i="2"/>
  <c r="CL32" i="2" s="1"/>
  <c r="CN31" i="2"/>
  <c r="CN32" i="2" s="1"/>
  <c r="CO31" i="2"/>
  <c r="CO32" i="2" s="1"/>
  <c r="CP31" i="2"/>
  <c r="CP32" i="2" s="1"/>
  <c r="CQ31" i="2"/>
  <c r="CQ32" i="2" s="1"/>
  <c r="CS31" i="2"/>
  <c r="CS32" i="2" s="1"/>
  <c r="CU31" i="2"/>
  <c r="CU32" i="2" s="1"/>
  <c r="CV31" i="2"/>
  <c r="CV32" i="2" s="1"/>
  <c r="CW31" i="2"/>
  <c r="CW32" i="2" s="1"/>
  <c r="DA31" i="2"/>
  <c r="DA32" i="2" s="1"/>
  <c r="DB31" i="2"/>
  <c r="DB32" i="2" s="1"/>
  <c r="DC31" i="2"/>
  <c r="DC32" i="2" s="1"/>
  <c r="DD31" i="2"/>
  <c r="DD32" i="2" s="1"/>
  <c r="DE31" i="2"/>
  <c r="DE32" i="2" s="1"/>
  <c r="DF31" i="2"/>
  <c r="DF32" i="2" s="1"/>
  <c r="DG31" i="2"/>
  <c r="DG32" i="2" s="1"/>
  <c r="DH31" i="2"/>
  <c r="DH32" i="2" s="1"/>
  <c r="CY18" i="2"/>
  <c r="CZ17" i="2"/>
  <c r="CZ33" i="2" s="1"/>
  <c r="CY16" i="2"/>
  <c r="DI19" i="2"/>
  <c r="CX16" i="2"/>
  <c r="CX13" i="2"/>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25" i="17"/>
  <c r="B926" i="17"/>
  <c r="B927" i="17"/>
  <c r="B928" i="17"/>
  <c r="B929" i="17"/>
  <c r="B930" i="17"/>
  <c r="B931" i="17"/>
  <c r="B932" i="17"/>
  <c r="B933" i="17"/>
  <c r="B934" i="17"/>
  <c r="B935" i="17"/>
  <c r="B936" i="17"/>
  <c r="B937" i="17"/>
  <c r="B938" i="17"/>
  <c r="B939" i="17"/>
  <c r="B940" i="17"/>
  <c r="B941" i="17"/>
  <c r="B942" i="17"/>
  <c r="B943" i="17"/>
  <c r="P16" i="22"/>
  <c r="T17" i="22"/>
  <c r="V17" i="22"/>
  <c r="S17" i="22"/>
  <c r="W17" i="22"/>
  <c r="N16" i="22"/>
  <c r="X17" i="22"/>
  <c r="R16" i="22"/>
  <c r="U17" i="22"/>
  <c r="O16" i="22"/>
  <c r="Q16" i="22"/>
  <c r="M16" i="22"/>
  <c r="BA102" i="21" l="1"/>
  <c r="BA101" i="21"/>
  <c r="BA103" i="21"/>
  <c r="BA108" i="21" s="1"/>
  <c r="BA91" i="21"/>
  <c r="BA99" i="21"/>
  <c r="BA104" i="21"/>
  <c r="BA109" i="21" s="1"/>
  <c r="O101" i="21"/>
  <c r="AZ102" i="21"/>
  <c r="AZ103" i="21"/>
  <c r="AZ108" i="21" s="1"/>
  <c r="O103" i="21"/>
  <c r="O108" i="21" s="1"/>
  <c r="O102" i="21"/>
  <c r="O100" i="21"/>
  <c r="AZ101" i="21"/>
  <c r="AZ100" i="21"/>
  <c r="K18" i="22"/>
  <c r="AY107" i="21"/>
  <c r="AY110" i="21" s="1"/>
  <c r="AY105" i="21"/>
  <c r="M110" i="21"/>
  <c r="P89" i="21"/>
  <c r="P88" i="21"/>
  <c r="P86" i="21"/>
  <c r="P84" i="21"/>
  <c r="P82" i="21"/>
  <c r="P87" i="21"/>
  <c r="P79" i="21"/>
  <c r="P85" i="21"/>
  <c r="P81" i="21"/>
  <c r="P76" i="21"/>
  <c r="P80" i="21"/>
  <c r="P83" i="21"/>
  <c r="P75" i="21"/>
  <c r="P74" i="21"/>
  <c r="P77" i="21"/>
  <c r="P78" i="21"/>
  <c r="P73" i="21"/>
  <c r="P72" i="21"/>
  <c r="Q6" i="21"/>
  <c r="P92" i="21"/>
  <c r="N107" i="21"/>
  <c r="N110" i="21" s="1"/>
  <c r="N105" i="21"/>
  <c r="O99" i="21"/>
  <c r="O91" i="21"/>
  <c r="AZ99" i="21"/>
  <c r="AZ91" i="21"/>
  <c r="Q96" i="21"/>
  <c r="Q44" i="21"/>
  <c r="Q70" i="21"/>
  <c r="Q3" i="21"/>
  <c r="R9" i="21"/>
  <c r="Q8" i="21"/>
  <c r="O104" i="21"/>
  <c r="O109" i="21" s="1"/>
  <c r="P95" i="21"/>
  <c r="P69" i="21"/>
  <c r="P43" i="21"/>
  <c r="AZ104" i="21"/>
  <c r="AZ109" i="21" s="1"/>
  <c r="A983" i="17"/>
  <c r="A982" i="17"/>
  <c r="CX31" i="2"/>
  <c r="CX32" i="2" s="1"/>
  <c r="A986" i="17"/>
  <c r="A987" i="17"/>
  <c r="A985" i="17"/>
  <c r="A984" i="17"/>
  <c r="CZ31" i="2"/>
  <c r="CZ32" i="2" s="1"/>
  <c r="CY33" i="2"/>
  <c r="CY34" i="2"/>
  <c r="CY31" i="2"/>
  <c r="CY32" i="2" s="1"/>
  <c r="CX34" i="2"/>
  <c r="CX33" i="2"/>
  <c r="A941" i="17"/>
  <c r="A969" i="17"/>
  <c r="A957" i="17"/>
  <c r="A946" i="17"/>
  <c r="A940" i="17"/>
  <c r="A928" i="17"/>
  <c r="A980" i="17"/>
  <c r="A968" i="17"/>
  <c r="A956" i="17"/>
  <c r="A945" i="17"/>
  <c r="A971" i="17"/>
  <c r="A929" i="17"/>
  <c r="A939" i="17"/>
  <c r="A927" i="17"/>
  <c r="A979" i="17"/>
  <c r="A967" i="17"/>
  <c r="A955" i="17"/>
  <c r="A944" i="17"/>
  <c r="A959" i="17"/>
  <c r="A938" i="17"/>
  <c r="A978" i="17"/>
  <c r="A966" i="17"/>
  <c r="A937" i="17"/>
  <c r="A925" i="17"/>
  <c r="A977" i="17"/>
  <c r="A965" i="17"/>
  <c r="A953" i="17"/>
  <c r="A958" i="17"/>
  <c r="A926" i="17"/>
  <c r="A936" i="17"/>
  <c r="A976" i="17"/>
  <c r="A964" i="17"/>
  <c r="A952" i="17"/>
  <c r="A931" i="17"/>
  <c r="A930" i="17"/>
  <c r="A935" i="17"/>
  <c r="A975" i="17"/>
  <c r="A963" i="17"/>
  <c r="A942" i="17"/>
  <c r="A934" i="17"/>
  <c r="A974" i="17"/>
  <c r="A962" i="17"/>
  <c r="A951" i="17"/>
  <c r="A948" i="17"/>
  <c r="A970" i="17"/>
  <c r="A933" i="17"/>
  <c r="A973" i="17"/>
  <c r="A961" i="17"/>
  <c r="A950" i="17"/>
  <c r="A943" i="17"/>
  <c r="A981" i="17"/>
  <c r="A932" i="17"/>
  <c r="A972" i="17"/>
  <c r="A960" i="17"/>
  <c r="A949" i="17"/>
  <c r="A954" i="17"/>
  <c r="A947" i="17"/>
  <c r="J31" i="1"/>
  <c r="C23" i="1"/>
  <c r="H23" i="1"/>
  <c r="I24" i="1" s="1"/>
  <c r="CT16" i="2"/>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N17" i="22"/>
  <c r="R17" i="22"/>
  <c r="W18" i="22"/>
  <c r="P17" i="22"/>
  <c r="T18" i="22"/>
  <c r="Q17" i="22"/>
  <c r="O17" i="22"/>
  <c r="M17" i="22"/>
  <c r="V18" i="22"/>
  <c r="U18" i="22"/>
  <c r="X18" i="22"/>
  <c r="S18" i="22"/>
  <c r="BA105" i="21" l="1"/>
  <c r="BA107" i="21"/>
  <c r="BA110" i="21" s="1"/>
  <c r="P104" i="21"/>
  <c r="P109" i="21" s="1"/>
  <c r="P102" i="21"/>
  <c r="P101" i="21"/>
  <c r="K19" i="22"/>
  <c r="P99" i="21"/>
  <c r="P91" i="21"/>
  <c r="Q95" i="21"/>
  <c r="Q69" i="21"/>
  <c r="Q43" i="21"/>
  <c r="O107" i="21"/>
  <c r="O110" i="21" s="1"/>
  <c r="O105" i="21"/>
  <c r="R96" i="21"/>
  <c r="R44" i="21"/>
  <c r="R3" i="21"/>
  <c r="S9" i="21"/>
  <c r="R70" i="21"/>
  <c r="R8" i="21"/>
  <c r="P100" i="21"/>
  <c r="Q89" i="21"/>
  <c r="Q88" i="21"/>
  <c r="Q84" i="21"/>
  <c r="Q87" i="21"/>
  <c r="Q81" i="21"/>
  <c r="Q85" i="21"/>
  <c r="Q86" i="21"/>
  <c r="Q82" i="21"/>
  <c r="Q77" i="21"/>
  <c r="Q76" i="21"/>
  <c r="Q80" i="21"/>
  <c r="Q78" i="21"/>
  <c r="Q79" i="21"/>
  <c r="Q72" i="21"/>
  <c r="Q74" i="21"/>
  <c r="Q73" i="21"/>
  <c r="Q83" i="21"/>
  <c r="Q75" i="21"/>
  <c r="R6" i="21"/>
  <c r="Q92" i="21"/>
  <c r="AZ107" i="21"/>
  <c r="AZ110" i="21" s="1"/>
  <c r="AZ105" i="21"/>
  <c r="P103" i="21"/>
  <c r="P108" i="21" s="1"/>
  <c r="J24" i="1"/>
  <c r="L24" i="1"/>
  <c r="M24" i="1" s="1"/>
  <c r="CT34" i="2"/>
  <c r="CT33" i="2"/>
  <c r="CT31" i="2"/>
  <c r="CT32" i="2" s="1"/>
  <c r="A857" i="17"/>
  <c r="A880" i="17"/>
  <c r="A915" i="17"/>
  <c r="A903" i="17"/>
  <c r="A891" i="17"/>
  <c r="A879" i="17"/>
  <c r="A867" i="17"/>
  <c r="A855" i="17"/>
  <c r="A843" i="17"/>
  <c r="A904" i="17"/>
  <c r="A856" i="17"/>
  <c r="A902" i="17"/>
  <c r="A866" i="17"/>
  <c r="A854" i="17"/>
  <c r="A842" i="17"/>
  <c r="A893" i="17"/>
  <c r="A905" i="17"/>
  <c r="A878" i="17"/>
  <c r="A853" i="17"/>
  <c r="A841" i="17"/>
  <c r="A924" i="17"/>
  <c r="A912" i="17"/>
  <c r="A900" i="17"/>
  <c r="A888" i="17"/>
  <c r="A876" i="17"/>
  <c r="A864" i="17"/>
  <c r="A852" i="17"/>
  <c r="A840" i="17"/>
  <c r="A869" i="17"/>
  <c r="A890" i="17"/>
  <c r="A901" i="17"/>
  <c r="A923" i="17"/>
  <c r="A911" i="17"/>
  <c r="A899" i="17"/>
  <c r="A887" i="17"/>
  <c r="A875" i="17"/>
  <c r="A863" i="17"/>
  <c r="A851" i="17"/>
  <c r="A839" i="17"/>
  <c r="A892" i="17"/>
  <c r="A922" i="17"/>
  <c r="A886" i="17"/>
  <c r="A874" i="17"/>
  <c r="A862" i="17"/>
  <c r="A850" i="17"/>
  <c r="A838" i="17"/>
  <c r="A917" i="17"/>
  <c r="A845" i="17"/>
  <c r="A913" i="17"/>
  <c r="A910" i="17"/>
  <c r="A897" i="17"/>
  <c r="A885" i="17"/>
  <c r="A873" i="17"/>
  <c r="A861" i="17"/>
  <c r="A849" i="17"/>
  <c r="A837" i="17"/>
  <c r="A868" i="17"/>
  <c r="A865" i="17"/>
  <c r="A909" i="17"/>
  <c r="A920" i="17"/>
  <c r="A908" i="17"/>
  <c r="A896" i="17"/>
  <c r="A884" i="17"/>
  <c r="A872" i="17"/>
  <c r="A860" i="17"/>
  <c r="A848" i="17"/>
  <c r="A836" i="17"/>
  <c r="A881" i="17"/>
  <c r="A916" i="17"/>
  <c r="A844" i="17"/>
  <c r="A914" i="17"/>
  <c r="A889" i="17"/>
  <c r="A898" i="17"/>
  <c r="A919" i="17"/>
  <c r="A907" i="17"/>
  <c r="A895" i="17"/>
  <c r="A883" i="17"/>
  <c r="A871" i="17"/>
  <c r="A859" i="17"/>
  <c r="A847" i="17"/>
  <c r="A835" i="17"/>
  <c r="A877" i="17"/>
  <c r="A921" i="17"/>
  <c r="A918" i="17"/>
  <c r="A906" i="17"/>
  <c r="A894" i="17"/>
  <c r="A882" i="17"/>
  <c r="A870" i="17"/>
  <c r="A858" i="17"/>
  <c r="A846" i="17"/>
  <c r="A834" i="17"/>
  <c r="C870" i="17"/>
  <c r="C871" i="17" s="1"/>
  <c r="C872" i="17" s="1"/>
  <c r="C873" i="17" s="1"/>
  <c r="C834" i="17"/>
  <c r="C835" i="17" s="1"/>
  <c r="C836" i="17" s="1"/>
  <c r="C837" i="17" s="1"/>
  <c r="C838" i="17" s="1"/>
  <c r="C839" i="17" s="1"/>
  <c r="C840" i="17" s="1"/>
  <c r="C841" i="17" s="1"/>
  <c r="C842" i="17" s="1"/>
  <c r="C843" i="17" s="1"/>
  <c r="C844" i="17" s="1"/>
  <c r="C845" i="17" s="1"/>
  <c r="C846" i="17" s="1"/>
  <c r="C847" i="17" s="1"/>
  <c r="C848" i="17" s="1"/>
  <c r="C849" i="17" s="1"/>
  <c r="C850" i="17" s="1"/>
  <c r="C851" i="17" s="1"/>
  <c r="C852" i="17" s="1"/>
  <c r="C853" i="17" s="1"/>
  <c r="C854" i="17" s="1"/>
  <c r="C855" i="17" s="1"/>
  <c r="C856" i="17" s="1"/>
  <c r="C857" i="17" s="1"/>
  <c r="C858" i="17" s="1"/>
  <c r="C859" i="17" s="1"/>
  <c r="C860" i="17" s="1"/>
  <c r="C861" i="17" s="1"/>
  <c r="C862" i="17" s="1"/>
  <c r="C863" i="17" s="1"/>
  <c r="C864" i="17" s="1"/>
  <c r="CM23" i="2"/>
  <c r="J20" i="20"/>
  <c r="J21" i="20"/>
  <c r="I22" i="20"/>
  <c r="J22" i="20" s="1"/>
  <c r="CR12" i="2"/>
  <c r="S31" i="20"/>
  <c r="O43" i="20" s="1"/>
  <c r="R11" i="20"/>
  <c r="R44" i="20" s="1"/>
  <c r="G7" i="20"/>
  <c r="S8" i="20"/>
  <c r="S7" i="20"/>
  <c r="H112" i="12" a="1"/>
  <c r="W19" i="22"/>
  <c r="H88" i="12" a="1"/>
  <c r="H93" i="12" a="1"/>
  <c r="H71" i="12" a="1"/>
  <c r="H115" i="12" a="1"/>
  <c r="P18" i="22"/>
  <c r="H116" i="12" a="1"/>
  <c r="H109" i="12" a="1"/>
  <c r="H77" i="12" a="1"/>
  <c r="H117" i="12" a="1"/>
  <c r="H95" i="12" a="1"/>
  <c r="M18" i="22"/>
  <c r="H104" i="12" a="1"/>
  <c r="H119" i="12" a="1"/>
  <c r="H75" i="12" a="1"/>
  <c r="T19" i="22"/>
  <c r="S19" i="22"/>
  <c r="Q18" i="22"/>
  <c r="H76" i="12" a="1"/>
  <c r="H101" i="12" a="1"/>
  <c r="H79" i="12" a="1"/>
  <c r="Q19" i="22"/>
  <c r="N18" i="22"/>
  <c r="H72" i="12" a="1"/>
  <c r="H87" i="12" a="1"/>
  <c r="H100" i="12" a="1"/>
  <c r="H91" i="12" a="1"/>
  <c r="H92" i="12" a="1"/>
  <c r="H98" i="12" a="1"/>
  <c r="H102" i="12" a="1"/>
  <c r="X19" i="22"/>
  <c r="H80" i="12" a="1"/>
  <c r="H89" i="12" a="1"/>
  <c r="H103" i="12" a="1"/>
  <c r="H105" i="12" a="1"/>
  <c r="V19" i="22"/>
  <c r="H81" i="12" a="1"/>
  <c r="H106" i="12" a="1"/>
  <c r="H96" i="12" a="1"/>
  <c r="H118" i="12" a="1"/>
  <c r="H73" i="12" a="1"/>
  <c r="H84" i="12" a="1"/>
  <c r="H78" i="12" a="1"/>
  <c r="H83" i="12" a="1"/>
  <c r="H90" i="12" a="1"/>
  <c r="H74" i="12" a="1"/>
  <c r="H111" i="12" a="1"/>
  <c r="H107" i="12" a="1"/>
  <c r="H114" i="12" a="1"/>
  <c r="H113" i="12" a="1"/>
  <c r="H85" i="12" a="1"/>
  <c r="U19" i="22"/>
  <c r="H99" i="12" a="1"/>
  <c r="H86" i="12" a="1"/>
  <c r="R18" i="22"/>
  <c r="H121" i="12" a="1"/>
  <c r="H97" i="12" a="1"/>
  <c r="H108" i="12" a="1"/>
  <c r="H94" i="12" a="1"/>
  <c r="O18" i="22"/>
  <c r="H110" i="12" a="1"/>
  <c r="H82" i="12" a="1"/>
  <c r="H120" i="12" a="1"/>
  <c r="Q104" i="21" l="1"/>
  <c r="Q109" i="21" s="1"/>
  <c r="Q101" i="21"/>
  <c r="Q102" i="21"/>
  <c r="K20" i="22"/>
  <c r="Q103" i="21"/>
  <c r="Q108" i="21" s="1"/>
  <c r="Q99" i="21"/>
  <c r="Q91" i="21"/>
  <c r="R89" i="21"/>
  <c r="R88" i="21"/>
  <c r="R87" i="21"/>
  <c r="R84" i="21"/>
  <c r="R85" i="21"/>
  <c r="R83" i="21"/>
  <c r="R86" i="21"/>
  <c r="R80" i="21"/>
  <c r="R82" i="21"/>
  <c r="R79" i="21"/>
  <c r="R81" i="21"/>
  <c r="R76" i="21"/>
  <c r="R73" i="21"/>
  <c r="R72" i="21"/>
  <c r="R75" i="21"/>
  <c r="R74" i="21"/>
  <c r="R78" i="21"/>
  <c r="R77" i="21"/>
  <c r="S6" i="21"/>
  <c r="R92" i="21"/>
  <c r="Q100" i="21"/>
  <c r="R95" i="21"/>
  <c r="R69" i="21"/>
  <c r="R43" i="21"/>
  <c r="S96" i="21"/>
  <c r="S44" i="21"/>
  <c r="S70" i="21"/>
  <c r="T9" i="21"/>
  <c r="S3" i="21"/>
  <c r="S8" i="21"/>
  <c r="P107" i="21"/>
  <c r="P110" i="21" s="1"/>
  <c r="P105" i="21"/>
  <c r="S41" i="20"/>
  <c r="S40" i="20"/>
  <c r="S42" i="20"/>
  <c r="Q52" i="20"/>
  <c r="Q40" i="20"/>
  <c r="CM31" i="2"/>
  <c r="CM32" i="2" s="1"/>
  <c r="CR33" i="2"/>
  <c r="CR34" i="2"/>
  <c r="CR31" i="2"/>
  <c r="CR32" i="2" s="1"/>
  <c r="C874" i="17"/>
  <c r="C875" i="17" s="1"/>
  <c r="C876" i="17" s="1"/>
  <c r="C877" i="17" s="1"/>
  <c r="C878" i="17" s="1"/>
  <c r="C879" i="17" s="1"/>
  <c r="C880" i="17" s="1"/>
  <c r="C881" i="17" s="1"/>
  <c r="C882" i="17" s="1"/>
  <c r="C883" i="17" s="1"/>
  <c r="C884" i="17" s="1"/>
  <c r="C885" i="17" s="1"/>
  <c r="C886" i="17" s="1"/>
  <c r="C887" i="17" s="1"/>
  <c r="C888" i="17" s="1"/>
  <c r="C889" i="17" s="1"/>
  <c r="C890" i="17" s="1"/>
  <c r="C891" i="17" s="1"/>
  <c r="C892" i="17" s="1"/>
  <c r="C893" i="17" s="1"/>
  <c r="C894" i="17" s="1"/>
  <c r="C895" i="17" s="1"/>
  <c r="C896" i="17" s="1"/>
  <c r="C897" i="17" s="1"/>
  <c r="C898" i="17" s="1"/>
  <c r="C899" i="17" s="1"/>
  <c r="C900" i="17" s="1"/>
  <c r="C901" i="17" s="1"/>
  <c r="C902" i="17" s="1"/>
  <c r="C903" i="17" s="1"/>
  <c r="C904" i="17" s="1"/>
  <c r="C905" i="17" s="1"/>
  <c r="C906" i="17" s="1"/>
  <c r="C907" i="17" s="1"/>
  <c r="C908" i="17" s="1"/>
  <c r="C909" i="17" s="1"/>
  <c r="C910" i="17" s="1"/>
  <c r="C911" i="17" s="1"/>
  <c r="C912" i="17" s="1"/>
  <c r="C913" i="17" s="1"/>
  <c r="C914" i="17" s="1"/>
  <c r="C915" i="17" s="1"/>
  <c r="C916" i="17" s="1"/>
  <c r="C917" i="17" s="1"/>
  <c r="C918" i="17" s="1"/>
  <c r="C919" i="17" s="1"/>
  <c r="C920" i="17" s="1"/>
  <c r="C921" i="17" s="1"/>
  <c r="C922" i="17" s="1"/>
  <c r="C923" i="17" s="1"/>
  <c r="C924" i="17" s="1"/>
  <c r="C925" i="17" s="1"/>
  <c r="C926" i="17" s="1"/>
  <c r="C927" i="17" s="1"/>
  <c r="C928" i="17" s="1"/>
  <c r="C929" i="17" s="1"/>
  <c r="C930" i="17" s="1"/>
  <c r="C931" i="17" s="1"/>
  <c r="C932" i="17" s="1"/>
  <c r="C933" i="17" s="1"/>
  <c r="C934" i="17" s="1"/>
  <c r="C935" i="17" s="1"/>
  <c r="C936" i="17" s="1"/>
  <c r="C937" i="17" s="1"/>
  <c r="C938" i="17" s="1"/>
  <c r="C939" i="17" s="1"/>
  <c r="C940" i="17" s="1"/>
  <c r="C941" i="17" s="1"/>
  <c r="C942" i="17" s="1"/>
  <c r="C943" i="17" s="1"/>
  <c r="C944" i="17" s="1"/>
  <c r="C945" i="17" s="1"/>
  <c r="C946" i="17" s="1"/>
  <c r="C947" i="17" s="1"/>
  <c r="C948" i="17" s="1"/>
  <c r="C949" i="17" s="1"/>
  <c r="C950" i="17" s="1"/>
  <c r="C951" i="17" s="1"/>
  <c r="C952" i="17" s="1"/>
  <c r="C953" i="17" s="1"/>
  <c r="C954" i="17" s="1"/>
  <c r="C955" i="17" s="1"/>
  <c r="C956" i="17" s="1"/>
  <c r="C957" i="17" s="1"/>
  <c r="C958" i="17" s="1"/>
  <c r="C959" i="17" s="1"/>
  <c r="C960" i="17" s="1"/>
  <c r="C961" i="17" s="1"/>
  <c r="C962" i="17" s="1"/>
  <c r="C963" i="17" s="1"/>
  <c r="C964" i="17" s="1"/>
  <c r="C965" i="17" s="1"/>
  <c r="C966" i="17" s="1"/>
  <c r="C967" i="17" s="1"/>
  <c r="C968" i="17" s="1"/>
  <c r="C969" i="17" s="1"/>
  <c r="C970" i="17" s="1"/>
  <c r="C971" i="17" s="1"/>
  <c r="C972" i="17" s="1"/>
  <c r="C973" i="17" s="1"/>
  <c r="C974" i="17" s="1"/>
  <c r="C975" i="17" s="1"/>
  <c r="C976" i="17" s="1"/>
  <c r="C977" i="17" s="1"/>
  <c r="C978" i="17" s="1"/>
  <c r="C979" i="17" s="1"/>
  <c r="C980" i="17" s="1"/>
  <c r="C981" i="17" s="1"/>
  <c r="C982" i="17" s="1"/>
  <c r="C983" i="17" s="1"/>
  <c r="C984" i="17" s="1"/>
  <c r="C985" i="17" s="1"/>
  <c r="C986" i="17" s="1"/>
  <c r="C987" i="17" s="1"/>
  <c r="C988" i="17" s="1"/>
  <c r="C989" i="17" s="1"/>
  <c r="C990" i="17" s="1"/>
  <c r="C991" i="17" s="1"/>
  <c r="C992" i="17" s="1"/>
  <c r="C993" i="17" s="1"/>
  <c r="C994" i="17" s="1"/>
  <c r="C995" i="17" s="1"/>
  <c r="C996" i="17" s="1"/>
  <c r="C997" i="17" s="1"/>
  <c r="C998" i="17" s="1"/>
  <c r="C999" i="17" s="1"/>
  <c r="C1000" i="17" s="1"/>
  <c r="C1001" i="17" s="1"/>
  <c r="C1002" i="17" s="1"/>
  <c r="C1003" i="17" s="1"/>
  <c r="C1004" i="17" s="1"/>
  <c r="C1005" i="17" s="1"/>
  <c r="C1006" i="17" s="1"/>
  <c r="C1007" i="17" s="1"/>
  <c r="C1008" i="17" s="1"/>
  <c r="C1009" i="17" s="1"/>
  <c r="C1010" i="17" s="1"/>
  <c r="O50" i="20"/>
  <c r="R47" i="20"/>
  <c r="P45" i="20"/>
  <c r="C865" i="17"/>
  <c r="C866" i="17" s="1"/>
  <c r="C867" i="17" s="1"/>
  <c r="C868" i="17" s="1"/>
  <c r="C869" i="17" s="1"/>
  <c r="N49" i="20"/>
  <c r="P57" i="20"/>
  <c r="S54" i="20"/>
  <c r="N48" i="20"/>
  <c r="O57" i="20"/>
  <c r="R54" i="20"/>
  <c r="P52" i="20"/>
  <c r="S49" i="20"/>
  <c r="Q47" i="20"/>
  <c r="O45" i="20"/>
  <c r="R42" i="20"/>
  <c r="N47" i="20"/>
  <c r="S56" i="20"/>
  <c r="Q54" i="20"/>
  <c r="O52" i="20"/>
  <c r="P47" i="20"/>
  <c r="S44" i="20"/>
  <c r="Q42" i="20"/>
  <c r="O40" i="20"/>
  <c r="N40" i="20"/>
  <c r="N46" i="20"/>
  <c r="R56" i="20"/>
  <c r="P54" i="20"/>
  <c r="S51" i="20"/>
  <c r="O47" i="20"/>
  <c r="P42" i="20"/>
  <c r="N57" i="20"/>
  <c r="N45" i="20"/>
  <c r="Q56" i="20"/>
  <c r="O54" i="20"/>
  <c r="R51" i="20"/>
  <c r="S46" i="20"/>
  <c r="N56" i="20"/>
  <c r="P56" i="20"/>
  <c r="S53" i="20"/>
  <c r="Q51" i="20"/>
  <c r="O49" i="20"/>
  <c r="R46" i="20"/>
  <c r="N55" i="20"/>
  <c r="N43" i="20"/>
  <c r="O56" i="20"/>
  <c r="R53" i="20"/>
  <c r="P51" i="20"/>
  <c r="S48" i="20"/>
  <c r="Q46" i="20"/>
  <c r="O44" i="20"/>
  <c r="N54" i="20"/>
  <c r="S55" i="20"/>
  <c r="Q53" i="20"/>
  <c r="R48" i="20"/>
  <c r="P46" i="20"/>
  <c r="S43" i="20"/>
  <c r="Q41" i="20"/>
  <c r="N53" i="20"/>
  <c r="N41" i="20"/>
  <c r="R55" i="20"/>
  <c r="P53" i="20"/>
  <c r="S50" i="20"/>
  <c r="Q48" i="20"/>
  <c r="O46" i="20"/>
  <c r="R43" i="20"/>
  <c r="P41" i="20"/>
  <c r="N52" i="20"/>
  <c r="S57" i="20"/>
  <c r="Q55" i="20"/>
  <c r="O53" i="20"/>
  <c r="R50" i="20"/>
  <c r="P48" i="20"/>
  <c r="S45" i="20"/>
  <c r="Q43" i="20"/>
  <c r="N51" i="20"/>
  <c r="R57" i="20"/>
  <c r="P55" i="20"/>
  <c r="S52" i="20"/>
  <c r="Q50" i="20"/>
  <c r="O48" i="20"/>
  <c r="R45" i="20"/>
  <c r="P43" i="20"/>
  <c r="N50" i="20"/>
  <c r="Q57" i="20"/>
  <c r="O55" i="20"/>
  <c r="R52" i="20"/>
  <c r="P50" i="20"/>
  <c r="S47" i="20"/>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R7" i="20"/>
  <c r="R40" i="20" s="1"/>
  <c r="S26" i="20"/>
  <c r="R16" i="20"/>
  <c r="R49" i="20" s="1"/>
  <c r="R8" i="20"/>
  <c r="R41" i="20" s="1"/>
  <c r="G6" i="20"/>
  <c r="Q36" i="20"/>
  <c r="Q16" i="20"/>
  <c r="Q49" i="20" s="1"/>
  <c r="Q12" i="20"/>
  <c r="Q45" i="20" s="1"/>
  <c r="Q11" i="20"/>
  <c r="Q44" i="20" s="1"/>
  <c r="G5" i="20"/>
  <c r="V20" i="22"/>
  <c r="U20" i="22"/>
  <c r="W20" i="22"/>
  <c r="X20" i="22"/>
  <c r="P19" i="22"/>
  <c r="S20" i="22"/>
  <c r="O19" i="22"/>
  <c r="Q20" i="22"/>
  <c r="T20" i="22"/>
  <c r="R100" i="21" l="1"/>
  <c r="R102" i="21"/>
  <c r="R104" i="21"/>
  <c r="R109" i="21" s="1"/>
  <c r="K21" i="22"/>
  <c r="T96" i="21"/>
  <c r="T70" i="21"/>
  <c r="T44" i="21"/>
  <c r="U9" i="21"/>
  <c r="T8" i="21"/>
  <c r="T3" i="21"/>
  <c r="R99" i="21"/>
  <c r="R91" i="21"/>
  <c r="R101" i="21"/>
  <c r="S89" i="21"/>
  <c r="S88" i="21"/>
  <c r="S87" i="21"/>
  <c r="S84" i="21"/>
  <c r="S82" i="21"/>
  <c r="S85" i="21"/>
  <c r="S86" i="21"/>
  <c r="S81" i="21"/>
  <c r="S80" i="21"/>
  <c r="S75" i="21"/>
  <c r="S83" i="21"/>
  <c r="S102" i="21" s="1"/>
  <c r="S78" i="21"/>
  <c r="S77" i="21"/>
  <c r="S79" i="21"/>
  <c r="S76" i="21"/>
  <c r="S73" i="21"/>
  <c r="S72" i="21"/>
  <c r="S74" i="21"/>
  <c r="T6" i="21"/>
  <c r="S92" i="21"/>
  <c r="R103" i="21"/>
  <c r="R108" i="21" s="1"/>
  <c r="S95" i="21"/>
  <c r="S43" i="21"/>
  <c r="S69" i="21"/>
  <c r="Q107" i="21"/>
  <c r="Q110" i="21" s="1"/>
  <c r="Q105" i="21"/>
  <c r="R26" i="20"/>
  <c r="P2" i="20"/>
  <c r="P16" i="20"/>
  <c r="P49" i="20" s="1"/>
  <c r="P11" i="20"/>
  <c r="P44" i="20" s="1"/>
  <c r="P7" i="20"/>
  <c r="P40" i="20" s="1"/>
  <c r="O18" i="20"/>
  <c r="O51" i="20" s="1"/>
  <c r="O9" i="20"/>
  <c r="O42" i="20" s="1"/>
  <c r="O8" i="20"/>
  <c r="O41" i="20" s="1"/>
  <c r="N11" i="20"/>
  <c r="N44" i="20" s="1"/>
  <c r="N9" i="20"/>
  <c r="N42" i="20" s="1"/>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O20" i="22"/>
  <c r="P20" i="22"/>
  <c r="X21" i="22"/>
  <c r="V21" i="22"/>
  <c r="W21" i="22"/>
  <c r="U21" i="22"/>
  <c r="Q21" i="22"/>
  <c r="T21" i="22"/>
  <c r="S21" i="22"/>
  <c r="S104" i="21" l="1"/>
  <c r="S109" i="21" s="1"/>
  <c r="S103" i="21"/>
  <c r="S108" i="21" s="1"/>
  <c r="S101" i="21"/>
  <c r="K22" i="22"/>
  <c r="T89" i="21"/>
  <c r="T88" i="21"/>
  <c r="T87" i="21"/>
  <c r="T86" i="21"/>
  <c r="T84" i="21"/>
  <c r="T85" i="21"/>
  <c r="T83" i="21"/>
  <c r="T81" i="21"/>
  <c r="T79" i="21"/>
  <c r="T77" i="21"/>
  <c r="T76" i="21"/>
  <c r="T80" i="21"/>
  <c r="T73" i="21"/>
  <c r="T72" i="21"/>
  <c r="T82" i="21"/>
  <c r="T78" i="21"/>
  <c r="T74" i="21"/>
  <c r="T75" i="21"/>
  <c r="U6" i="21"/>
  <c r="T92" i="21"/>
  <c r="R107" i="21"/>
  <c r="R110" i="21" s="1"/>
  <c r="R105" i="21"/>
  <c r="S99" i="21"/>
  <c r="S91" i="21"/>
  <c r="T95" i="21"/>
  <c r="T43" i="21"/>
  <c r="T69" i="21"/>
  <c r="U96" i="21"/>
  <c r="U70" i="21"/>
  <c r="U44" i="21"/>
  <c r="V9" i="21"/>
  <c r="U8" i="21"/>
  <c r="U3" i="21"/>
  <c r="S100" i="21"/>
  <c r="C821" i="17"/>
  <c r="C822" i="17" s="1"/>
  <c r="C823" i="17" s="1"/>
  <c r="C824" i="17" s="1"/>
  <c r="C825" i="17" s="1"/>
  <c r="C826" i="17" s="1"/>
  <c r="C827" i="17" s="1"/>
  <c r="C828" i="17" s="1"/>
  <c r="C829" i="17" s="1"/>
  <c r="C830" i="17" s="1"/>
  <c r="C831" i="17" s="1"/>
  <c r="C832" i="17" s="1"/>
  <c r="C833" i="17" s="1"/>
  <c r="Q26" i="20"/>
  <c r="M26" i="20"/>
  <c r="E7" i="20"/>
  <c r="E6" i="20"/>
  <c r="E5" i="20"/>
  <c r="E4" i="20"/>
  <c r="G4" i="20" s="1"/>
  <c r="E2" i="20"/>
  <c r="G2" i="20" s="1"/>
  <c r="CK15" i="2"/>
  <c r="CK12" i="2"/>
  <c r="CI12" i="2"/>
  <c r="S22" i="22"/>
  <c r="O21" i="22"/>
  <c r="Q22" i="22"/>
  <c r="X22" i="22"/>
  <c r="U22" i="22"/>
  <c r="V22" i="22"/>
  <c r="T22" i="22"/>
  <c r="W22" i="22"/>
  <c r="P21" i="22"/>
  <c r="T102" i="21" l="1"/>
  <c r="T104" i="21"/>
  <c r="T109" i="21" s="1"/>
  <c r="T103" i="21"/>
  <c r="T108" i="21" s="1"/>
  <c r="K23" i="22"/>
  <c r="S107" i="21"/>
  <c r="S110" i="21" s="1"/>
  <c r="S105" i="21"/>
  <c r="U95" i="21"/>
  <c r="U43" i="21"/>
  <c r="U69" i="21"/>
  <c r="U89" i="21"/>
  <c r="U88" i="21"/>
  <c r="U87" i="21"/>
  <c r="U86" i="21"/>
  <c r="U81" i="21"/>
  <c r="U85" i="21"/>
  <c r="U83" i="21"/>
  <c r="U84" i="21"/>
  <c r="U80" i="21"/>
  <c r="U74" i="21"/>
  <c r="U79" i="21"/>
  <c r="U82" i="21"/>
  <c r="U77" i="21"/>
  <c r="U76" i="21"/>
  <c r="U73" i="21"/>
  <c r="U72" i="21"/>
  <c r="U78" i="21"/>
  <c r="U75" i="21"/>
  <c r="V6" i="21"/>
  <c r="U92" i="21"/>
  <c r="V96" i="21"/>
  <c r="V44" i="21"/>
  <c r="V70" i="21"/>
  <c r="V8" i="21"/>
  <c r="V3" i="21"/>
  <c r="W9" i="21"/>
  <c r="T99" i="21"/>
  <c r="T91" i="21"/>
  <c r="T101" i="21"/>
  <c r="T100" i="21"/>
  <c r="CI33" i="2"/>
  <c r="CI34" i="2"/>
  <c r="CI31" i="2"/>
  <c r="CI32" i="2" s="1"/>
  <c r="CK34" i="2"/>
  <c r="CK33" i="2"/>
  <c r="CK31" i="2"/>
  <c r="CK32" i="2" s="1"/>
  <c r="P58" i="20"/>
  <c r="N58" i="20"/>
  <c r="Q58" i="20"/>
  <c r="O58" i="20"/>
  <c r="R58" i="20"/>
  <c r="S58" i="20"/>
  <c r="M27" i="20"/>
  <c r="S23" i="22"/>
  <c r="V23" i="22"/>
  <c r="U23" i="22"/>
  <c r="X23" i="22"/>
  <c r="P22" i="22"/>
  <c r="T23" i="22"/>
  <c r="Q23" i="22"/>
  <c r="W23" i="22"/>
  <c r="O22" i="22"/>
  <c r="U102" i="21" l="1"/>
  <c r="U104" i="21"/>
  <c r="U109" i="21" s="1"/>
  <c r="U100" i="21"/>
  <c r="U103" i="21"/>
  <c r="U108" i="21" s="1"/>
  <c r="K24" i="22"/>
  <c r="U99" i="21"/>
  <c r="U91" i="21"/>
  <c r="W96" i="21"/>
  <c r="W70" i="21"/>
  <c r="W44" i="21"/>
  <c r="W8" i="21"/>
  <c r="W3" i="21"/>
  <c r="X9" i="21"/>
  <c r="V95" i="21"/>
  <c r="V43" i="21"/>
  <c r="V69" i="21"/>
  <c r="T107" i="21"/>
  <c r="T110" i="21" s="1"/>
  <c r="T105" i="21"/>
  <c r="U101" i="21"/>
  <c r="V89" i="21"/>
  <c r="V88" i="21"/>
  <c r="V87" i="21"/>
  <c r="V86" i="21"/>
  <c r="V83" i="21"/>
  <c r="V81" i="21"/>
  <c r="V85" i="21"/>
  <c r="V84" i="21"/>
  <c r="V80" i="21"/>
  <c r="V78" i="21"/>
  <c r="V79" i="21"/>
  <c r="V82" i="21"/>
  <c r="V77" i="21"/>
  <c r="V73" i="21"/>
  <c r="V72" i="21"/>
  <c r="V75" i="21"/>
  <c r="V74" i="21"/>
  <c r="V76" i="21"/>
  <c r="W6" i="21"/>
  <c r="V92" i="21"/>
  <c r="T58" i="20"/>
  <c r="T59" i="20" s="1"/>
  <c r="P23" i="22"/>
  <c r="O23" i="22"/>
  <c r="V104" i="21" l="1"/>
  <c r="V109" i="21" s="1"/>
  <c r="V102" i="21"/>
  <c r="K25" i="22"/>
  <c r="X96" i="21"/>
  <c r="X70" i="21"/>
  <c r="X44" i="21"/>
  <c r="X8" i="21"/>
  <c r="X3" i="21"/>
  <c r="Y9" i="21"/>
  <c r="W95" i="21"/>
  <c r="W43" i="21"/>
  <c r="W69" i="21"/>
  <c r="V99" i="21"/>
  <c r="V91" i="21"/>
  <c r="V101" i="21"/>
  <c r="V100" i="21"/>
  <c r="W89" i="21"/>
  <c r="W88" i="21"/>
  <c r="W86" i="21"/>
  <c r="W85" i="21"/>
  <c r="W80" i="21"/>
  <c r="W87" i="21"/>
  <c r="W83" i="21"/>
  <c r="W84" i="21"/>
  <c r="W81" i="21"/>
  <c r="W78" i="21"/>
  <c r="W79" i="21"/>
  <c r="W82" i="21"/>
  <c r="W76" i="21"/>
  <c r="W75" i="21"/>
  <c r="W74" i="21"/>
  <c r="W72" i="21"/>
  <c r="W73" i="21"/>
  <c r="W77" i="21"/>
  <c r="W92" i="21"/>
  <c r="V103" i="21"/>
  <c r="V108" i="21" s="1"/>
  <c r="U107" i="21"/>
  <c r="U110" i="21" s="1"/>
  <c r="U105" i="21"/>
  <c r="AI56" i="19"/>
  <c r="O24" i="22"/>
  <c r="P24" i="22"/>
  <c r="W100" i="21" l="1"/>
  <c r="W104" i="21"/>
  <c r="W109" i="21" s="1"/>
  <c r="W103" i="21"/>
  <c r="W108" i="21" s="1"/>
  <c r="K26" i="22"/>
  <c r="X88" i="21"/>
  <c r="X87" i="21"/>
  <c r="X86" i="21"/>
  <c r="X89" i="21"/>
  <c r="X85" i="21"/>
  <c r="X83" i="21"/>
  <c r="X84" i="21"/>
  <c r="X82" i="21"/>
  <c r="X80" i="21"/>
  <c r="X79" i="21"/>
  <c r="X77" i="21"/>
  <c r="X81" i="21"/>
  <c r="X76" i="21"/>
  <c r="X73" i="21"/>
  <c r="X72" i="21"/>
  <c r="X75" i="21"/>
  <c r="X74" i="21"/>
  <c r="X78" i="21"/>
  <c r="Y6" i="21"/>
  <c r="X92" i="21"/>
  <c r="W102" i="21"/>
  <c r="V105" i="21"/>
  <c r="V107" i="21"/>
  <c r="V110" i="21" s="1"/>
  <c r="W101" i="21"/>
  <c r="W99" i="21"/>
  <c r="W91" i="21"/>
  <c r="Y96" i="21"/>
  <c r="Y70" i="21"/>
  <c r="Y8" i="21"/>
  <c r="Y3" i="21"/>
  <c r="Z9" i="21"/>
  <c r="Y44" i="21"/>
  <c r="X95" i="21"/>
  <c r="X69" i="21"/>
  <c r="X43" i="21"/>
  <c r="O25" i="22"/>
  <c r="P25" i="22"/>
  <c r="X104" i="21" l="1"/>
  <c r="X109" i="21" s="1"/>
  <c r="X103" i="21"/>
  <c r="X108" i="21" s="1"/>
  <c r="X102" i="21"/>
  <c r="K27" i="22"/>
  <c r="X100" i="21"/>
  <c r="X101" i="21"/>
  <c r="Z96" i="21"/>
  <c r="Z70" i="21"/>
  <c r="Z44" i="21"/>
  <c r="Z8" i="21"/>
  <c r="Z3" i="21"/>
  <c r="AA9" i="21"/>
  <c r="Y95" i="21"/>
  <c r="Y43" i="21"/>
  <c r="Y69" i="21"/>
  <c r="Y88" i="21"/>
  <c r="Y87" i="21"/>
  <c r="Y85" i="21"/>
  <c r="Y89" i="21"/>
  <c r="Y84" i="21"/>
  <c r="Y86" i="21"/>
  <c r="Y82" i="21"/>
  <c r="Y78" i="21"/>
  <c r="Y77" i="21"/>
  <c r="Y83" i="21"/>
  <c r="Y76" i="21"/>
  <c r="Y73" i="21"/>
  <c r="Y72" i="21"/>
  <c r="Y81" i="21"/>
  <c r="Y79" i="21"/>
  <c r="Y75" i="21"/>
  <c r="Y74" i="21"/>
  <c r="Y80" i="21"/>
  <c r="Z6" i="21"/>
  <c r="Y92" i="21"/>
  <c r="X99" i="21"/>
  <c r="X91" i="21"/>
  <c r="W105" i="21"/>
  <c r="W107" i="21"/>
  <c r="W110" i="21" s="1"/>
  <c r="CG19" i="2"/>
  <c r="CG16" i="2"/>
  <c r="O26" i="22"/>
  <c r="P26" i="22"/>
  <c r="Y103" i="21" l="1"/>
  <c r="Y108" i="21" s="1"/>
  <c r="Y102" i="21"/>
  <c r="Y101" i="21"/>
  <c r="Y104" i="21"/>
  <c r="Y109" i="21" s="1"/>
  <c r="K28" i="22"/>
  <c r="Y99" i="21"/>
  <c r="Y91" i="21"/>
  <c r="X105" i="21"/>
  <c r="X107" i="21"/>
  <c r="X110" i="21" s="1"/>
  <c r="Y100" i="21"/>
  <c r="AA96" i="21"/>
  <c r="AA70" i="21"/>
  <c r="AA44" i="21"/>
  <c r="AA8" i="21"/>
  <c r="AB9" i="21"/>
  <c r="AA3" i="21"/>
  <c r="Z86" i="21"/>
  <c r="Z89" i="21"/>
  <c r="Z88" i="21"/>
  <c r="Z85" i="21"/>
  <c r="Z83" i="21"/>
  <c r="Z87" i="21"/>
  <c r="Z84" i="21"/>
  <c r="Z79" i="21"/>
  <c r="Z82" i="21"/>
  <c r="Z81" i="21"/>
  <c r="Z80" i="21"/>
  <c r="Z76" i="21"/>
  <c r="Z78" i="21"/>
  <c r="Z77" i="21"/>
  <c r="Z72" i="21"/>
  <c r="Z74" i="21"/>
  <c r="Z73" i="21"/>
  <c r="Z75" i="21"/>
  <c r="AA6" i="21"/>
  <c r="Z92" i="21"/>
  <c r="Z95" i="21"/>
  <c r="Z69" i="21"/>
  <c r="Z43" i="21"/>
  <c r="CG34" i="2"/>
  <c r="CG33" i="2"/>
  <c r="CG31" i="2"/>
  <c r="CG32" i="2" s="1"/>
  <c r="O27" i="22"/>
  <c r="P27" i="22"/>
  <c r="Z104" i="21" l="1"/>
  <c r="Z109" i="21" s="1"/>
  <c r="Z103" i="21"/>
  <c r="Z108" i="21" s="1"/>
  <c r="K29" i="22"/>
  <c r="Z100" i="21"/>
  <c r="AB96" i="21"/>
  <c r="AB70" i="21"/>
  <c r="AB44" i="21"/>
  <c r="AB8" i="21"/>
  <c r="AB3" i="21"/>
  <c r="AC9" i="21"/>
  <c r="AA95" i="21"/>
  <c r="AA69" i="21"/>
  <c r="AA43" i="21"/>
  <c r="AA89" i="21"/>
  <c r="AA84" i="21"/>
  <c r="AA85" i="21"/>
  <c r="AA83" i="21"/>
  <c r="AA79" i="21"/>
  <c r="AA87" i="21"/>
  <c r="AA88" i="21"/>
  <c r="AA82" i="21"/>
  <c r="AA86" i="21"/>
  <c r="AA78" i="21"/>
  <c r="AA77" i="21"/>
  <c r="AA81" i="21"/>
  <c r="AA75" i="21"/>
  <c r="AA74" i="21"/>
  <c r="AA80" i="21"/>
  <c r="AA73" i="21"/>
  <c r="AA72" i="21"/>
  <c r="AB6" i="21"/>
  <c r="AA76" i="21"/>
  <c r="AA92" i="21"/>
  <c r="Z101" i="21"/>
  <c r="Z102" i="21"/>
  <c r="Y105" i="21"/>
  <c r="Y107" i="21"/>
  <c r="Y110" i="21" s="1"/>
  <c r="Z91" i="21"/>
  <c r="Z99" i="21"/>
  <c r="O28" i="22"/>
  <c r="P28" i="22"/>
  <c r="AA104" i="21" l="1"/>
  <c r="AA109" i="21" s="1"/>
  <c r="AA102" i="21"/>
  <c r="AA100" i="21"/>
  <c r="K30" i="22"/>
  <c r="Z107" i="21"/>
  <c r="Z110" i="21" s="1"/>
  <c r="Z105" i="21"/>
  <c r="AC96" i="21"/>
  <c r="AC70" i="21"/>
  <c r="AC44" i="21"/>
  <c r="AC3" i="21"/>
  <c r="AD9" i="21"/>
  <c r="AC8" i="21"/>
  <c r="AB89" i="21"/>
  <c r="AB88" i="21"/>
  <c r="AB85" i="21"/>
  <c r="AB87" i="21"/>
  <c r="AB84" i="21"/>
  <c r="AB82" i="21"/>
  <c r="AB86" i="21"/>
  <c r="AB79" i="21"/>
  <c r="AB76" i="21"/>
  <c r="AB83" i="21"/>
  <c r="AB81" i="21"/>
  <c r="AB80" i="21"/>
  <c r="AB74" i="21"/>
  <c r="AB75" i="21"/>
  <c r="AB78" i="21"/>
  <c r="AB73" i="21"/>
  <c r="AB72" i="21"/>
  <c r="AB77" i="21"/>
  <c r="AC6" i="21"/>
  <c r="AB92" i="21"/>
  <c r="AA99" i="21"/>
  <c r="AA91" i="21"/>
  <c r="AB95" i="21"/>
  <c r="AB69" i="21"/>
  <c r="AB43" i="21"/>
  <c r="AA101" i="21"/>
  <c r="AA103" i="21"/>
  <c r="AA108" i="21" s="1"/>
  <c r="AH74" i="19"/>
  <c r="CD16" i="2"/>
  <c r="P29" i="22"/>
  <c r="O29" i="22"/>
  <c r="AB102" i="21" l="1"/>
  <c r="AB104" i="21"/>
  <c r="AB109" i="21" s="1"/>
  <c r="AB103" i="21"/>
  <c r="AB108" i="21" s="1"/>
  <c r="K31" i="22"/>
  <c r="AB101" i="21"/>
  <c r="AC95" i="21"/>
  <c r="AC69" i="21"/>
  <c r="AC43" i="21"/>
  <c r="AD96" i="21"/>
  <c r="AD70" i="21"/>
  <c r="AD44" i="21"/>
  <c r="AD3" i="21"/>
  <c r="AE9" i="21"/>
  <c r="AD8" i="21"/>
  <c r="AC89" i="21"/>
  <c r="AC84" i="21"/>
  <c r="AC88" i="21"/>
  <c r="AC87" i="21"/>
  <c r="AC86" i="21"/>
  <c r="AC81" i="21"/>
  <c r="AC85" i="21"/>
  <c r="AC79" i="21"/>
  <c r="AC77" i="21"/>
  <c r="AC82" i="21"/>
  <c r="AC76" i="21"/>
  <c r="AC83" i="21"/>
  <c r="AC80" i="21"/>
  <c r="AC78" i="21"/>
  <c r="AC74" i="21"/>
  <c r="AC75" i="21"/>
  <c r="AC73" i="21"/>
  <c r="AC72" i="21"/>
  <c r="AD6" i="21"/>
  <c r="AC92" i="21"/>
  <c r="AB100" i="21"/>
  <c r="AA107" i="21"/>
  <c r="AA110" i="21" s="1"/>
  <c r="AA105" i="21"/>
  <c r="AB99" i="21"/>
  <c r="AB91" i="21"/>
  <c r="CD34" i="2"/>
  <c r="CD33" i="2"/>
  <c r="CD31" i="2"/>
  <c r="CD32" i="2" s="1"/>
  <c r="AE6" i="5"/>
  <c r="AE7" i="6"/>
  <c r="AD7" i="9"/>
  <c r="AN8" i="10"/>
  <c r="AV7" i="11"/>
  <c r="CN187" i="18"/>
  <c r="BX187" i="18"/>
  <c r="BI187" i="18"/>
  <c r="AY187" i="18"/>
  <c r="T187" i="18"/>
  <c r="CB186" i="18"/>
  <c r="DC186" i="18" s="1"/>
  <c r="AI185" i="18"/>
  <c r="J185" i="18"/>
  <c r="I185" i="18"/>
  <c r="DC184" i="18"/>
  <c r="DC183" i="18"/>
  <c r="AI180" i="18"/>
  <c r="J180" i="18"/>
  <c r="I180" i="18"/>
  <c r="CN179" i="18"/>
  <c r="BX179" i="18"/>
  <c r="BI179" i="18"/>
  <c r="AY179" i="18"/>
  <c r="T179" i="18"/>
  <c r="CB178" i="18"/>
  <c r="DC178" i="18" s="1"/>
  <c r="DC177" i="18"/>
  <c r="DC176" i="18"/>
  <c r="EJ161" i="18"/>
  <c r="EI159" i="18"/>
  <c r="EH159" i="18"/>
  <c r="EI158" i="18"/>
  <c r="EH158" i="18"/>
  <c r="EI157" i="18"/>
  <c r="EH157" i="18"/>
  <c r="EI156" i="18"/>
  <c r="EH156" i="18"/>
  <c r="EI155" i="18"/>
  <c r="EH155" i="18"/>
  <c r="EI154" i="18"/>
  <c r="EH154" i="18"/>
  <c r="EG154" i="18"/>
  <c r="EG155" i="18" s="1"/>
  <c r="EG156" i="18" s="1"/>
  <c r="EG157" i="18" s="1"/>
  <c r="EG158" i="18" s="1"/>
  <c r="EG159" i="18" s="1"/>
  <c r="EH153" i="18"/>
  <c r="ES147" i="18"/>
  <c r="ES146" i="18"/>
  <c r="ES145" i="18"/>
  <c r="ES144" i="18"/>
  <c r="ES143" i="18"/>
  <c r="ES142" i="18"/>
  <c r="ES140" i="18"/>
  <c r="EQ140" i="18"/>
  <c r="EP140" i="18"/>
  <c r="EO140" i="18"/>
  <c r="EN140" i="18"/>
  <c r="EL140" i="18"/>
  <c r="EK140" i="18"/>
  <c r="EJ140" i="18"/>
  <c r="EQ133" i="18"/>
  <c r="EP133" i="18"/>
  <c r="EO133" i="18"/>
  <c r="EN133" i="18"/>
  <c r="EM133" i="18"/>
  <c r="EL133" i="18"/>
  <c r="EK133" i="18"/>
  <c r="EJ133" i="18"/>
  <c r="DM116" i="18"/>
  <c r="CY116" i="18"/>
  <c r="CX116" i="18"/>
  <c r="CW116" i="18"/>
  <c r="CV116" i="18"/>
  <c r="CU116" i="18"/>
  <c r="CT116" i="18"/>
  <c r="CS116" i="18"/>
  <c r="CR116" i="18"/>
  <c r="CQ116" i="18"/>
  <c r="CP116" i="18"/>
  <c r="CO116" i="18"/>
  <c r="CN116" i="18"/>
  <c r="CM116" i="18"/>
  <c r="CL116" i="18"/>
  <c r="CK116" i="18"/>
  <c r="CJ116" i="18"/>
  <c r="CI116" i="18"/>
  <c r="CH116" i="18"/>
  <c r="CG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M115" i="18"/>
  <c r="DM114" i="18"/>
  <c r="DM113" i="18"/>
  <c r="DC106" i="18"/>
  <c r="DB104" i="18"/>
  <c r="DB109" i="18" s="1"/>
  <c r="DA104" i="18"/>
  <c r="DA109" i="18" s="1"/>
  <c r="CZ104" i="18"/>
  <c r="CZ109" i="18" s="1"/>
  <c r="CY104" i="18"/>
  <c r="CY109" i="18" s="1"/>
  <c r="CX104" i="18"/>
  <c r="CX109" i="18" s="1"/>
  <c r="CW104" i="18"/>
  <c r="CW109" i="18" s="1"/>
  <c r="CV104" i="18"/>
  <c r="CV109" i="18" s="1"/>
  <c r="CU104" i="18"/>
  <c r="CU109" i="18" s="1"/>
  <c r="CT104" i="18"/>
  <c r="CT109" i="18" s="1"/>
  <c r="CS104" i="18"/>
  <c r="CS109" i="18" s="1"/>
  <c r="CR104" i="18"/>
  <c r="CR109" i="18" s="1"/>
  <c r="CQ104" i="18"/>
  <c r="CQ109" i="18" s="1"/>
  <c r="CP104" i="18"/>
  <c r="CP109" i="18" s="1"/>
  <c r="FF98" i="18"/>
  <c r="ES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EQ97" i="18"/>
  <c r="EP97" i="18"/>
  <c r="EO97" i="18"/>
  <c r="EN97" i="18"/>
  <c r="EM97" i="18"/>
  <c r="EL97" i="18"/>
  <c r="EK97" i="18"/>
  <c r="EJ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B96" i="18"/>
  <c r="DA96" i="18"/>
  <c r="E96" i="18"/>
  <c r="DB95" i="18"/>
  <c r="EI91" i="18"/>
  <c r="BM90" i="18"/>
  <c r="AY90" i="18"/>
  <c r="BM89" i="18"/>
  <c r="AY89" i="18"/>
  <c r="AK89" i="18"/>
  <c r="F89" i="18"/>
  <c r="E89" i="18"/>
  <c r="BM88" i="18"/>
  <c r="AY88" i="18"/>
  <c r="AK88" i="18"/>
  <c r="F88" i="18"/>
  <c r="E88" i="18"/>
  <c r="BM87" i="18"/>
  <c r="AY87" i="18"/>
  <c r="AK87" i="18"/>
  <c r="F87" i="18"/>
  <c r="E87" i="18"/>
  <c r="BM86" i="18"/>
  <c r="AY86" i="18"/>
  <c r="AK86" i="18"/>
  <c r="F86" i="18"/>
  <c r="E86" i="18"/>
  <c r="BM85" i="18"/>
  <c r="AY85" i="18"/>
  <c r="AK85" i="18"/>
  <c r="F85" i="18"/>
  <c r="E85" i="18"/>
  <c r="BM84" i="18"/>
  <c r="AY84" i="18"/>
  <c r="AK84" i="18"/>
  <c r="F84" i="18"/>
  <c r="E84" i="18"/>
  <c r="BM83" i="18"/>
  <c r="AY83" i="18"/>
  <c r="AK83" i="18"/>
  <c r="F83" i="18"/>
  <c r="E83" i="18"/>
  <c r="BM82" i="18"/>
  <c r="AY82" i="18"/>
  <c r="AK82" i="18"/>
  <c r="F82" i="18"/>
  <c r="E82" i="18"/>
  <c r="BM81" i="18"/>
  <c r="AY81" i="18"/>
  <c r="AK81" i="18"/>
  <c r="F81" i="18"/>
  <c r="E81" i="18"/>
  <c r="BM80" i="18"/>
  <c r="AY80" i="18"/>
  <c r="AK80" i="18"/>
  <c r="F80" i="18"/>
  <c r="E80" i="18"/>
  <c r="BM79" i="18"/>
  <c r="AK79" i="18"/>
  <c r="F79" i="18"/>
  <c r="E79" i="18"/>
  <c r="BM78" i="18"/>
  <c r="AY78" i="18"/>
  <c r="AK78" i="18"/>
  <c r="F78" i="18"/>
  <c r="E78" i="18"/>
  <c r="BM77" i="18"/>
  <c r="AY77" i="18"/>
  <c r="AK77" i="18"/>
  <c r="F77" i="18"/>
  <c r="E77" i="18"/>
  <c r="BM76" i="18"/>
  <c r="AY76" i="18"/>
  <c r="AK76" i="18"/>
  <c r="F76" i="18"/>
  <c r="E76" i="18"/>
  <c r="BM75" i="18"/>
  <c r="AY75" i="18"/>
  <c r="AK75" i="18"/>
  <c r="F75" i="18"/>
  <c r="E75" i="18"/>
  <c r="BM74" i="18"/>
  <c r="AY74" i="18"/>
  <c r="AK74" i="18"/>
  <c r="F74" i="18"/>
  <c r="E74" i="18"/>
  <c r="EU73" i="18"/>
  <c r="BM73" i="18"/>
  <c r="AY73" i="18"/>
  <c r="AK73" i="18"/>
  <c r="F73" i="18"/>
  <c r="E73" i="18"/>
  <c r="BM72" i="18"/>
  <c r="AY72" i="18"/>
  <c r="AK72" i="18"/>
  <c r="F72" i="18"/>
  <c r="E72" i="18"/>
  <c r="EQ71" i="18"/>
  <c r="EP71" i="18"/>
  <c r="EO71" i="18"/>
  <c r="EN71" i="18"/>
  <c r="EM71" i="18"/>
  <c r="EL71" i="18"/>
  <c r="EK71" i="18"/>
  <c r="EJ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B70" i="18"/>
  <c r="DA70" i="18"/>
  <c r="E70" i="18"/>
  <c r="DB69" i="18"/>
  <c r="EI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T66" i="18"/>
  <c r="S66" i="18"/>
  <c r="R66" i="18"/>
  <c r="Q66" i="18"/>
  <c r="P66" i="18"/>
  <c r="O66" i="18"/>
  <c r="N66" i="18"/>
  <c r="M66" i="18"/>
  <c r="H66" i="18"/>
  <c r="G66" i="18"/>
  <c r="F66" i="18"/>
  <c r="E66" i="18"/>
  <c r="DC62" i="18"/>
  <c r="DC61" i="18"/>
  <c r="DC60" i="18"/>
  <c r="U59" i="18"/>
  <c r="DC58" i="18"/>
  <c r="DC57" i="18"/>
  <c r="DC56" i="18"/>
  <c r="DC55" i="18"/>
  <c r="DC54" i="18"/>
  <c r="DC53" i="18"/>
  <c r="DC52" i="18"/>
  <c r="DC51" i="18"/>
  <c r="DC50" i="18"/>
  <c r="DC49" i="18"/>
  <c r="DC48" i="18"/>
  <c r="DC47" i="18"/>
  <c r="EQ46" i="18"/>
  <c r="EP46" i="18"/>
  <c r="EO46" i="18"/>
  <c r="EN46" i="18"/>
  <c r="EM46" i="18"/>
  <c r="EL46" i="18"/>
  <c r="EK46" i="18"/>
  <c r="EJ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D46" i="18"/>
  <c r="DB45" i="18"/>
  <c r="DA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DB44"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B38" i="18"/>
  <c r="DA38" i="18"/>
  <c r="CZ38" i="18"/>
  <c r="CY38" i="18"/>
  <c r="CX38" i="18"/>
  <c r="CW38" i="18"/>
  <c r="CV38" i="18"/>
  <c r="CU38" i="18"/>
  <c r="CT38" i="18"/>
  <c r="CS38" i="18"/>
  <c r="CR38" i="18"/>
  <c r="CQ38" i="18"/>
  <c r="CP38" i="18"/>
  <c r="CO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I37" i="18"/>
  <c r="AH37" i="18"/>
  <c r="AG37" i="18"/>
  <c r="AF37" i="18"/>
  <c r="AD37" i="18"/>
  <c r="AC37" i="18"/>
  <c r="AB37" i="18"/>
  <c r="AA37" i="18"/>
  <c r="Z37" i="18"/>
  <c r="Y37" i="18"/>
  <c r="X37" i="18"/>
  <c r="W37" i="18"/>
  <c r="V37" i="18"/>
  <c r="S37" i="18"/>
  <c r="Q37" i="18"/>
  <c r="P37" i="18"/>
  <c r="O37" i="18"/>
  <c r="N37" i="18"/>
  <c r="M37" i="18"/>
  <c r="L37" i="18"/>
  <c r="K37" i="18"/>
  <c r="J37" i="18"/>
  <c r="I37" i="18"/>
  <c r="H37" i="18"/>
  <c r="G37" i="18"/>
  <c r="F37" i="18"/>
  <c r="E37"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Y36" i="18"/>
  <c r="X36" i="18"/>
  <c r="W36" i="18"/>
  <c r="V36" i="18"/>
  <c r="U36" i="18"/>
  <c r="T36" i="18"/>
  <c r="S36" i="18"/>
  <c r="R36" i="18"/>
  <c r="Q36" i="18"/>
  <c r="P36" i="18"/>
  <c r="O36" i="18"/>
  <c r="N36" i="18"/>
  <c r="M36" i="18"/>
  <c r="L36" i="18"/>
  <c r="K36" i="18"/>
  <c r="J36" i="18"/>
  <c r="I36" i="18"/>
  <c r="H36" i="18"/>
  <c r="G36" i="18"/>
  <c r="F36" i="18"/>
  <c r="E36" i="18"/>
  <c r="DB35" i="18"/>
  <c r="DA35" i="18"/>
  <c r="CZ35" i="18"/>
  <c r="CY35" i="18"/>
  <c r="CX35" i="18"/>
  <c r="CW35" i="18"/>
  <c r="CV35" i="18"/>
  <c r="CU35" i="18"/>
  <c r="CT35" i="18"/>
  <c r="CS35" i="18"/>
  <c r="CR35" i="18"/>
  <c r="CQ35" i="18"/>
  <c r="CP35" i="18"/>
  <c r="CO35" i="18"/>
  <c r="CM35" i="18"/>
  <c r="CL35" i="18"/>
  <c r="CK35" i="18"/>
  <c r="CJ35" i="18"/>
  <c r="CI35" i="18"/>
  <c r="CH35" i="18"/>
  <c r="CG35" i="18"/>
  <c r="CF35" i="18"/>
  <c r="CE35" i="18"/>
  <c r="CD35" i="18"/>
  <c r="CC35" i="18"/>
  <c r="CA35" i="18"/>
  <c r="BZ35" i="18"/>
  <c r="BY35" i="18"/>
  <c r="BW35" i="18"/>
  <c r="BV35" i="18"/>
  <c r="BU35" i="18"/>
  <c r="BT35" i="18"/>
  <c r="BS35" i="18"/>
  <c r="BR35" i="18"/>
  <c r="BQ35" i="18"/>
  <c r="BP35" i="18"/>
  <c r="BO35" i="18"/>
  <c r="BN35" i="18"/>
  <c r="BM35" i="18"/>
  <c r="BL35" i="18"/>
  <c r="BK35" i="18"/>
  <c r="BJ35" i="18"/>
  <c r="BH35" i="18"/>
  <c r="BG35" i="18"/>
  <c r="BF35" i="18"/>
  <c r="BE35" i="18"/>
  <c r="BD35" i="18"/>
  <c r="BC35" i="18"/>
  <c r="BB35" i="18"/>
  <c r="BA35" i="18"/>
  <c r="AZ35" i="18"/>
  <c r="AX35" i="18"/>
  <c r="AW35" i="18"/>
  <c r="AV35" i="18"/>
  <c r="AU35" i="18"/>
  <c r="AT35" i="18"/>
  <c r="AS35" i="18"/>
  <c r="AR35" i="18"/>
  <c r="AQ35" i="18"/>
  <c r="AP35" i="18"/>
  <c r="AO35" i="18"/>
  <c r="AN35" i="18"/>
  <c r="AM35" i="18"/>
  <c r="AL35" i="18"/>
  <c r="AK35" i="18"/>
  <c r="AJ35" i="18"/>
  <c r="AH35" i="18"/>
  <c r="AG35" i="18"/>
  <c r="AF35" i="18"/>
  <c r="AE35" i="18"/>
  <c r="AD35" i="18"/>
  <c r="AC35" i="18"/>
  <c r="AB35" i="18"/>
  <c r="AA35" i="18"/>
  <c r="Z35" i="18"/>
  <c r="Y35" i="18"/>
  <c r="X35" i="18"/>
  <c r="W35" i="18"/>
  <c r="V35" i="18"/>
  <c r="U35" i="18"/>
  <c r="S35" i="18"/>
  <c r="R35" i="18"/>
  <c r="Q35" i="18"/>
  <c r="P35" i="18"/>
  <c r="O35" i="18"/>
  <c r="N35" i="18"/>
  <c r="M35" i="18"/>
  <c r="L35" i="18"/>
  <c r="K35" i="18"/>
  <c r="H35" i="18"/>
  <c r="G35" i="18"/>
  <c r="F35" i="18"/>
  <c r="E35" i="18"/>
  <c r="CZ34" i="18"/>
  <c r="CY34" i="18"/>
  <c r="CX34" i="18"/>
  <c r="CW34" i="18"/>
  <c r="CV34" i="18"/>
  <c r="CU34" i="18"/>
  <c r="CT34" i="18"/>
  <c r="CS34" i="18"/>
  <c r="CR34" i="18"/>
  <c r="CQ34" i="18"/>
  <c r="CP34" i="18"/>
  <c r="CN34" i="18"/>
  <c r="CM34" i="18"/>
  <c r="CL34" i="18"/>
  <c r="CJ34" i="18"/>
  <c r="CI34" i="18"/>
  <c r="CH34" i="18"/>
  <c r="CG34" i="18"/>
  <c r="CF34" i="18"/>
  <c r="CE34" i="18"/>
  <c r="CD34" i="18"/>
  <c r="CC34" i="18"/>
  <c r="BW34" i="18"/>
  <c r="BV34" i="18"/>
  <c r="BU34" i="18"/>
  <c r="BT34" i="18"/>
  <c r="BS34" i="18"/>
  <c r="BR34" i="18"/>
  <c r="BP34" i="18"/>
  <c r="BN34" i="18"/>
  <c r="BM34" i="18"/>
  <c r="BL34" i="18"/>
  <c r="BJ34" i="18"/>
  <c r="BH34" i="18"/>
  <c r="BF34" i="18"/>
  <c r="BD34" i="18"/>
  <c r="BC34" i="18"/>
  <c r="BB34" i="18"/>
  <c r="BA34" i="18"/>
  <c r="AZ34" i="18"/>
  <c r="AY34" i="18"/>
  <c r="AX34" i="18"/>
  <c r="AW34" i="18"/>
  <c r="AV34" i="18"/>
  <c r="AU34" i="18"/>
  <c r="AT34" i="18"/>
  <c r="AS34" i="18"/>
  <c r="AQ34" i="18"/>
  <c r="AP34" i="18"/>
  <c r="AO34" i="18"/>
  <c r="AN34" i="18"/>
  <c r="AM34" i="18"/>
  <c r="AL34" i="18"/>
  <c r="AK34" i="18"/>
  <c r="AJ34" i="18"/>
  <c r="AI34" i="18"/>
  <c r="AH34" i="18"/>
  <c r="AF34" i="18"/>
  <c r="AE34" i="18"/>
  <c r="AD34" i="18"/>
  <c r="AC34" i="18"/>
  <c r="AA34" i="18"/>
  <c r="Z34" i="18"/>
  <c r="Y34" i="18"/>
  <c r="W34" i="18"/>
  <c r="V34" i="18"/>
  <c r="U34" i="18"/>
  <c r="T34" i="18"/>
  <c r="S34" i="18"/>
  <c r="R34" i="18"/>
  <c r="P34" i="18"/>
  <c r="O34" i="18"/>
  <c r="N34" i="18"/>
  <c r="M34" i="18"/>
  <c r="L34" i="18"/>
  <c r="J34" i="18"/>
  <c r="G34" i="18"/>
  <c r="F34" i="18"/>
  <c r="E34" i="18"/>
  <c r="EQ33" i="18"/>
  <c r="EP33" i="18"/>
  <c r="EO33" i="18"/>
  <c r="EN33" i="18"/>
  <c r="EM33" i="18"/>
  <c r="EL33" i="18"/>
  <c r="EK33" i="18"/>
  <c r="EJ33" i="18"/>
  <c r="ES31" i="18"/>
  <c r="EI31" i="18"/>
  <c r="DB31" i="18"/>
  <c r="DB32" i="18" s="1"/>
  <c r="DA31" i="18"/>
  <c r="DA32" i="18" s="1"/>
  <c r="CZ31" i="18"/>
  <c r="CZ32" i="18" s="1"/>
  <c r="CY31" i="18"/>
  <c r="CY32" i="18" s="1"/>
  <c r="CX31" i="18"/>
  <c r="CX32" i="18" s="1"/>
  <c r="CW31" i="18"/>
  <c r="CW32" i="18" s="1"/>
  <c r="CV31" i="18"/>
  <c r="CV32" i="18" s="1"/>
  <c r="CU31" i="18"/>
  <c r="CU32" i="18" s="1"/>
  <c r="CT31" i="18"/>
  <c r="CT32" i="18" s="1"/>
  <c r="CS31" i="18"/>
  <c r="CS32" i="18" s="1"/>
  <c r="CR31" i="18"/>
  <c r="CR32" i="18" s="1"/>
  <c r="CQ31" i="18"/>
  <c r="CQ32" i="18" s="1"/>
  <c r="CP31" i="18"/>
  <c r="CP32" i="18" s="1"/>
  <c r="CJ31" i="18"/>
  <c r="CJ32" i="18" s="1"/>
  <c r="CI31" i="18"/>
  <c r="CI32" i="18" s="1"/>
  <c r="CH31" i="18"/>
  <c r="CH32" i="18" s="1"/>
  <c r="CG31" i="18"/>
  <c r="CG32" i="18" s="1"/>
  <c r="CF31" i="18"/>
  <c r="CF32" i="18" s="1"/>
  <c r="CE31" i="18"/>
  <c r="CE32" i="18" s="1"/>
  <c r="CC31" i="18"/>
  <c r="CC32" i="18" s="1"/>
  <c r="BW31" i="18"/>
  <c r="BW32" i="18" s="1"/>
  <c r="BV31" i="18"/>
  <c r="BV32" i="18" s="1"/>
  <c r="BU31" i="18"/>
  <c r="BU32" i="18" s="1"/>
  <c r="BT31" i="18"/>
  <c r="BT32" i="18" s="1"/>
  <c r="BS31" i="18"/>
  <c r="BS32" i="18" s="1"/>
  <c r="BR31" i="18"/>
  <c r="BR32" i="18" s="1"/>
  <c r="BP31" i="18"/>
  <c r="BP32" i="18" s="1"/>
  <c r="BN31" i="18"/>
  <c r="BN32" i="18" s="1"/>
  <c r="BM31" i="18"/>
  <c r="BM32" i="18" s="1"/>
  <c r="BL31" i="18"/>
  <c r="BL32" i="18" s="1"/>
  <c r="BJ31" i="18"/>
  <c r="BJ32" i="18" s="1"/>
  <c r="BH31" i="18"/>
  <c r="BH32" i="18" s="1"/>
  <c r="BF31" i="18"/>
  <c r="BF32" i="18" s="1"/>
  <c r="BD31" i="18"/>
  <c r="BD32" i="18" s="1"/>
  <c r="BC31" i="18"/>
  <c r="BC32" i="18" s="1"/>
  <c r="BB31" i="18"/>
  <c r="BB32" i="18" s="1"/>
  <c r="BA31" i="18"/>
  <c r="BA32" i="18" s="1"/>
  <c r="AZ31" i="18"/>
  <c r="AZ32" i="18" s="1"/>
  <c r="AX31" i="18"/>
  <c r="AX32" i="18" s="1"/>
  <c r="AW31" i="18"/>
  <c r="AW32" i="18" s="1"/>
  <c r="AV31" i="18"/>
  <c r="AV32" i="18" s="1"/>
  <c r="AU31" i="18"/>
  <c r="AU32" i="18" s="1"/>
  <c r="AT31" i="18"/>
  <c r="AT32" i="18" s="1"/>
  <c r="AS31" i="18"/>
  <c r="AS32" i="18" s="1"/>
  <c r="AQ31" i="18"/>
  <c r="AQ32" i="18" s="1"/>
  <c r="AP31" i="18"/>
  <c r="AP32" i="18" s="1"/>
  <c r="AO31" i="18"/>
  <c r="AO32" i="18" s="1"/>
  <c r="AN31" i="18"/>
  <c r="AN32" i="18" s="1"/>
  <c r="AM31" i="18"/>
  <c r="AM32" i="18" s="1"/>
  <c r="AL31" i="18"/>
  <c r="AL32" i="18" s="1"/>
  <c r="AK31" i="18"/>
  <c r="AK32" i="18" s="1"/>
  <c r="AH31" i="18"/>
  <c r="AH32" i="18" s="1"/>
  <c r="AF31" i="18"/>
  <c r="AF32" i="18" s="1"/>
  <c r="AD31" i="18"/>
  <c r="AD32" i="18" s="1"/>
  <c r="AC31" i="18"/>
  <c r="AC32" i="18" s="1"/>
  <c r="AA31" i="18"/>
  <c r="AA32" i="18" s="1"/>
  <c r="Y31" i="18"/>
  <c r="Y32" i="18" s="1"/>
  <c r="W31" i="18"/>
  <c r="W32" i="18" s="1"/>
  <c r="V31" i="18"/>
  <c r="V32" i="18" s="1"/>
  <c r="S31" i="18"/>
  <c r="S32" i="18" s="1"/>
  <c r="P31" i="18"/>
  <c r="P32" i="18" s="1"/>
  <c r="O31" i="18"/>
  <c r="O32" i="18" s="1"/>
  <c r="N31" i="18"/>
  <c r="N32" i="18" s="1"/>
  <c r="M31" i="18"/>
  <c r="M32" i="18" s="1"/>
  <c r="L31" i="18"/>
  <c r="L32" i="18" s="1"/>
  <c r="G31" i="18"/>
  <c r="G32" i="18" s="1"/>
  <c r="F31" i="18"/>
  <c r="F32" i="18" s="1"/>
  <c r="E31" i="18"/>
  <c r="E32" i="18" s="1"/>
  <c r="DC29" i="18"/>
  <c r="EU29" i="18" s="1"/>
  <c r="DC28" i="18"/>
  <c r="EU28" i="18" s="1"/>
  <c r="CN27" i="18"/>
  <c r="CM27" i="18"/>
  <c r="CM38" i="18" s="1"/>
  <c r="CL27" i="18"/>
  <c r="CK27" i="18"/>
  <c r="CL26" i="18"/>
  <c r="CN25" i="18"/>
  <c r="CK25" i="18"/>
  <c r="AJ24" i="18"/>
  <c r="AJ37" i="18" s="1"/>
  <c r="U24" i="18"/>
  <c r="U31" i="18" s="1"/>
  <c r="U32" i="18" s="1"/>
  <c r="CD23" i="18"/>
  <c r="CD37" i="18" s="1"/>
  <c r="AE23" i="18"/>
  <c r="AE37" i="18" s="1"/>
  <c r="T23" i="18"/>
  <c r="T37" i="18" s="1"/>
  <c r="R23" i="18"/>
  <c r="DC22" i="18"/>
  <c r="EU22" i="18" s="1"/>
  <c r="DC21" i="18"/>
  <c r="EU21" i="18" s="1"/>
  <c r="Z20" i="18"/>
  <c r="DC20" i="18" s="1"/>
  <c r="CN19" i="18"/>
  <c r="CN35" i="18" s="1"/>
  <c r="BX19" i="18"/>
  <c r="BX35" i="18" s="1"/>
  <c r="BI19" i="18"/>
  <c r="BI35" i="18" s="1"/>
  <c r="AY19" i="18"/>
  <c r="AY79" i="18" s="1"/>
  <c r="T19" i="18"/>
  <c r="CB18" i="18"/>
  <c r="AI17" i="18"/>
  <c r="AI35" i="18" s="1"/>
  <c r="J17" i="18"/>
  <c r="I17" i="18"/>
  <c r="DC16" i="18"/>
  <c r="EU16" i="18" s="1"/>
  <c r="CB15" i="18"/>
  <c r="CA15" i="18"/>
  <c r="CA31" i="18" s="1"/>
  <c r="CA32" i="18" s="1"/>
  <c r="BZ15" i="18"/>
  <c r="BK15" i="18"/>
  <c r="AG15" i="18"/>
  <c r="AG31" i="18" s="1"/>
  <c r="AG32" i="18" s="1"/>
  <c r="H15" i="18"/>
  <c r="H34" i="18" s="1"/>
  <c r="BE14" i="18"/>
  <c r="BE34" i="18" s="1"/>
  <c r="BZ13" i="18"/>
  <c r="BX13" i="18"/>
  <c r="BX34" i="18" s="1"/>
  <c r="BG13" i="18"/>
  <c r="BG34" i="18" s="1"/>
  <c r="AR13" i="18"/>
  <c r="AR31" i="18" s="1"/>
  <c r="AR32" i="18" s="1"/>
  <c r="CO12" i="18"/>
  <c r="CO31" i="18" s="1"/>
  <c r="CO32" i="18" s="1"/>
  <c r="CK12" i="18"/>
  <c r="CK34" i="18" s="1"/>
  <c r="BY12" i="18"/>
  <c r="BY31" i="18" s="1"/>
  <c r="BY32" i="18" s="1"/>
  <c r="BQ12" i="18"/>
  <c r="BQ31" i="18" s="1"/>
  <c r="BQ32" i="18" s="1"/>
  <c r="BO12" i="18"/>
  <c r="BO31" i="18" s="1"/>
  <c r="BO32" i="18" s="1"/>
  <c r="BK12" i="18"/>
  <c r="BI12" i="18"/>
  <c r="BI34" i="18" s="1"/>
  <c r="AB12" i="18"/>
  <c r="AB31" i="18" s="1"/>
  <c r="AB32" i="18" s="1"/>
  <c r="X12" i="18"/>
  <c r="X34" i="18" s="1"/>
  <c r="Q12" i="18"/>
  <c r="Q31" i="18" s="1"/>
  <c r="Q32" i="18" s="1"/>
  <c r="K12" i="18"/>
  <c r="K34" i="18" s="1"/>
  <c r="I12" i="18"/>
  <c r="F9" i="18"/>
  <c r="F96" i="18" s="1"/>
  <c r="DA8" i="18"/>
  <c r="DA95" i="18" s="1"/>
  <c r="E8" i="18"/>
  <c r="E95" i="18" s="1"/>
  <c r="BN6" i="18"/>
  <c r="BN75" i="18" s="1"/>
  <c r="AZ6" i="18"/>
  <c r="AZ73" i="18" s="1"/>
  <c r="AL6" i="18"/>
  <c r="AL76" i="18" s="1"/>
  <c r="G6" i="18"/>
  <c r="G80" i="18" s="1"/>
  <c r="S84" i="19"/>
  <c r="S78" i="19"/>
  <c r="S81" i="19" s="1"/>
  <c r="AH73" i="19"/>
  <c r="AG71" i="19"/>
  <c r="AF71" i="19"/>
  <c r="AE71" i="19"/>
  <c r="AD71" i="19"/>
  <c r="AC71" i="19"/>
  <c r="AB71" i="19"/>
  <c r="V71" i="19"/>
  <c r="U70" i="19"/>
  <c r="V70" i="19" s="1"/>
  <c r="V69" i="19"/>
  <c r="V67" i="19"/>
  <c r="AH66" i="19"/>
  <c r="AH65" i="19"/>
  <c r="AH64" i="19"/>
  <c r="R60" i="19"/>
  <c r="AH59" i="19"/>
  <c r="R59" i="19"/>
  <c r="AH58" i="19"/>
  <c r="R58" i="19"/>
  <c r="AH57" i="19"/>
  <c r="R57" i="19"/>
  <c r="R56" i="19"/>
  <c r="R55" i="19"/>
  <c r="M54" i="19"/>
  <c r="R54" i="19" s="1"/>
  <c r="Z49" i="19"/>
  <c r="Q49" i="19"/>
  <c r="P49" i="19"/>
  <c r="O49" i="19"/>
  <c r="N49" i="19"/>
  <c r="M49" i="19"/>
  <c r="L49" i="19"/>
  <c r="R48" i="19"/>
  <c r="V38" i="19"/>
  <c r="U37" i="19"/>
  <c r="L37" i="19"/>
  <c r="U36" i="19"/>
  <c r="Q36" i="19"/>
  <c r="P36" i="19"/>
  <c r="O36" i="19"/>
  <c r="N36" i="19"/>
  <c r="M36" i="19"/>
  <c r="U35" i="19"/>
  <c r="Q35" i="19"/>
  <c r="P35" i="19"/>
  <c r="O35" i="19"/>
  <c r="U34" i="19"/>
  <c r="U33" i="19"/>
  <c r="Q32" i="19"/>
  <c r="P32" i="19"/>
  <c r="O32" i="19"/>
  <c r="N32" i="19"/>
  <c r="M32" i="19"/>
  <c r="U31" i="19"/>
  <c r="R31" i="19"/>
  <c r="Q31" i="19"/>
  <c r="P31" i="19"/>
  <c r="O31" i="19"/>
  <c r="N31" i="19"/>
  <c r="M31" i="19"/>
  <c r="W26" i="19"/>
  <c r="I26" i="19"/>
  <c r="U25" i="19"/>
  <c r="U27" i="19" s="1"/>
  <c r="I25" i="19"/>
  <c r="R24" i="19"/>
  <c r="W24" i="19" s="1"/>
  <c r="I24" i="19"/>
  <c r="I23" i="19"/>
  <c r="I22" i="19"/>
  <c r="R21" i="19"/>
  <c r="W21" i="19" s="1"/>
  <c r="L21" i="19"/>
  <c r="L29" i="19" s="1"/>
  <c r="R29" i="19" s="1"/>
  <c r="I21" i="19"/>
  <c r="R20" i="19"/>
  <c r="W20" i="19" s="1"/>
  <c r="I20" i="19"/>
  <c r="N19" i="19"/>
  <c r="N35" i="19" s="1"/>
  <c r="M19" i="19"/>
  <c r="M35" i="19" s="1"/>
  <c r="I19" i="19"/>
  <c r="R18" i="19"/>
  <c r="W18" i="19" s="1"/>
  <c r="I18" i="19"/>
  <c r="R17" i="19"/>
  <c r="I17" i="19"/>
  <c r="I16" i="19"/>
  <c r="O15" i="19"/>
  <c r="O53" i="19" s="1"/>
  <c r="N15" i="19"/>
  <c r="N53" i="19" s="1"/>
  <c r="M15" i="19"/>
  <c r="I15" i="19"/>
  <c r="I14" i="19"/>
  <c r="I13" i="19"/>
  <c r="I12" i="19"/>
  <c r="I11" i="19"/>
  <c r="I10" i="19"/>
  <c r="AA9" i="19"/>
  <c r="P15" i="19" s="1"/>
  <c r="P53" i="19" s="1"/>
  <c r="I9" i="19"/>
  <c r="AA8" i="19"/>
  <c r="Q15" i="19" s="1"/>
  <c r="Q53" i="19" s="1"/>
  <c r="I8" i="19"/>
  <c r="I7" i="19"/>
  <c r="R6" i="19"/>
  <c r="R32" i="19" s="1"/>
  <c r="J6" i="19"/>
  <c r="J25" i="19" s="1"/>
  <c r="Y3" i="19"/>
  <c r="AA3" i="19" s="1"/>
  <c r="A833" i="17"/>
  <c r="A832" i="17"/>
  <c r="A831" i="17"/>
  <c r="A830" i="17"/>
  <c r="A829" i="17"/>
  <c r="A828" i="17"/>
  <c r="A827" i="17"/>
  <c r="A826" i="17"/>
  <c r="A825" i="17"/>
  <c r="A824" i="17"/>
  <c r="A823" i="17"/>
  <c r="A822" i="17"/>
  <c r="A821" i="17"/>
  <c r="A820" i="17"/>
  <c r="A819" i="17"/>
  <c r="A818" i="17"/>
  <c r="A817" i="17"/>
  <c r="A816" i="17"/>
  <c r="A815" i="17"/>
  <c r="A814" i="17"/>
  <c r="A813" i="17"/>
  <c r="A812" i="17"/>
  <c r="A811" i="17"/>
  <c r="A810" i="17"/>
  <c r="A809" i="17"/>
  <c r="A808" i="17"/>
  <c r="A807" i="17"/>
  <c r="A806" i="17"/>
  <c r="A805" i="17"/>
  <c r="A804" i="17"/>
  <c r="A803" i="17"/>
  <c r="A802" i="17"/>
  <c r="A801" i="17"/>
  <c r="A800" i="17"/>
  <c r="A799" i="17"/>
  <c r="A798" i="17"/>
  <c r="A797" i="17"/>
  <c r="A796" i="17"/>
  <c r="A795" i="17"/>
  <c r="A794" i="17"/>
  <c r="A793" i="17"/>
  <c r="A792" i="17"/>
  <c r="A791" i="17"/>
  <c r="A790" i="17"/>
  <c r="A789" i="17"/>
  <c r="A788" i="17"/>
  <c r="A787" i="17"/>
  <c r="A786" i="17"/>
  <c r="A785" i="17"/>
  <c r="A784" i="17"/>
  <c r="A783" i="17"/>
  <c r="A782" i="17"/>
  <c r="A781" i="17"/>
  <c r="A780" i="17"/>
  <c r="A779" i="17"/>
  <c r="A778" i="17"/>
  <c r="A777" i="17"/>
  <c r="A776" i="17"/>
  <c r="A775" i="17"/>
  <c r="A774" i="17"/>
  <c r="A773" i="17"/>
  <c r="A772" i="17"/>
  <c r="A771" i="17"/>
  <c r="A770" i="17"/>
  <c r="A769" i="17"/>
  <c r="A768" i="17"/>
  <c r="A767" i="17"/>
  <c r="A766" i="17"/>
  <c r="A765" i="17"/>
  <c r="A764" i="17"/>
  <c r="A763" i="17"/>
  <c r="A762" i="17"/>
  <c r="A761" i="17"/>
  <c r="A760" i="17"/>
  <c r="A759" i="17"/>
  <c r="A758" i="17"/>
  <c r="A757" i="17"/>
  <c r="A756" i="17"/>
  <c r="A755" i="17"/>
  <c r="A754" i="17"/>
  <c r="A753" i="17"/>
  <c r="A752" i="17"/>
  <c r="A751" i="17"/>
  <c r="A750" i="17"/>
  <c r="A749" i="17"/>
  <c r="A748" i="17"/>
  <c r="A747" i="17"/>
  <c r="A746" i="17"/>
  <c r="B745" i="17"/>
  <c r="B744" i="17"/>
  <c r="B743" i="17"/>
  <c r="B742" i="17"/>
  <c r="B741" i="17"/>
  <c r="B740" i="17"/>
  <c r="B739" i="17"/>
  <c r="B738" i="17"/>
  <c r="B737" i="17"/>
  <c r="B736" i="17"/>
  <c r="B735" i="17"/>
  <c r="B734" i="17"/>
  <c r="B733" i="17"/>
  <c r="B732" i="17"/>
  <c r="B731" i="17"/>
  <c r="B730" i="17"/>
  <c r="B729" i="17"/>
  <c r="B728" i="17"/>
  <c r="B727" i="17"/>
  <c r="B726" i="17"/>
  <c r="B725" i="17"/>
  <c r="B724" i="17"/>
  <c r="B723" i="17"/>
  <c r="B722" i="17"/>
  <c r="B721" i="17"/>
  <c r="B720" i="17"/>
  <c r="B719" i="17"/>
  <c r="B718" i="17"/>
  <c r="B717" i="17"/>
  <c r="B716" i="17"/>
  <c r="B715" i="17"/>
  <c r="B714" i="17"/>
  <c r="B713" i="17"/>
  <c r="B712" i="17"/>
  <c r="B711" i="17"/>
  <c r="B710" i="17"/>
  <c r="B709" i="17"/>
  <c r="B708" i="17"/>
  <c r="B707" i="17"/>
  <c r="B706" i="17"/>
  <c r="B705" i="17"/>
  <c r="B704" i="17"/>
  <c r="B703" i="17"/>
  <c r="B702" i="17"/>
  <c r="B701" i="17"/>
  <c r="B700" i="17"/>
  <c r="B699" i="17"/>
  <c r="B698" i="17"/>
  <c r="B697" i="17"/>
  <c r="B696" i="17"/>
  <c r="B695" i="17"/>
  <c r="B694" i="17"/>
  <c r="B693" i="17"/>
  <c r="B692" i="17"/>
  <c r="B691" i="17"/>
  <c r="B690" i="17"/>
  <c r="B689" i="17"/>
  <c r="B688" i="17"/>
  <c r="B687" i="17"/>
  <c r="B686" i="17"/>
  <c r="B685" i="17"/>
  <c r="B684" i="17"/>
  <c r="B683" i="17"/>
  <c r="B682" i="17"/>
  <c r="B681" i="17"/>
  <c r="B680" i="17"/>
  <c r="B679" i="17"/>
  <c r="B678" i="17"/>
  <c r="B677" i="17"/>
  <c r="B676" i="17"/>
  <c r="B675" i="17"/>
  <c r="B674" i="17"/>
  <c r="B673" i="17"/>
  <c r="B672" i="17"/>
  <c r="B671" i="17"/>
  <c r="B670" i="17"/>
  <c r="B669" i="17"/>
  <c r="B668" i="17"/>
  <c r="B667" i="17"/>
  <c r="B666" i="17"/>
  <c r="B665" i="17"/>
  <c r="B664" i="17"/>
  <c r="B663" i="17"/>
  <c r="B662" i="17"/>
  <c r="B661" i="17"/>
  <c r="B660" i="17"/>
  <c r="B659" i="17"/>
  <c r="B658" i="17"/>
  <c r="B657" i="17"/>
  <c r="B656" i="17"/>
  <c r="B655" i="17"/>
  <c r="B654" i="17"/>
  <c r="B653" i="17"/>
  <c r="B652" i="17"/>
  <c r="B651" i="17"/>
  <c r="B650" i="17"/>
  <c r="B649" i="17"/>
  <c r="B648" i="17"/>
  <c r="B647" i="17"/>
  <c r="B646" i="17"/>
  <c r="B645" i="17"/>
  <c r="B644" i="17"/>
  <c r="B643" i="17"/>
  <c r="B642" i="17"/>
  <c r="B641" i="17"/>
  <c r="B640" i="17"/>
  <c r="B639" i="17"/>
  <c r="B638" i="17"/>
  <c r="B637" i="17"/>
  <c r="B636" i="17"/>
  <c r="B635" i="17"/>
  <c r="B634" i="17"/>
  <c r="B633" i="17"/>
  <c r="B632" i="17"/>
  <c r="B631" i="17"/>
  <c r="B630" i="17"/>
  <c r="B629" i="17"/>
  <c r="B628" i="17"/>
  <c r="B627" i="17"/>
  <c r="B626" i="17"/>
  <c r="B625" i="17"/>
  <c r="B624" i="17"/>
  <c r="B623" i="17"/>
  <c r="B622" i="17"/>
  <c r="B621" i="17"/>
  <c r="B620" i="17"/>
  <c r="B619" i="17"/>
  <c r="B618" i="17"/>
  <c r="B617" i="17"/>
  <c r="B616" i="17"/>
  <c r="B615" i="17"/>
  <c r="B614" i="17"/>
  <c r="B613" i="17"/>
  <c r="B612" i="17"/>
  <c r="B611" i="17"/>
  <c r="B610" i="17"/>
  <c r="B609" i="17"/>
  <c r="B608" i="17"/>
  <c r="B607" i="17"/>
  <c r="B606" i="17"/>
  <c r="B605" i="17"/>
  <c r="B604" i="17"/>
  <c r="B603" i="17"/>
  <c r="B602" i="17"/>
  <c r="B601" i="17"/>
  <c r="B600" i="17"/>
  <c r="B599" i="17"/>
  <c r="B598" i="17"/>
  <c r="B597" i="17"/>
  <c r="B596" i="17"/>
  <c r="B595" i="17"/>
  <c r="B594" i="17"/>
  <c r="B593" i="17"/>
  <c r="B592" i="17"/>
  <c r="B591" i="17"/>
  <c r="B590" i="17"/>
  <c r="B589" i="17"/>
  <c r="B588" i="17"/>
  <c r="B587" i="17"/>
  <c r="B586" i="17"/>
  <c r="B585" i="17"/>
  <c r="B584" i="17"/>
  <c r="B583" i="17"/>
  <c r="B582" i="17"/>
  <c r="B581" i="17"/>
  <c r="B580" i="17"/>
  <c r="B579" i="17"/>
  <c r="B578" i="17"/>
  <c r="B577" i="17"/>
  <c r="B576" i="17"/>
  <c r="B575" i="17"/>
  <c r="B574" i="17"/>
  <c r="B573" i="17"/>
  <c r="B572" i="17"/>
  <c r="B571" i="17"/>
  <c r="B570" i="17"/>
  <c r="B569" i="17"/>
  <c r="B568" i="17"/>
  <c r="B567" i="17"/>
  <c r="B566" i="17"/>
  <c r="B565" i="17"/>
  <c r="B564" i="17"/>
  <c r="B563" i="17"/>
  <c r="B562" i="17"/>
  <c r="B561" i="17"/>
  <c r="B560" i="17"/>
  <c r="B559" i="17"/>
  <c r="B558" i="17"/>
  <c r="B557" i="17"/>
  <c r="B556" i="17"/>
  <c r="B555" i="17"/>
  <c r="B554" i="17"/>
  <c r="B553" i="17"/>
  <c r="B552" i="17"/>
  <c r="B551" i="17"/>
  <c r="B550" i="17"/>
  <c r="B549" i="17"/>
  <c r="B548" i="17"/>
  <c r="B547" i="17"/>
  <c r="B546" i="17"/>
  <c r="B545" i="17"/>
  <c r="B544" i="17"/>
  <c r="B543" i="17"/>
  <c r="B542" i="17"/>
  <c r="B541" i="17"/>
  <c r="B540" i="17"/>
  <c r="B539" i="17"/>
  <c r="B538" i="17"/>
  <c r="B537" i="17"/>
  <c r="B536" i="17"/>
  <c r="B535" i="17"/>
  <c r="B534" i="17"/>
  <c r="B533" i="17"/>
  <c r="B532" i="17"/>
  <c r="B531" i="17"/>
  <c r="B530" i="17"/>
  <c r="B529" i="17"/>
  <c r="B528" i="17"/>
  <c r="B527" i="17"/>
  <c r="B526" i="17"/>
  <c r="B525" i="17"/>
  <c r="B524" i="17"/>
  <c r="B523" i="17"/>
  <c r="B522" i="17"/>
  <c r="B521" i="17"/>
  <c r="B520" i="17"/>
  <c r="B519" i="17"/>
  <c r="B518" i="17"/>
  <c r="B517" i="17"/>
  <c r="B516" i="17"/>
  <c r="B515" i="17"/>
  <c r="B514" i="17"/>
  <c r="B513" i="17"/>
  <c r="B512" i="17"/>
  <c r="B511" i="17"/>
  <c r="B510" i="17"/>
  <c r="B509" i="17"/>
  <c r="B508" i="17"/>
  <c r="B507" i="17"/>
  <c r="B506" i="17"/>
  <c r="B505" i="17"/>
  <c r="B504" i="17"/>
  <c r="B503" i="17"/>
  <c r="B502" i="17"/>
  <c r="B501" i="17"/>
  <c r="B500" i="17"/>
  <c r="B499" i="17"/>
  <c r="B498" i="17"/>
  <c r="B497" i="17"/>
  <c r="B496" i="17"/>
  <c r="B495" i="17"/>
  <c r="B494" i="17"/>
  <c r="B493" i="17"/>
  <c r="B492" i="17"/>
  <c r="B491" i="17"/>
  <c r="B490" i="17"/>
  <c r="B489" i="17"/>
  <c r="B488" i="17"/>
  <c r="B487" i="17"/>
  <c r="B486" i="17"/>
  <c r="B485" i="17"/>
  <c r="B484" i="17"/>
  <c r="B483" i="17"/>
  <c r="B482" i="17"/>
  <c r="B481" i="17"/>
  <c r="B480" i="17"/>
  <c r="B479" i="17"/>
  <c r="B478" i="17"/>
  <c r="B477" i="17"/>
  <c r="B476" i="17"/>
  <c r="B475" i="17"/>
  <c r="B474" i="17"/>
  <c r="B473" i="17"/>
  <c r="B472" i="17"/>
  <c r="B471" i="17"/>
  <c r="B470" i="17"/>
  <c r="B469" i="17"/>
  <c r="B468" i="17"/>
  <c r="B467" i="17"/>
  <c r="B466" i="17"/>
  <c r="B465" i="17"/>
  <c r="B464" i="17"/>
  <c r="B463" i="17"/>
  <c r="B462" i="17"/>
  <c r="B461" i="17"/>
  <c r="B460" i="17"/>
  <c r="B459" i="17"/>
  <c r="B458" i="17"/>
  <c r="B457" i="17"/>
  <c r="B456" i="17"/>
  <c r="B455" i="17"/>
  <c r="B454" i="17"/>
  <c r="B453" i="17"/>
  <c r="B452" i="17"/>
  <c r="B451" i="17"/>
  <c r="B450" i="17"/>
  <c r="B449" i="17"/>
  <c r="B448" i="17"/>
  <c r="B447" i="17"/>
  <c r="B446" i="17"/>
  <c r="B445" i="17"/>
  <c r="B444" i="17"/>
  <c r="B443" i="17"/>
  <c r="B442" i="17"/>
  <c r="B441" i="17"/>
  <c r="B440" i="17"/>
  <c r="B439" i="17"/>
  <c r="B438" i="17"/>
  <c r="B437" i="17"/>
  <c r="B436" i="17"/>
  <c r="B435" i="17"/>
  <c r="B434" i="17"/>
  <c r="B433" i="17"/>
  <c r="B432" i="17"/>
  <c r="B431" i="17"/>
  <c r="B430" i="17"/>
  <c r="B429" i="17"/>
  <c r="B428" i="17"/>
  <c r="B427" i="17"/>
  <c r="B426" i="17"/>
  <c r="B425" i="17"/>
  <c r="B424" i="17"/>
  <c r="B423" i="17"/>
  <c r="B422" i="17"/>
  <c r="B421" i="17"/>
  <c r="B420" i="17"/>
  <c r="B419" i="17"/>
  <c r="B418" i="17"/>
  <c r="B417" i="17"/>
  <c r="B416" i="17"/>
  <c r="B415" i="17"/>
  <c r="B414" i="17"/>
  <c r="B413" i="17"/>
  <c r="B412" i="17"/>
  <c r="B411" i="17"/>
  <c r="B410" i="17"/>
  <c r="B409" i="17"/>
  <c r="B408" i="17"/>
  <c r="B407" i="17"/>
  <c r="B406" i="17"/>
  <c r="B405" i="17"/>
  <c r="B404" i="17"/>
  <c r="B403" i="17"/>
  <c r="B402" i="17"/>
  <c r="B401" i="17"/>
  <c r="B400" i="17"/>
  <c r="B399" i="17"/>
  <c r="B398" i="17"/>
  <c r="B397" i="17"/>
  <c r="B396" i="17"/>
  <c r="B395" i="17"/>
  <c r="B394" i="17"/>
  <c r="B393" i="17"/>
  <c r="B392" i="17"/>
  <c r="B391" i="17"/>
  <c r="B390" i="17"/>
  <c r="B389" i="17"/>
  <c r="B388" i="17"/>
  <c r="B387" i="17"/>
  <c r="B386" i="17"/>
  <c r="B385" i="17"/>
  <c r="B384" i="17"/>
  <c r="B383" i="17"/>
  <c r="B382" i="17"/>
  <c r="B381" i="17"/>
  <c r="B380" i="17"/>
  <c r="B379" i="17"/>
  <c r="B378" i="17"/>
  <c r="B377" i="17"/>
  <c r="B376" i="17"/>
  <c r="B375" i="17"/>
  <c r="B374" i="17"/>
  <c r="B373" i="17"/>
  <c r="B372" i="17"/>
  <c r="B371" i="17"/>
  <c r="B370" i="17"/>
  <c r="B369" i="17"/>
  <c r="B368" i="17"/>
  <c r="B367" i="17"/>
  <c r="B366" i="17"/>
  <c r="B365" i="17"/>
  <c r="B364" i="17"/>
  <c r="B363" i="17"/>
  <c r="B362" i="17"/>
  <c r="B361" i="17"/>
  <c r="B360" i="17"/>
  <c r="B359" i="17"/>
  <c r="B358" i="17"/>
  <c r="B357" i="17"/>
  <c r="B356" i="17"/>
  <c r="B355" i="17"/>
  <c r="B354" i="17"/>
  <c r="B353" i="17"/>
  <c r="B352" i="17"/>
  <c r="B351" i="17"/>
  <c r="B350" i="17"/>
  <c r="B349" i="17"/>
  <c r="B348" i="17"/>
  <c r="B347" i="17"/>
  <c r="B346" i="17"/>
  <c r="B345" i="17"/>
  <c r="B344" i="17"/>
  <c r="B343" i="17"/>
  <c r="B342" i="17"/>
  <c r="B341" i="17"/>
  <c r="B340" i="17"/>
  <c r="B339" i="17"/>
  <c r="B338" i="17"/>
  <c r="B337" i="17"/>
  <c r="B336" i="17"/>
  <c r="B335" i="17"/>
  <c r="B334" i="17"/>
  <c r="B333" i="17"/>
  <c r="B332" i="17"/>
  <c r="B331" i="17"/>
  <c r="B330" i="17"/>
  <c r="B329" i="17"/>
  <c r="B328" i="17"/>
  <c r="B327" i="17"/>
  <c r="B326" i="17"/>
  <c r="B325" i="17"/>
  <c r="B324" i="17"/>
  <c r="B323" i="17"/>
  <c r="B322" i="17"/>
  <c r="B321" i="17"/>
  <c r="B320" i="17"/>
  <c r="B319" i="17"/>
  <c r="B318" i="17"/>
  <c r="B317" i="17"/>
  <c r="B316" i="17"/>
  <c r="B315" i="17"/>
  <c r="B314" i="17"/>
  <c r="B313" i="17"/>
  <c r="B312" i="17"/>
  <c r="B311" i="17"/>
  <c r="B310" i="17"/>
  <c r="B309" i="17"/>
  <c r="B308" i="17"/>
  <c r="B307" i="17"/>
  <c r="B306" i="17"/>
  <c r="B305" i="17"/>
  <c r="B304" i="17"/>
  <c r="B303" i="17"/>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I33" i="17" s="1"/>
  <c r="B32" i="17"/>
  <c r="B31" i="17"/>
  <c r="B30" i="17"/>
  <c r="B29" i="17"/>
  <c r="B28" i="17"/>
  <c r="B27" i="17"/>
  <c r="B26" i="17"/>
  <c r="B25" i="17"/>
  <c r="B24" i="17"/>
  <c r="B23" i="17"/>
  <c r="B22" i="17"/>
  <c r="B21" i="17"/>
  <c r="B20" i="17"/>
  <c r="B19" i="17"/>
  <c r="B18" i="17"/>
  <c r="B17" i="17"/>
  <c r="B16" i="17"/>
  <c r="B15" i="17"/>
  <c r="B14" i="17"/>
  <c r="B13" i="17"/>
  <c r="B12" i="17"/>
  <c r="B11" i="17"/>
  <c r="B10" i="17"/>
  <c r="B9" i="17"/>
  <c r="B8" i="17"/>
  <c r="K7" i="17"/>
  <c r="K8" i="17" s="1"/>
  <c r="K9" i="17" s="1"/>
  <c r="K10" i="17" s="1"/>
  <c r="K11" i="17" s="1"/>
  <c r="K12" i="17" s="1"/>
  <c r="K13" i="17" s="1"/>
  <c r="K14" i="17" s="1"/>
  <c r="K15" i="17" s="1"/>
  <c r="K16" i="17" s="1"/>
  <c r="K17" i="17" s="1"/>
  <c r="K18" i="17" s="1"/>
  <c r="B7" i="17"/>
  <c r="B6" i="17"/>
  <c r="B5" i="17"/>
  <c r="A5" i="17" s="1"/>
  <c r="F32" i="12"/>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N29" i="12"/>
  <c r="M29" i="12"/>
  <c r="L29" i="12"/>
  <c r="K29" i="12"/>
  <c r="J29" i="12"/>
  <c r="I29" i="12"/>
  <c r="C27" i="12"/>
  <c r="D26" i="12"/>
  <c r="B26" i="12"/>
  <c r="P3" i="12" s="1"/>
  <c r="X18" i="12"/>
  <c r="W18" i="12"/>
  <c r="V18" i="12"/>
  <c r="T18" i="12"/>
  <c r="S18" i="12"/>
  <c r="R18" i="12"/>
  <c r="N18" i="12"/>
  <c r="M18" i="12"/>
  <c r="L18" i="12"/>
  <c r="K18" i="12"/>
  <c r="J18" i="12"/>
  <c r="I18" i="12"/>
  <c r="X17" i="12"/>
  <c r="W17" i="12"/>
  <c r="V17" i="12"/>
  <c r="T17" i="12"/>
  <c r="S17" i="12"/>
  <c r="R17" i="12"/>
  <c r="P2" i="12"/>
  <c r="BX187" i="2"/>
  <c r="BI187" i="2"/>
  <c r="AY187" i="2"/>
  <c r="T187" i="2"/>
  <c r="CB186" i="2"/>
  <c r="DX186" i="2" s="1"/>
  <c r="AI185" i="2"/>
  <c r="J185" i="2"/>
  <c r="I185" i="2"/>
  <c r="DX184" i="2"/>
  <c r="DX183" i="2"/>
  <c r="AI180" i="2"/>
  <c r="J180" i="2"/>
  <c r="I180" i="2"/>
  <c r="BX179" i="2"/>
  <c r="BI179" i="2"/>
  <c r="AY179" i="2"/>
  <c r="T179" i="2"/>
  <c r="CB178" i="2"/>
  <c r="DX178" i="2" s="1"/>
  <c r="DX177" i="2"/>
  <c r="DX176" i="2"/>
  <c r="FD159" i="2"/>
  <c r="FC159" i="2"/>
  <c r="FD158" i="2"/>
  <c r="FC158" i="2"/>
  <c r="FD157" i="2"/>
  <c r="FC157" i="2"/>
  <c r="FD156" i="2"/>
  <c r="FC156" i="2"/>
  <c r="FD155" i="2"/>
  <c r="FC155" i="2"/>
  <c r="FD154" i="2"/>
  <c r="FC154" i="2"/>
  <c r="FB154" i="2"/>
  <c r="FB155" i="2" s="1"/>
  <c r="FB156" i="2" s="1"/>
  <c r="FB157" i="2" s="1"/>
  <c r="FB158" i="2" s="1"/>
  <c r="FB159" i="2" s="1"/>
  <c r="FC153" i="2"/>
  <c r="FL140" i="2"/>
  <c r="FK140" i="2"/>
  <c r="FL133" i="2"/>
  <c r="FK133" i="2"/>
  <c r="FE122" i="2"/>
  <c r="FE140" i="2" s="1"/>
  <c r="EH116" i="2"/>
  <c r="DU116" i="2"/>
  <c r="DQ116" i="2"/>
  <c r="DP116" i="2"/>
  <c r="DO116" i="2"/>
  <c r="DN116" i="2"/>
  <c r="DM116" i="2"/>
  <c r="DL116" i="2"/>
  <c r="DK116" i="2"/>
  <c r="DJ116" i="2"/>
  <c r="DI116" i="2"/>
  <c r="DH116" i="2"/>
  <c r="DG116" i="2"/>
  <c r="DF116" i="2"/>
  <c r="DE116" i="2"/>
  <c r="DD116" i="2"/>
  <c r="DC116" i="2"/>
  <c r="DB116" i="2"/>
  <c r="DA116" i="2"/>
  <c r="CZ116" i="2"/>
  <c r="CY116" i="2"/>
  <c r="CX116" i="2"/>
  <c r="CW116" i="2"/>
  <c r="CV116" i="2"/>
  <c r="CU116" i="2"/>
  <c r="CT116" i="2"/>
  <c r="CS116" i="2"/>
  <c r="CR116" i="2"/>
  <c r="CQ116" i="2"/>
  <c r="CP116" i="2"/>
  <c r="CO116" i="2"/>
  <c r="CN116" i="2"/>
  <c r="CM116" i="2"/>
  <c r="CL116" i="2"/>
  <c r="CK116" i="2"/>
  <c r="CJ116" i="2"/>
  <c r="CI116" i="2"/>
  <c r="CH116" i="2"/>
  <c r="CG116" i="2"/>
  <c r="CF116" i="2"/>
  <c r="CE116" i="2"/>
  <c r="CD116" i="2"/>
  <c r="CC116" i="2"/>
  <c r="CB116" i="2"/>
  <c r="CA116" i="2"/>
  <c r="BZ116" i="2"/>
  <c r="BY116" i="2"/>
  <c r="BX116" i="2"/>
  <c r="BW116" i="2"/>
  <c r="BV116" i="2"/>
  <c r="BU116" i="2"/>
  <c r="BT116" i="2"/>
  <c r="BS116" i="2"/>
  <c r="BR116" i="2"/>
  <c r="BQ116" i="2"/>
  <c r="BP116" i="2"/>
  <c r="BO116" i="2"/>
  <c r="BN116" i="2"/>
  <c r="BM116" i="2"/>
  <c r="BL116" i="2"/>
  <c r="BK116" i="2"/>
  <c r="BJ116" i="2"/>
  <c r="BI116" i="2"/>
  <c r="BH116" i="2"/>
  <c r="BG116" i="2"/>
  <c r="BF116" i="2"/>
  <c r="BE116"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AF116" i="2"/>
  <c r="AE116" i="2"/>
  <c r="AD116" i="2"/>
  <c r="AC116" i="2"/>
  <c r="AB116" i="2"/>
  <c r="AA116" i="2"/>
  <c r="Z116" i="2"/>
  <c r="Y116" i="2"/>
  <c r="X116" i="2"/>
  <c r="W116" i="2"/>
  <c r="V116" i="2"/>
  <c r="U116" i="2"/>
  <c r="T116" i="2"/>
  <c r="R116" i="2"/>
  <c r="Q116" i="2"/>
  <c r="P116" i="2"/>
  <c r="O116" i="2"/>
  <c r="N116" i="2"/>
  <c r="M116" i="2"/>
  <c r="L116" i="2"/>
  <c r="K116" i="2"/>
  <c r="J116" i="2"/>
  <c r="I116" i="2"/>
  <c r="H116" i="2"/>
  <c r="G116" i="2"/>
  <c r="F116" i="2"/>
  <c r="E116" i="2"/>
  <c r="EH115" i="2"/>
  <c r="EH114" i="2"/>
  <c r="EH113" i="2"/>
  <c r="FP107" i="2"/>
  <c r="FP110" i="2" s="1"/>
  <c r="DX106" i="2"/>
  <c r="DW104" i="2"/>
  <c r="DV104" i="2"/>
  <c r="DW98" i="2"/>
  <c r="DV98" i="2"/>
  <c r="DU98" i="2"/>
  <c r="DQ98" i="2"/>
  <c r="DP98" i="2"/>
  <c r="DO98" i="2"/>
  <c r="DN98" i="2"/>
  <c r="DM98" i="2"/>
  <c r="DL98" i="2"/>
  <c r="DK98" i="2"/>
  <c r="DJ98" i="2"/>
  <c r="DI98" i="2"/>
  <c r="DH98" i="2"/>
  <c r="DG98" i="2"/>
  <c r="DF98" i="2"/>
  <c r="DE98" i="2"/>
  <c r="DD98" i="2"/>
  <c r="DC98" i="2"/>
  <c r="DB98" i="2"/>
  <c r="DA98" i="2"/>
  <c r="CZ98" i="2"/>
  <c r="CY98" i="2"/>
  <c r="CX98" i="2"/>
  <c r="CW98" i="2"/>
  <c r="CV98" i="2"/>
  <c r="CU98" i="2"/>
  <c r="CT98" i="2"/>
  <c r="CS98" i="2"/>
  <c r="CR98" i="2"/>
  <c r="CQ98" i="2"/>
  <c r="CP98" i="2"/>
  <c r="CO98" i="2"/>
  <c r="CN98" i="2"/>
  <c r="CM98" i="2"/>
  <c r="CL98" i="2"/>
  <c r="CK98" i="2"/>
  <c r="CJ98" i="2"/>
  <c r="CI98" i="2"/>
  <c r="CH98" i="2"/>
  <c r="CG98" i="2"/>
  <c r="CF98" i="2"/>
  <c r="CE98" i="2"/>
  <c r="CD98" i="2"/>
  <c r="CC98" i="2"/>
  <c r="CB98" i="2"/>
  <c r="CA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FL97" i="2"/>
  <c r="FK97" i="2"/>
  <c r="FE97" i="2"/>
  <c r="DW97" i="2"/>
  <c r="DV97" i="2"/>
  <c r="DU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CQ97" i="2"/>
  <c r="CP97" i="2"/>
  <c r="CO97" i="2"/>
  <c r="CN97" i="2"/>
  <c r="CM97" i="2"/>
  <c r="CL97" i="2"/>
  <c r="CK97" i="2"/>
  <c r="CJ97" i="2"/>
  <c r="CI97" i="2"/>
  <c r="CH97" i="2"/>
  <c r="CG97" i="2"/>
  <c r="CF97" i="2"/>
  <c r="CE97" i="2"/>
  <c r="CD97" i="2"/>
  <c r="CC97" i="2"/>
  <c r="CB97" i="2"/>
  <c r="CA97"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W96" i="2"/>
  <c r="DV96" i="2"/>
  <c r="E96" i="2"/>
  <c r="DW95" i="2"/>
  <c r="DV95" i="2"/>
  <c r="FD91" i="2"/>
  <c r="BD90" i="2"/>
  <c r="FL71" i="2"/>
  <c r="FK71" i="2"/>
  <c r="FE71" i="2"/>
  <c r="DW71" i="2"/>
  <c r="DV71" i="2"/>
  <c r="DU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CQ71" i="2"/>
  <c r="CP71" i="2"/>
  <c r="CO71" i="2"/>
  <c r="CN71" i="2"/>
  <c r="CM71" i="2"/>
  <c r="CL71" i="2"/>
  <c r="CK71" i="2"/>
  <c r="CJ71" i="2"/>
  <c r="CI71" i="2"/>
  <c r="CH71" i="2"/>
  <c r="CG71" i="2"/>
  <c r="CF71" i="2"/>
  <c r="CE71" i="2"/>
  <c r="CD71" i="2"/>
  <c r="CC71" i="2"/>
  <c r="CB71" i="2"/>
  <c r="CA71" i="2"/>
  <c r="BZ71" i="2"/>
  <c r="BY71" i="2"/>
  <c r="BX71" i="2"/>
  <c r="BW71" i="2"/>
  <c r="BV71" i="2"/>
  <c r="BU71" i="2"/>
  <c r="BT71" i="2"/>
  <c r="BS71" i="2"/>
  <c r="BR71" i="2"/>
  <c r="BQ71" i="2"/>
  <c r="BP71" i="2"/>
  <c r="BO71" i="2"/>
  <c r="BN71" i="2"/>
  <c r="BM71" i="2"/>
  <c r="BL71" i="2"/>
  <c r="BK71" i="2"/>
  <c r="BJ71" i="2"/>
  <c r="BI71" i="2"/>
  <c r="BH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W70" i="2"/>
  <c r="DV70" i="2"/>
  <c r="E70" i="2"/>
  <c r="DW69" i="2"/>
  <c r="DV69" i="2"/>
  <c r="FD66" i="2"/>
  <c r="DU66" i="2"/>
  <c r="DQ66" i="2"/>
  <c r="DP66" i="2"/>
  <c r="DO66" i="2"/>
  <c r="DN66" i="2"/>
  <c r="DM66" i="2"/>
  <c r="DL66" i="2"/>
  <c r="DK66" i="2"/>
  <c r="DJ66" i="2"/>
  <c r="DI66" i="2"/>
  <c r="DH66" i="2"/>
  <c r="DG66" i="2"/>
  <c r="DF66" i="2"/>
  <c r="DE66" i="2"/>
  <c r="DD66" i="2"/>
  <c r="DC66" i="2"/>
  <c r="DB66" i="2"/>
  <c r="DA66" i="2"/>
  <c r="CZ66" i="2"/>
  <c r="CY66" i="2"/>
  <c r="CX66" i="2"/>
  <c r="CW66" i="2"/>
  <c r="CV66" i="2"/>
  <c r="CU66" i="2"/>
  <c r="CT66" i="2"/>
  <c r="CS66" i="2"/>
  <c r="CR66" i="2"/>
  <c r="CQ66" i="2"/>
  <c r="CP66" i="2"/>
  <c r="CO66" i="2"/>
  <c r="CN66" i="2"/>
  <c r="CM66" i="2"/>
  <c r="CL66" i="2"/>
  <c r="CK66" i="2"/>
  <c r="CJ66" i="2"/>
  <c r="CI66" i="2"/>
  <c r="CH66" i="2"/>
  <c r="CG66" i="2"/>
  <c r="CF66" i="2"/>
  <c r="CE66" i="2"/>
  <c r="CD66" i="2"/>
  <c r="CC66" i="2"/>
  <c r="CB66" i="2"/>
  <c r="CA66" i="2"/>
  <c r="BZ66" i="2"/>
  <c r="BY66" i="2"/>
  <c r="BX66" i="2"/>
  <c r="BW66" i="2"/>
  <c r="BV66" i="2"/>
  <c r="BU66" i="2"/>
  <c r="BT66" i="2"/>
  <c r="BS66" i="2"/>
  <c r="BR66" i="2"/>
  <c r="BQ66" i="2"/>
  <c r="BP66" i="2"/>
  <c r="BO66" i="2"/>
  <c r="BN66" i="2"/>
  <c r="BM66" i="2"/>
  <c r="BL66" i="2"/>
  <c r="BK66" i="2"/>
  <c r="BJ66"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FN64" i="2"/>
  <c r="FN63" i="2"/>
  <c r="E62" i="2"/>
  <c r="DX61" i="2"/>
  <c r="DX60" i="2"/>
  <c r="DX59" i="2"/>
  <c r="DX58" i="2"/>
  <c r="DX57" i="2"/>
  <c r="DX56" i="2"/>
  <c r="DX55" i="2"/>
  <c r="DX54" i="2"/>
  <c r="DX53" i="2"/>
  <c r="DX52" i="2"/>
  <c r="DX51" i="2"/>
  <c r="DX50" i="2"/>
  <c r="DX49" i="2"/>
  <c r="DX48" i="2"/>
  <c r="DX47" i="2"/>
  <c r="FL46" i="2"/>
  <c r="FK46" i="2"/>
  <c r="FE46" i="2"/>
  <c r="DW46" i="2"/>
  <c r="DV46" i="2"/>
  <c r="DU46" i="2"/>
  <c r="DQ46" i="2"/>
  <c r="DP46" i="2"/>
  <c r="DO46" i="2"/>
  <c r="DN46" i="2"/>
  <c r="DM46" i="2"/>
  <c r="DL46" i="2"/>
  <c r="DK46" i="2"/>
  <c r="DJ46" i="2"/>
  <c r="DI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I46" i="2"/>
  <c r="CH46" i="2"/>
  <c r="CG46" i="2"/>
  <c r="CF46" i="2"/>
  <c r="CE46" i="2"/>
  <c r="CD46" i="2"/>
  <c r="CC46" i="2"/>
  <c r="CB46" i="2"/>
  <c r="CA46" i="2"/>
  <c r="BZ46" i="2"/>
  <c r="BY46" i="2"/>
  <c r="BX46" i="2"/>
  <c r="BW46" i="2"/>
  <c r="BV46"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D46" i="2"/>
  <c r="DW45" i="2"/>
  <c r="DV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W44" i="2"/>
  <c r="DV44" i="2"/>
  <c r="E44" i="2"/>
  <c r="DW39" i="2"/>
  <c r="DV39" i="2"/>
  <c r="DU39" i="2"/>
  <c r="DQ39" i="2"/>
  <c r="DP39" i="2"/>
  <c r="DO39" i="2"/>
  <c r="DN39" i="2"/>
  <c r="DM39" i="2"/>
  <c r="DL39" i="2"/>
  <c r="DK39" i="2"/>
  <c r="DJ39" i="2"/>
  <c r="DI39" i="2"/>
  <c r="DH39" i="2"/>
  <c r="DG39" i="2"/>
  <c r="DF39" i="2"/>
  <c r="DE39" i="2"/>
  <c r="DD39" i="2"/>
  <c r="DC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W38" i="2"/>
  <c r="DV38" i="2"/>
  <c r="DU38" i="2"/>
  <c r="DQ38" i="2"/>
  <c r="DP38" i="2"/>
  <c r="DO38" i="2"/>
  <c r="DN38" i="2"/>
  <c r="DM38" i="2"/>
  <c r="DL38" i="2"/>
  <c r="DK38" i="2"/>
  <c r="DJ38" i="2"/>
  <c r="DI38" i="2"/>
  <c r="DH38" i="2"/>
  <c r="DG38" i="2"/>
  <c r="DF38" i="2"/>
  <c r="DE38" i="2"/>
  <c r="DD38" i="2"/>
  <c r="DC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BS38" i="2"/>
  <c r="BR38" i="2"/>
  <c r="BQ38" i="2"/>
  <c r="BP38" i="2"/>
  <c r="BO38" i="2"/>
  <c r="BN38" i="2"/>
  <c r="BM38" i="2"/>
  <c r="BL38" i="2"/>
  <c r="BK38" i="2"/>
  <c r="BJ38" i="2"/>
  <c r="BI38" i="2"/>
  <c r="BH38" i="2"/>
  <c r="BG38" i="2"/>
  <c r="BF38" i="2"/>
  <c r="BE38" i="2"/>
  <c r="BD38" i="2"/>
  <c r="BC38" i="2"/>
  <c r="BA38" i="2"/>
  <c r="AZ38" i="2"/>
  <c r="AY38" i="2"/>
  <c r="AX38" i="2"/>
  <c r="AW38" i="2"/>
  <c r="AV38" i="2"/>
  <c r="AU38" i="2"/>
  <c r="AT38" i="2"/>
  <c r="AS38" i="2"/>
  <c r="AR38" i="2"/>
  <c r="AQ38" i="2"/>
  <c r="AP38" i="2"/>
  <c r="AO38" i="2"/>
  <c r="AN38" i="2"/>
  <c r="AM38" i="2"/>
  <c r="AL38" i="2"/>
  <c r="AK38" i="2"/>
  <c r="AJ38" i="2"/>
  <c r="AI38" i="2"/>
  <c r="AH38" i="2"/>
  <c r="AG38" i="2"/>
  <c r="AF38" i="2"/>
  <c r="AE38" i="2"/>
  <c r="AD38" i="2"/>
  <c r="AC38" i="2"/>
  <c r="AB38" i="2"/>
  <c r="AA38" i="2"/>
  <c r="Z38" i="2"/>
  <c r="X38" i="2"/>
  <c r="W38" i="2"/>
  <c r="V38" i="2"/>
  <c r="U38" i="2"/>
  <c r="T38" i="2"/>
  <c r="S38" i="2"/>
  <c r="R38" i="2"/>
  <c r="Q38" i="2"/>
  <c r="P38" i="2"/>
  <c r="O38" i="2"/>
  <c r="N38" i="2"/>
  <c r="M38" i="2"/>
  <c r="L38" i="2"/>
  <c r="K38" i="2"/>
  <c r="J38" i="2"/>
  <c r="I38" i="2"/>
  <c r="H38" i="2"/>
  <c r="G38" i="2"/>
  <c r="F38" i="2"/>
  <c r="E38" i="2"/>
  <c r="DW37" i="2"/>
  <c r="DV37" i="2"/>
  <c r="DU37" i="2"/>
  <c r="DQ37" i="2"/>
  <c r="DP37" i="2"/>
  <c r="DO37" i="2"/>
  <c r="DN37" i="2"/>
  <c r="DM37" i="2"/>
  <c r="DL37" i="2"/>
  <c r="DK37" i="2"/>
  <c r="DJ37" i="2"/>
  <c r="DI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V37" i="2"/>
  <c r="BU37" i="2"/>
  <c r="BT37" i="2"/>
  <c r="BS37" i="2"/>
  <c r="BR37" i="2"/>
  <c r="BQ37" i="2"/>
  <c r="BP37" i="2"/>
  <c r="BO37" i="2"/>
  <c r="BN37" i="2"/>
  <c r="BM37" i="2"/>
  <c r="BL37" i="2"/>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S37" i="2"/>
  <c r="R37" i="2"/>
  <c r="Q37" i="2"/>
  <c r="P37" i="2"/>
  <c r="O37" i="2"/>
  <c r="N37" i="2"/>
  <c r="M37" i="2"/>
  <c r="L37" i="2"/>
  <c r="K37" i="2"/>
  <c r="J37" i="2"/>
  <c r="I37" i="2"/>
  <c r="H37" i="2"/>
  <c r="G37" i="2"/>
  <c r="E37" i="2"/>
  <c r="DW36" i="2"/>
  <c r="DV36" i="2"/>
  <c r="DU36" i="2"/>
  <c r="DQ36" i="2"/>
  <c r="DP36" i="2"/>
  <c r="DO36" i="2"/>
  <c r="DN36" i="2"/>
  <c r="DM36" i="2"/>
  <c r="DL36" i="2"/>
  <c r="DK36"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AE36" i="2"/>
  <c r="AC36" i="2"/>
  <c r="AB36" i="2"/>
  <c r="AA36" i="2"/>
  <c r="Z36" i="2"/>
  <c r="Y36" i="2"/>
  <c r="X36" i="2"/>
  <c r="W36" i="2"/>
  <c r="V36" i="2"/>
  <c r="U36" i="2"/>
  <c r="T36" i="2"/>
  <c r="Q36" i="2"/>
  <c r="P36" i="2"/>
  <c r="O36" i="2"/>
  <c r="N36" i="2"/>
  <c r="M36" i="2"/>
  <c r="L36" i="2"/>
  <c r="K36" i="2"/>
  <c r="I36" i="2"/>
  <c r="H36" i="2"/>
  <c r="G36" i="2"/>
  <c r="F36" i="2"/>
  <c r="E36" i="2"/>
  <c r="DW35" i="2"/>
  <c r="DV35" i="2"/>
  <c r="DU35" i="2"/>
  <c r="DQ35" i="2"/>
  <c r="DP35" i="2"/>
  <c r="DO35" i="2"/>
  <c r="DN35" i="2"/>
  <c r="DM35" i="2"/>
  <c r="DL35" i="2"/>
  <c r="DK35" i="2"/>
  <c r="DJ35" i="2"/>
  <c r="DI35" i="2"/>
  <c r="DH35" i="2"/>
  <c r="DG35" i="2"/>
  <c r="DF35" i="2"/>
  <c r="DE35" i="2"/>
  <c r="DD35" i="2"/>
  <c r="DC35" i="2"/>
  <c r="DB35" i="2"/>
  <c r="DA35" i="2"/>
  <c r="CZ35" i="2"/>
  <c r="CY35" i="2"/>
  <c r="CX35" i="2"/>
  <c r="CW35" i="2"/>
  <c r="CV35" i="2"/>
  <c r="CU35" i="2"/>
  <c r="CT35" i="2"/>
  <c r="CS35" i="2"/>
  <c r="CR35" i="2"/>
  <c r="CQ35" i="2"/>
  <c r="CP35" i="2"/>
  <c r="CO35" i="2"/>
  <c r="CN35" i="2"/>
  <c r="CM35" i="2"/>
  <c r="CL35" i="2"/>
  <c r="CK35" i="2"/>
  <c r="CI35" i="2"/>
  <c r="CH35" i="2"/>
  <c r="CG35" i="2"/>
  <c r="CE35" i="2"/>
  <c r="CD35"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A35" i="2"/>
  <c r="AZ35" i="2"/>
  <c r="AY35" i="2"/>
  <c r="AW35" i="2"/>
  <c r="AU35" i="2"/>
  <c r="AT35" i="2"/>
  <c r="AS35" i="2"/>
  <c r="AO35" i="2"/>
  <c r="AN35" i="2"/>
  <c r="AM35" i="2"/>
  <c r="AL35" i="2"/>
  <c r="AK35" i="2"/>
  <c r="AJ35" i="2"/>
  <c r="AI35" i="2"/>
  <c r="AH35" i="2"/>
  <c r="AG35" i="2"/>
  <c r="AF35" i="2"/>
  <c r="AE35" i="2"/>
  <c r="AD35" i="2"/>
  <c r="AC35" i="2"/>
  <c r="AA35" i="2"/>
  <c r="Z35" i="2"/>
  <c r="Y35" i="2"/>
  <c r="X35" i="2"/>
  <c r="W35" i="2"/>
  <c r="V35" i="2"/>
  <c r="U35" i="2"/>
  <c r="T35" i="2"/>
  <c r="S35" i="2"/>
  <c r="R35" i="2"/>
  <c r="Q35" i="2"/>
  <c r="P35" i="2"/>
  <c r="O35" i="2"/>
  <c r="N35" i="2"/>
  <c r="M35" i="2"/>
  <c r="L35" i="2"/>
  <c r="K35" i="2"/>
  <c r="J35" i="2"/>
  <c r="I35" i="2"/>
  <c r="H35" i="2"/>
  <c r="G35" i="2"/>
  <c r="E35" i="2"/>
  <c r="DD34" i="2"/>
  <c r="E34" i="2"/>
  <c r="FL33" i="2"/>
  <c r="FK33" i="2"/>
  <c r="FE33" i="2"/>
  <c r="FD31" i="2"/>
  <c r="DW31" i="2"/>
  <c r="DW32" i="2" s="1"/>
  <c r="DV31" i="2"/>
  <c r="DV32" i="2" s="1"/>
  <c r="DU31" i="2"/>
  <c r="DU32" i="2" s="1"/>
  <c r="DQ31" i="2"/>
  <c r="DQ32" i="2" s="1"/>
  <c r="DP31" i="2"/>
  <c r="DP32" i="2" s="1"/>
  <c r="DO31" i="2"/>
  <c r="DO32" i="2" s="1"/>
  <c r="DN31" i="2"/>
  <c r="DN32" i="2" s="1"/>
  <c r="DM31" i="2"/>
  <c r="DM32" i="2" s="1"/>
  <c r="DL31" i="2"/>
  <c r="DL32" i="2" s="1"/>
  <c r="DK31" i="2"/>
  <c r="DK32" i="2" s="1"/>
  <c r="DJ31" i="2"/>
  <c r="DJ32" i="2" s="1"/>
  <c r="DI31" i="2"/>
  <c r="DI32" i="2" s="1"/>
  <c r="BJ31" i="2"/>
  <c r="BJ32" i="2" s="1"/>
  <c r="BG31" i="2"/>
  <c r="BG32" i="2" s="1"/>
  <c r="BF31" i="2"/>
  <c r="BF32" i="2" s="1"/>
  <c r="BE31" i="2"/>
  <c r="BE32" i="2" s="1"/>
  <c r="BD31" i="2"/>
  <c r="BD32" i="2" s="1"/>
  <c r="BC31" i="2"/>
  <c r="BC32" i="2" s="1"/>
  <c r="BA31" i="2"/>
  <c r="BA32" i="2" s="1"/>
  <c r="AY31" i="2"/>
  <c r="AY32" i="2" s="1"/>
  <c r="AW31" i="2"/>
  <c r="AW32" i="2" s="1"/>
  <c r="AS31" i="2"/>
  <c r="AS32" i="2" s="1"/>
  <c r="AN31" i="2"/>
  <c r="AN32" i="2" s="1"/>
  <c r="AM31" i="2"/>
  <c r="AM32" i="2" s="1"/>
  <c r="AL31" i="2"/>
  <c r="AL32" i="2" s="1"/>
  <c r="AK31" i="2"/>
  <c r="AK32" i="2" s="1"/>
  <c r="AJ31" i="2"/>
  <c r="AJ32" i="2" s="1"/>
  <c r="AI31" i="2"/>
  <c r="AI32" i="2" s="1"/>
  <c r="AH31" i="2"/>
  <c r="AH32" i="2" s="1"/>
  <c r="AG31" i="2"/>
  <c r="AG32" i="2" s="1"/>
  <c r="AF31" i="2"/>
  <c r="AF32" i="2" s="1"/>
  <c r="AE31" i="2"/>
  <c r="AE32" i="2" s="1"/>
  <c r="AA31" i="2"/>
  <c r="AA32" i="2" s="1"/>
  <c r="Z31" i="2"/>
  <c r="Z32" i="2" s="1"/>
  <c r="X31" i="2"/>
  <c r="X32" i="2" s="1"/>
  <c r="W31" i="2"/>
  <c r="W32" i="2" s="1"/>
  <c r="V31" i="2"/>
  <c r="V32" i="2" s="1"/>
  <c r="U31" i="2"/>
  <c r="U32" i="2" s="1"/>
  <c r="Q31" i="2"/>
  <c r="Q32" i="2" s="1"/>
  <c r="P31" i="2"/>
  <c r="P32" i="2" s="1"/>
  <c r="O31" i="2"/>
  <c r="O32" i="2" s="1"/>
  <c r="N31" i="2"/>
  <c r="N32" i="2" s="1"/>
  <c r="M31" i="2"/>
  <c r="M32" i="2" s="1"/>
  <c r="L31" i="2"/>
  <c r="L32" i="2" s="1"/>
  <c r="K31" i="2"/>
  <c r="K32" i="2" s="1"/>
  <c r="I31" i="2"/>
  <c r="I32" i="2" s="1"/>
  <c r="G31" i="2"/>
  <c r="G32" i="2" s="1"/>
  <c r="E31" i="2"/>
  <c r="E32" i="2" s="1"/>
  <c r="FN30" i="2"/>
  <c r="DX29" i="2"/>
  <c r="DX28" i="2"/>
  <c r="BB27" i="2"/>
  <c r="Y27" i="2"/>
  <c r="DX26" i="2"/>
  <c r="DX25" i="2"/>
  <c r="DX24" i="2"/>
  <c r="BW23" i="2"/>
  <c r="T23" i="2"/>
  <c r="F23" i="2"/>
  <c r="DX22" i="2"/>
  <c r="J21" i="2"/>
  <c r="AD20" i="2"/>
  <c r="S20" i="2"/>
  <c r="R20" i="2"/>
  <c r="BB19" i="2"/>
  <c r="F18" i="2"/>
  <c r="AX17" i="2"/>
  <c r="AV17" i="2"/>
  <c r="AR17" i="2"/>
  <c r="AQ17" i="2"/>
  <c r="AP17" i="2"/>
  <c r="AB17" i="2"/>
  <c r="BY16" i="2"/>
  <c r="BS16" i="2"/>
  <c r="BQ16" i="2"/>
  <c r="BI16" i="2"/>
  <c r="AU16" i="2"/>
  <c r="AQ16" i="2"/>
  <c r="AO16" i="2"/>
  <c r="R16" i="2"/>
  <c r="AZ15" i="2"/>
  <c r="AC15" i="2"/>
  <c r="H15" i="2"/>
  <c r="AC14" i="2"/>
  <c r="BU13" i="2"/>
  <c r="BV12" i="2"/>
  <c r="BU12" i="2"/>
  <c r="BT12" i="2"/>
  <c r="BM12" i="2"/>
  <c r="BL12" i="2"/>
  <c r="BH12" i="2"/>
  <c r="AU12" i="2"/>
  <c r="AT12" i="2"/>
  <c r="AQ12" i="2"/>
  <c r="AC12" i="2"/>
  <c r="H12" i="2"/>
  <c r="F12" i="2"/>
  <c r="F9" i="2"/>
  <c r="F96" i="2" s="1"/>
  <c r="E8" i="2"/>
  <c r="FJ6" i="2"/>
  <c r="FI6" i="2"/>
  <c r="FH6" i="2"/>
  <c r="FG6" i="2"/>
  <c r="BE6" i="2"/>
  <c r="AM6" i="2"/>
  <c r="F6" i="2"/>
  <c r="DU5" i="2"/>
  <c r="DQ5" i="2"/>
  <c r="DP5" i="2"/>
  <c r="DO5" i="2"/>
  <c r="DN5" i="2"/>
  <c r="DM5" i="2"/>
  <c r="DL5" i="2"/>
  <c r="DK5" i="2"/>
  <c r="DJ5" i="2"/>
  <c r="DI5" i="2"/>
  <c r="DH5" i="2"/>
  <c r="DG5" i="2"/>
  <c r="DF5" i="2"/>
  <c r="DE5" i="2"/>
  <c r="DD5" i="2"/>
  <c r="DC5" i="2"/>
  <c r="DB5" i="2"/>
  <c r="DA5" i="2"/>
  <c r="CZ5" i="2"/>
  <c r="CY5" i="2"/>
  <c r="CX5" i="2"/>
  <c r="CW5" i="2"/>
  <c r="CV5" i="2"/>
  <c r="CU5" i="2"/>
  <c r="CT5" i="2"/>
  <c r="CS5" i="2"/>
  <c r="CR5" i="2"/>
  <c r="CQ5" i="2"/>
  <c r="CP5" i="2"/>
  <c r="CO5" i="2"/>
  <c r="CN5" i="2"/>
  <c r="CM5" i="2"/>
  <c r="CL5" i="2"/>
  <c r="CK5" i="2"/>
  <c r="CJ5" i="2"/>
  <c r="CI5" i="2"/>
  <c r="CH5" i="2"/>
  <c r="CG5" i="2"/>
  <c r="CF5" i="2"/>
  <c r="CE5" i="2"/>
  <c r="CD5" i="2"/>
  <c r="CC5" i="2"/>
  <c r="CB5" i="2"/>
  <c r="CA5" i="2"/>
  <c r="BZ5" i="2"/>
  <c r="BY5" i="2"/>
  <c r="BX5" i="2"/>
  <c r="BW5" i="2"/>
  <c r="BV5" i="2"/>
  <c r="BU5" i="2"/>
  <c r="BT5" i="2"/>
  <c r="BS5" i="2"/>
  <c r="BR5" i="2"/>
  <c r="BQ5" i="2"/>
  <c r="BP5" i="2"/>
  <c r="BO5" i="2"/>
  <c r="BN5" i="2"/>
  <c r="BM5" i="2"/>
  <c r="BL5" i="2"/>
  <c r="BK5" i="2"/>
  <c r="BJ5" i="2"/>
  <c r="BI5" i="2"/>
  <c r="BH5" i="2"/>
  <c r="BG5" i="2"/>
  <c r="BF5" i="2"/>
  <c r="BE5" i="2"/>
  <c r="BD5" i="2"/>
  <c r="BC5" i="2"/>
  <c r="BB5" i="2"/>
  <c r="BA5" i="2"/>
  <c r="AZ5" i="2"/>
  <c r="AY5" i="2"/>
  <c r="AX5" i="2"/>
  <c r="AW5" i="2"/>
  <c r="AV5" i="2"/>
  <c r="AU5"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DU4" i="2"/>
  <c r="DQ4" i="2"/>
  <c r="DP4" i="2"/>
  <c r="DO4" i="2"/>
  <c r="DN4" i="2"/>
  <c r="DM4" i="2"/>
  <c r="DL4" i="2"/>
  <c r="DK4" i="2"/>
  <c r="DJ4" i="2"/>
  <c r="DI4" i="2"/>
  <c r="DH4" i="2"/>
  <c r="DG4" i="2"/>
  <c r="DF4" i="2"/>
  <c r="DE4" i="2"/>
  <c r="DD4" i="2"/>
  <c r="DC4" i="2"/>
  <c r="DB4" i="2"/>
  <c r="DA4" i="2"/>
  <c r="CZ4" i="2"/>
  <c r="CY4" i="2"/>
  <c r="CX4" i="2"/>
  <c r="CW4" i="2"/>
  <c r="CV4" i="2"/>
  <c r="CU4" i="2"/>
  <c r="CT4" i="2"/>
  <c r="CS4" i="2"/>
  <c r="CR4" i="2"/>
  <c r="CQ4" i="2"/>
  <c r="CP4" i="2"/>
  <c r="CO4" i="2"/>
  <c r="CN4" i="2"/>
  <c r="CM4" i="2"/>
  <c r="CL4" i="2"/>
  <c r="CK4" i="2"/>
  <c r="CJ4" i="2"/>
  <c r="CI4" i="2"/>
  <c r="CH4" i="2"/>
  <c r="CG4" i="2"/>
  <c r="CF4" i="2"/>
  <c r="CE4" i="2"/>
  <c r="CD4" i="2"/>
  <c r="CC4" i="2"/>
  <c r="CB4" i="2"/>
  <c r="CA4" i="2"/>
  <c r="BZ4" i="2"/>
  <c r="BY4" i="2"/>
  <c r="BX4" i="2"/>
  <c r="BW4" i="2"/>
  <c r="BV4" i="2"/>
  <c r="BU4" i="2"/>
  <c r="BT4" i="2"/>
  <c r="BS4" i="2"/>
  <c r="BR4" i="2"/>
  <c r="BQ4" i="2"/>
  <c r="BP4" i="2"/>
  <c r="BO4" i="2"/>
  <c r="BN4" i="2"/>
  <c r="BM4" i="2"/>
  <c r="BL4" i="2"/>
  <c r="BK4" i="2"/>
  <c r="BJ4" i="2"/>
  <c r="BI4" i="2"/>
  <c r="BH4" i="2"/>
  <c r="BG4" i="2"/>
  <c r="BF4" i="2"/>
  <c r="BE4" i="2"/>
  <c r="BD4" i="2"/>
  <c r="BC4" i="2"/>
  <c r="BB4" i="2"/>
  <c r="BA4" i="2"/>
  <c r="AZ4" i="2"/>
  <c r="AY4" i="2"/>
  <c r="AX4" i="2"/>
  <c r="AW4" i="2"/>
  <c r="AV4" i="2"/>
  <c r="AU4" i="2"/>
  <c r="AT4" i="2"/>
  <c r="AS4" i="2"/>
  <c r="AR4" i="2"/>
  <c r="AQ4" i="2"/>
  <c r="AP4" i="2"/>
  <c r="AO4" i="2"/>
  <c r="AN4" i="2"/>
  <c r="AM4" i="2"/>
  <c r="AL4" i="2"/>
  <c r="AK4" i="2"/>
  <c r="AJ4" i="2"/>
  <c r="AI4" i="2"/>
  <c r="AH4" i="2"/>
  <c r="AG4" i="2"/>
  <c r="AF4" i="2"/>
  <c r="AE4" i="2"/>
  <c r="AD4" i="2"/>
  <c r="AC4" i="2"/>
  <c r="AB4" i="2"/>
  <c r="AA4" i="2"/>
  <c r="Z4" i="2"/>
  <c r="Y4" i="2"/>
  <c r="X4" i="2"/>
  <c r="W4" i="2"/>
  <c r="V4" i="2"/>
  <c r="U4" i="2"/>
  <c r="T4" i="2"/>
  <c r="S4" i="2"/>
  <c r="R4" i="2"/>
  <c r="Q4" i="2"/>
  <c r="P4" i="2"/>
  <c r="O4" i="2"/>
  <c r="N4" i="2"/>
  <c r="M4" i="2"/>
  <c r="L4" i="2"/>
  <c r="K4" i="2"/>
  <c r="J4" i="2"/>
  <c r="I4" i="2"/>
  <c r="H4" i="2"/>
  <c r="G4" i="2"/>
  <c r="F4" i="2"/>
  <c r="E4" i="2"/>
  <c r="H22" i="1"/>
  <c r="I23" i="1" s="1"/>
  <c r="C22" i="1"/>
  <c r="H21" i="1"/>
  <c r="C21" i="1"/>
  <c r="H20" i="1"/>
  <c r="I20" i="1" s="1"/>
  <c r="C20" i="1"/>
  <c r="P30" i="22"/>
  <c r="O30" i="22"/>
  <c r="AK104" i="18" l="1"/>
  <c r="AK109" i="18" s="1"/>
  <c r="AC101" i="21"/>
  <c r="AC103" i="21"/>
  <c r="AC108" i="21" s="1"/>
  <c r="AC104" i="21"/>
  <c r="AC109" i="21" s="1"/>
  <c r="AC102" i="21"/>
  <c r="K32" i="22"/>
  <c r="AB107" i="21"/>
  <c r="AB110" i="21" s="1"/>
  <c r="AB105" i="21"/>
  <c r="AD95" i="21"/>
  <c r="AD69" i="21"/>
  <c r="AD43" i="21"/>
  <c r="AC100" i="21"/>
  <c r="AE96" i="21"/>
  <c r="AE70" i="21"/>
  <c r="AE44" i="21"/>
  <c r="AF9" i="21"/>
  <c r="AE8" i="21"/>
  <c r="AE3" i="21"/>
  <c r="AD89" i="21"/>
  <c r="AD88" i="21"/>
  <c r="AD87" i="21"/>
  <c r="AD86" i="21"/>
  <c r="AD83" i="21"/>
  <c r="AD85" i="21"/>
  <c r="AD84" i="21"/>
  <c r="AD82" i="21"/>
  <c r="AD81" i="21"/>
  <c r="AD80" i="21"/>
  <c r="AD75" i="21"/>
  <c r="AD79" i="21"/>
  <c r="AD78" i="21"/>
  <c r="AD77" i="21"/>
  <c r="AD73" i="21"/>
  <c r="AD72" i="21"/>
  <c r="AD76" i="21"/>
  <c r="AD74" i="21"/>
  <c r="AE6" i="21"/>
  <c r="AD92" i="21"/>
  <c r="AC99" i="21"/>
  <c r="AC91" i="21"/>
  <c r="K19" i="17"/>
  <c r="F83" i="2"/>
  <c r="AM88" i="2"/>
  <c r="AM83" i="2"/>
  <c r="AM87" i="2"/>
  <c r="AM86" i="2"/>
  <c r="AM82" i="2"/>
  <c r="AM85" i="2"/>
  <c r="AM81" i="2"/>
  <c r="AM89" i="2"/>
  <c r="AM80" i="2"/>
  <c r="AM84" i="2"/>
  <c r="AM78" i="2"/>
  <c r="AM72" i="2"/>
  <c r="AM77" i="2"/>
  <c r="AM76" i="2"/>
  <c r="AM75" i="2"/>
  <c r="AM79" i="2"/>
  <c r="AM74" i="2"/>
  <c r="AM73" i="2"/>
  <c r="AT31" i="2"/>
  <c r="AT32" i="2" s="1"/>
  <c r="AT33" i="2"/>
  <c r="AT34" i="2"/>
  <c r="AT40" i="2" s="1"/>
  <c r="AZ34" i="2"/>
  <c r="AZ33" i="2"/>
  <c r="AR35" i="2"/>
  <c r="AR40" i="2" s="1"/>
  <c r="AR33" i="2"/>
  <c r="BW37" i="2"/>
  <c r="BW40" i="2" s="1"/>
  <c r="BW31" i="2"/>
  <c r="BW32" i="2" s="1"/>
  <c r="BE85" i="2"/>
  <c r="BE81" i="2"/>
  <c r="BE89" i="2"/>
  <c r="BE80" i="2"/>
  <c r="BE84" i="2"/>
  <c r="BE88" i="2"/>
  <c r="BE83" i="2"/>
  <c r="BE87" i="2"/>
  <c r="BE86" i="2"/>
  <c r="BE82" i="2"/>
  <c r="BE75" i="2"/>
  <c r="BE74" i="2"/>
  <c r="BE79" i="2"/>
  <c r="BE73" i="2"/>
  <c r="BE78" i="2"/>
  <c r="BE72" i="2"/>
  <c r="BE77" i="2"/>
  <c r="BE76" i="2"/>
  <c r="AU34" i="2"/>
  <c r="AU33" i="2"/>
  <c r="AV35" i="2"/>
  <c r="AV40" i="2" s="1"/>
  <c r="AV33" i="2"/>
  <c r="BH34" i="2"/>
  <c r="BH40" i="2" s="1"/>
  <c r="BH33" i="2"/>
  <c r="AO31" i="2"/>
  <c r="AO32" i="2" s="1"/>
  <c r="AO34" i="2"/>
  <c r="AO40" i="2" s="1"/>
  <c r="AO33" i="2"/>
  <c r="AX31" i="2"/>
  <c r="AX32" i="2" s="1"/>
  <c r="AX33" i="2"/>
  <c r="BL34" i="2"/>
  <c r="BL33" i="2"/>
  <c r="BL31" i="2"/>
  <c r="BL32" i="2" s="1"/>
  <c r="BM34" i="2"/>
  <c r="BM40" i="2" s="1"/>
  <c r="BM33" i="2"/>
  <c r="BM31" i="2"/>
  <c r="BM32" i="2" s="1"/>
  <c r="BT34" i="2"/>
  <c r="BT40" i="2" s="1"/>
  <c r="BT33" i="2"/>
  <c r="BT31" i="2"/>
  <c r="BT32" i="2" s="1"/>
  <c r="BI34" i="2"/>
  <c r="BI40" i="2" s="1"/>
  <c r="BI33" i="2"/>
  <c r="BB38" i="2"/>
  <c r="BQ34" i="2"/>
  <c r="BQ33" i="2"/>
  <c r="BQ31" i="2"/>
  <c r="BQ32" i="2" s="1"/>
  <c r="S31" i="2"/>
  <c r="S32" i="2" s="1"/>
  <c r="BV34" i="2"/>
  <c r="BV40" i="2" s="1"/>
  <c r="BV33" i="2"/>
  <c r="BV31" i="2"/>
  <c r="BV32" i="2" s="1"/>
  <c r="BS33" i="2"/>
  <c r="BS34" i="2"/>
  <c r="BS40" i="2" s="1"/>
  <c r="BS31" i="2"/>
  <c r="BS32" i="2" s="1"/>
  <c r="AD36" i="2"/>
  <c r="AD40" i="2" s="1"/>
  <c r="F34" i="2"/>
  <c r="F72" i="2"/>
  <c r="BY34" i="2"/>
  <c r="BY40" i="2" s="1"/>
  <c r="BY33" i="2"/>
  <c r="BY31" i="2"/>
  <c r="BY32" i="2" s="1"/>
  <c r="AP31" i="2"/>
  <c r="AP32" i="2" s="1"/>
  <c r="AP33" i="2"/>
  <c r="F75" i="2"/>
  <c r="F76" i="2"/>
  <c r="F77" i="2"/>
  <c r="F84" i="2"/>
  <c r="F79" i="2"/>
  <c r="F85" i="2"/>
  <c r="F80" i="2"/>
  <c r="F86" i="2"/>
  <c r="F81" i="2"/>
  <c r="F87" i="2"/>
  <c r="F82" i="2"/>
  <c r="F88" i="2"/>
  <c r="F89" i="2"/>
  <c r="F73" i="2"/>
  <c r="F74" i="2"/>
  <c r="AQ34" i="2"/>
  <c r="AQ33" i="2"/>
  <c r="AQ35" i="2"/>
  <c r="T31" i="2"/>
  <c r="T32" i="2" s="1"/>
  <c r="E87" i="2"/>
  <c r="E103" i="2" s="1"/>
  <c r="E66" i="2"/>
  <c r="BU33" i="2"/>
  <c r="BU34" i="2"/>
  <c r="AC34" i="2"/>
  <c r="AC33" i="2"/>
  <c r="AB33" i="2"/>
  <c r="H34" i="2"/>
  <c r="H33" i="2"/>
  <c r="R34" i="2"/>
  <c r="R33" i="2"/>
  <c r="F78" i="2"/>
  <c r="F33" i="2"/>
  <c r="A41" i="17"/>
  <c r="I41" i="17"/>
  <c r="A389" i="17"/>
  <c r="A449" i="17"/>
  <c r="A533" i="17"/>
  <c r="A617" i="17"/>
  <c r="A12" i="17"/>
  <c r="I12" i="17"/>
  <c r="A19" i="17"/>
  <c r="I19" i="17"/>
  <c r="A30" i="17"/>
  <c r="I30" i="17"/>
  <c r="A42" i="17"/>
  <c r="I42" i="17"/>
  <c r="A54" i="17"/>
  <c r="A66" i="17"/>
  <c r="A78" i="17"/>
  <c r="A90" i="17"/>
  <c r="A102" i="17"/>
  <c r="A114" i="17"/>
  <c r="A126" i="17"/>
  <c r="A138" i="17"/>
  <c r="A150" i="17"/>
  <c r="A162" i="17"/>
  <c r="A174" i="17"/>
  <c r="A198" i="17"/>
  <c r="A210" i="17"/>
  <c r="A222" i="17"/>
  <c r="A234" i="17"/>
  <c r="A246" i="17"/>
  <c r="A270" i="17"/>
  <c r="A282" i="17"/>
  <c r="A294" i="17"/>
  <c r="A306" i="17"/>
  <c r="A318" i="17"/>
  <c r="A342" i="17"/>
  <c r="A354" i="17"/>
  <c r="A378" i="17"/>
  <c r="A390" i="17"/>
  <c r="A402" i="17"/>
  <c r="A414" i="17"/>
  <c r="A426" i="17"/>
  <c r="A438" i="17"/>
  <c r="A450" i="17"/>
  <c r="A462" i="17"/>
  <c r="A474" i="17"/>
  <c r="A486" i="17"/>
  <c r="A498" i="17"/>
  <c r="A510" i="17"/>
  <c r="A522" i="17"/>
  <c r="A534" i="17"/>
  <c r="A546" i="17"/>
  <c r="A570" i="17"/>
  <c r="A582" i="17"/>
  <c r="A606" i="17"/>
  <c r="A618" i="17"/>
  <c r="A630" i="17"/>
  <c r="A641" i="17"/>
  <c r="A653" i="17"/>
  <c r="A665" i="17"/>
  <c r="A677" i="17"/>
  <c r="A689" i="17"/>
  <c r="A701" i="17"/>
  <c r="A713" i="17"/>
  <c r="A725" i="17"/>
  <c r="A737" i="17"/>
  <c r="A257" i="17"/>
  <c r="A377" i="17"/>
  <c r="A473" i="17"/>
  <c r="A593" i="17"/>
  <c r="A13" i="17"/>
  <c r="I13" i="17"/>
  <c r="A20" i="17"/>
  <c r="I20" i="17"/>
  <c r="A31" i="17"/>
  <c r="I31" i="17"/>
  <c r="A43" i="17"/>
  <c r="I43" i="17"/>
  <c r="A55" i="17"/>
  <c r="A67" i="17"/>
  <c r="A79" i="17"/>
  <c r="A91" i="17"/>
  <c r="A103" i="17"/>
  <c r="A115" i="17"/>
  <c r="A127" i="17"/>
  <c r="A139" i="17"/>
  <c r="A151" i="17"/>
  <c r="A163" i="17"/>
  <c r="A175" i="17"/>
  <c r="A187" i="17"/>
  <c r="A199" i="17"/>
  <c r="A211" i="17"/>
  <c r="A223" i="17"/>
  <c r="A235" i="17"/>
  <c r="A247" i="17"/>
  <c r="A259" i="17"/>
  <c r="A271" i="17"/>
  <c r="A283" i="17"/>
  <c r="A295" i="17"/>
  <c r="A307" i="17"/>
  <c r="A319" i="17"/>
  <c r="A331" i="17"/>
  <c r="A343" i="17"/>
  <c r="A355" i="17"/>
  <c r="A367" i="17"/>
  <c r="A379" i="17"/>
  <c r="A391" i="17"/>
  <c r="A403" i="17"/>
  <c r="A415" i="17"/>
  <c r="A427" i="17"/>
  <c r="A439" i="17"/>
  <c r="A451" i="17"/>
  <c r="A463" i="17"/>
  <c r="A475" i="17"/>
  <c r="A487" i="17"/>
  <c r="A499" i="17"/>
  <c r="A511" i="17"/>
  <c r="A523" i="17"/>
  <c r="A535" i="17"/>
  <c r="A547" i="17"/>
  <c r="A559" i="17"/>
  <c r="A571" i="17"/>
  <c r="A583" i="17"/>
  <c r="A595" i="17"/>
  <c r="A607" i="17"/>
  <c r="A619" i="17"/>
  <c r="A631" i="17"/>
  <c r="A642" i="17"/>
  <c r="A654" i="17"/>
  <c r="A666" i="17"/>
  <c r="A678" i="17"/>
  <c r="A690" i="17"/>
  <c r="A702" i="17"/>
  <c r="A714" i="17"/>
  <c r="A726" i="17"/>
  <c r="A738" i="17"/>
  <c r="A65" i="17"/>
  <c r="A125" i="17"/>
  <c r="A173" i="17"/>
  <c r="A281" i="17"/>
  <c r="A401" i="17"/>
  <c r="A557" i="17"/>
  <c r="A14" i="17"/>
  <c r="I14" i="17"/>
  <c r="A32" i="17"/>
  <c r="I32" i="17"/>
  <c r="A44" i="17"/>
  <c r="I44" i="17"/>
  <c r="A56" i="17"/>
  <c r="A68" i="17"/>
  <c r="A80" i="17"/>
  <c r="A92" i="17"/>
  <c r="A104" i="17"/>
  <c r="A116" i="17"/>
  <c r="A128" i="17"/>
  <c r="A140" i="17"/>
  <c r="A152" i="17"/>
  <c r="A164" i="17"/>
  <c r="A176" i="17"/>
  <c r="A188" i="17"/>
  <c r="C200" i="17"/>
  <c r="C201" i="17" s="1"/>
  <c r="C202" i="17" s="1"/>
  <c r="C203" i="17" s="1"/>
  <c r="C204" i="17" s="1"/>
  <c r="C205" i="17" s="1"/>
  <c r="C206" i="17" s="1"/>
  <c r="C207" i="17" s="1"/>
  <c r="C208" i="17" s="1"/>
  <c r="A212" i="17"/>
  <c r="A224" i="17"/>
  <c r="A236" i="17"/>
  <c r="A248" i="17"/>
  <c r="A260" i="17"/>
  <c r="A272" i="17"/>
  <c r="A284" i="17"/>
  <c r="A296" i="17"/>
  <c r="A308" i="17"/>
  <c r="A320" i="17"/>
  <c r="A332" i="17"/>
  <c r="A344" i="17"/>
  <c r="A380" i="17"/>
  <c r="A392" i="17"/>
  <c r="A416" i="17"/>
  <c r="A428" i="17"/>
  <c r="A440" i="17"/>
  <c r="A452" i="17"/>
  <c r="A464" i="17"/>
  <c r="A476" i="17"/>
  <c r="A488" i="17"/>
  <c r="A500" i="17"/>
  <c r="A512" i="17"/>
  <c r="A524" i="17"/>
  <c r="A536" i="17"/>
  <c r="A548" i="17"/>
  <c r="A560" i="17"/>
  <c r="A572" i="17"/>
  <c r="A584" i="17"/>
  <c r="A596" i="17"/>
  <c r="A608" i="17"/>
  <c r="A620" i="17"/>
  <c r="A632" i="17"/>
  <c r="A643" i="17"/>
  <c r="A655" i="17"/>
  <c r="A739" i="17"/>
  <c r="A497" i="17"/>
  <c r="A21" i="17"/>
  <c r="I21" i="17"/>
  <c r="A45" i="17"/>
  <c r="I45" i="17"/>
  <c r="A57" i="17"/>
  <c r="A69" i="17"/>
  <c r="A81" i="17"/>
  <c r="A93" i="17"/>
  <c r="A105" i="17"/>
  <c r="A117" i="17"/>
  <c r="A141" i="17"/>
  <c r="A153" i="17"/>
  <c r="A165" i="17"/>
  <c r="A177" i="17"/>
  <c r="C189" i="17"/>
  <c r="C190" i="17" s="1"/>
  <c r="C191" i="17" s="1"/>
  <c r="C192" i="17" s="1"/>
  <c r="C193" i="17" s="1"/>
  <c r="C194" i="17" s="1"/>
  <c r="C195" i="17" s="1"/>
  <c r="C196" i="17" s="1"/>
  <c r="C197" i="17" s="1"/>
  <c r="C198" i="17" s="1"/>
  <c r="C199" i="17" s="1"/>
  <c r="A201" i="17"/>
  <c r="A213" i="17"/>
  <c r="A225" i="17"/>
  <c r="A237" i="17"/>
  <c r="C249" i="17"/>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C274" i="17" s="1"/>
  <c r="C275" i="17" s="1"/>
  <c r="C276" i="17" s="1"/>
  <c r="C277" i="17" s="1"/>
  <c r="C278" i="17" s="1"/>
  <c r="C279" i="17" s="1"/>
  <c r="C280" i="17" s="1"/>
  <c r="C281" i="17" s="1"/>
  <c r="C282" i="17" s="1"/>
  <c r="C283" i="17" s="1"/>
  <c r="C284" i="17" s="1"/>
  <c r="A261" i="17"/>
  <c r="A273" i="17"/>
  <c r="A285" i="17"/>
  <c r="A297" i="17"/>
  <c r="A309" i="17"/>
  <c r="A333" i="17"/>
  <c r="A345" i="17"/>
  <c r="A357" i="17"/>
  <c r="A369" i="17"/>
  <c r="A381" i="17"/>
  <c r="A393" i="17"/>
  <c r="A405" i="17"/>
  <c r="A417" i="17"/>
  <c r="A429" i="17"/>
  <c r="A441" i="17"/>
  <c r="A453" i="17"/>
  <c r="A465" i="17"/>
  <c r="A477" i="17"/>
  <c r="A489" i="17"/>
  <c r="A501" i="17"/>
  <c r="A525" i="17"/>
  <c r="A537" i="17"/>
  <c r="A549" i="17"/>
  <c r="A561" i="17"/>
  <c r="A573" i="17"/>
  <c r="A597" i="17"/>
  <c r="A609" i="17"/>
  <c r="A621" i="17"/>
  <c r="A633" i="17"/>
  <c r="A644" i="17"/>
  <c r="A656" i="17"/>
  <c r="A740" i="17"/>
  <c r="A11" i="17"/>
  <c r="I11" i="17"/>
  <c r="A113" i="17"/>
  <c r="A185" i="17"/>
  <c r="A293" i="17"/>
  <c r="A413" i="17"/>
  <c r="A545" i="17"/>
  <c r="A22" i="17"/>
  <c r="I22" i="17"/>
  <c r="A34" i="17"/>
  <c r="I34" i="17"/>
  <c r="A46" i="17"/>
  <c r="I46" i="17"/>
  <c r="A58" i="17"/>
  <c r="A70" i="17"/>
  <c r="A82" i="17"/>
  <c r="A94" i="17"/>
  <c r="A106" i="17"/>
  <c r="A118" i="17"/>
  <c r="A130" i="17"/>
  <c r="A142" i="17"/>
  <c r="A154" i="17"/>
  <c r="A178" i="17"/>
  <c r="A190" i="17"/>
  <c r="A202" i="17"/>
  <c r="A214" i="17"/>
  <c r="A226" i="17"/>
  <c r="A238" i="17"/>
  <c r="A250" i="17"/>
  <c r="A262" i="17"/>
  <c r="A274" i="17"/>
  <c r="A286" i="17"/>
  <c r="A298" i="17"/>
  <c r="A310" i="17"/>
  <c r="A322" i="17"/>
  <c r="A334" i="17"/>
  <c r="A346" i="17"/>
  <c r="A358" i="17"/>
  <c r="A370" i="17"/>
  <c r="A382" i="17"/>
  <c r="A406" i="17"/>
  <c r="A418" i="17"/>
  <c r="A442" i="17"/>
  <c r="A454" i="17"/>
  <c r="A466" i="17"/>
  <c r="A478" i="17"/>
  <c r="A490" i="17"/>
  <c r="A502" i="17"/>
  <c r="A514" i="17"/>
  <c r="A526" i="17"/>
  <c r="A538" i="17"/>
  <c r="A550" i="17"/>
  <c r="A562" i="17"/>
  <c r="A574" i="17"/>
  <c r="A586" i="17"/>
  <c r="A598" i="17"/>
  <c r="A610" i="17"/>
  <c r="A622" i="17"/>
  <c r="A645" i="17"/>
  <c r="A669" i="17"/>
  <c r="A681" i="17"/>
  <c r="A693" i="17"/>
  <c r="A705" i="17"/>
  <c r="A717" i="17"/>
  <c r="A729" i="17"/>
  <c r="A741" i="17"/>
  <c r="A18" i="17"/>
  <c r="I18" i="17"/>
  <c r="A353" i="17"/>
  <c r="A509" i="17"/>
  <c r="A581" i="17"/>
  <c r="A640" i="17"/>
  <c r="A736" i="17"/>
  <c r="C6" i="17"/>
  <c r="C7" i="17" s="1"/>
  <c r="C8" i="17" s="1"/>
  <c r="C9" i="17" s="1"/>
  <c r="C10" i="17" s="1"/>
  <c r="C11" i="17" s="1"/>
  <c r="C12" i="17" s="1"/>
  <c r="C13" i="17" s="1"/>
  <c r="C14" i="17" s="1"/>
  <c r="C15" i="17" s="1"/>
  <c r="C16" i="17" s="1"/>
  <c r="C17" i="17" s="1"/>
  <c r="I6" i="17"/>
  <c r="A23" i="17"/>
  <c r="I23" i="17"/>
  <c r="A35" i="17"/>
  <c r="I35" i="17"/>
  <c r="A47" i="17"/>
  <c r="I47" i="17"/>
  <c r="A59" i="17"/>
  <c r="A83" i="17"/>
  <c r="A95" i="17"/>
  <c r="A107" i="17"/>
  <c r="A131" i="17"/>
  <c r="A143" i="17"/>
  <c r="A155" i="17"/>
  <c r="A167" i="17"/>
  <c r="A179" i="17"/>
  <c r="A191" i="17"/>
  <c r="A203" i="17"/>
  <c r="A215" i="17"/>
  <c r="A227" i="17"/>
  <c r="A251" i="17"/>
  <c r="A263" i="17"/>
  <c r="A275" i="17"/>
  <c r="A287" i="17"/>
  <c r="A299" i="17"/>
  <c r="A311" i="17"/>
  <c r="A323" i="17"/>
  <c r="A335" i="17"/>
  <c r="A347" i="17"/>
  <c r="A359" i="17"/>
  <c r="A371" i="17"/>
  <c r="A383" i="17"/>
  <c r="A395" i="17"/>
  <c r="A407" i="17"/>
  <c r="A419" i="17"/>
  <c r="A431" i="17"/>
  <c r="A443" i="17"/>
  <c r="A455" i="17"/>
  <c r="A467" i="17"/>
  <c r="A479" i="17"/>
  <c r="A491" i="17"/>
  <c r="A503" i="17"/>
  <c r="A515" i="17"/>
  <c r="A527" i="17"/>
  <c r="A539" i="17"/>
  <c r="A551" i="17"/>
  <c r="A563" i="17"/>
  <c r="A575" i="17"/>
  <c r="A587" i="17"/>
  <c r="A599" i="17"/>
  <c r="A611" i="17"/>
  <c r="A623" i="17"/>
  <c r="A635" i="17"/>
  <c r="A646" i="17"/>
  <c r="A670" i="17"/>
  <c r="A682" i="17"/>
  <c r="A694" i="17"/>
  <c r="A706" i="17"/>
  <c r="A718" i="17"/>
  <c r="A730" i="17"/>
  <c r="A742" i="17"/>
  <c r="A101" i="17"/>
  <c r="A209" i="17"/>
  <c r="A317" i="17"/>
  <c r="A425" i="17"/>
  <c r="A605" i="17"/>
  <c r="A7" i="17"/>
  <c r="I7" i="17"/>
  <c r="A24" i="17"/>
  <c r="I24" i="17"/>
  <c r="A36" i="17"/>
  <c r="I36" i="17"/>
  <c r="A48" i="17"/>
  <c r="I48" i="17"/>
  <c r="A60" i="17"/>
  <c r="A72" i="17"/>
  <c r="A84" i="17"/>
  <c r="A96" i="17"/>
  <c r="A108" i="17"/>
  <c r="A132" i="17"/>
  <c r="A144" i="17"/>
  <c r="A156" i="17"/>
  <c r="A168" i="17"/>
  <c r="A180" i="17"/>
  <c r="A192" i="17"/>
  <c r="A204" i="17"/>
  <c r="A216" i="17"/>
  <c r="A228" i="17"/>
  <c r="A240" i="17"/>
  <c r="A252" i="17"/>
  <c r="A264" i="17"/>
  <c r="A288" i="17"/>
  <c r="A300" i="17"/>
  <c r="A324" i="17"/>
  <c r="A336" i="17"/>
  <c r="A360" i="17"/>
  <c r="A384" i="17"/>
  <c r="A396" i="17"/>
  <c r="A408" i="17"/>
  <c r="A420" i="17"/>
  <c r="A432" i="17"/>
  <c r="A444" i="17"/>
  <c r="A456" i="17"/>
  <c r="A480" i="17"/>
  <c r="A492" i="17"/>
  <c r="A504" i="17"/>
  <c r="A516" i="17"/>
  <c r="A528" i="17"/>
  <c r="A552" i="17"/>
  <c r="A564" i="17"/>
  <c r="A588" i="17"/>
  <c r="A600" i="17"/>
  <c r="A624" i="17"/>
  <c r="A647" i="17"/>
  <c r="A659" i="17"/>
  <c r="A743" i="17"/>
  <c r="A29" i="17"/>
  <c r="I29" i="17"/>
  <c r="A161" i="17"/>
  <c r="A305" i="17"/>
  <c r="A461" i="17"/>
  <c r="A15" i="17"/>
  <c r="I15" i="17"/>
  <c r="A25" i="17"/>
  <c r="I25" i="17"/>
  <c r="A37" i="17"/>
  <c r="I37" i="17"/>
  <c r="A49" i="17"/>
  <c r="I49" i="17"/>
  <c r="A73" i="17"/>
  <c r="A85" i="17"/>
  <c r="A97" i="17"/>
  <c r="A109" i="17"/>
  <c r="A133" i="17"/>
  <c r="A145" i="17"/>
  <c r="A169" i="17"/>
  <c r="A181" i="17"/>
  <c r="A193" i="17"/>
  <c r="A205" i="17"/>
  <c r="A217" i="17"/>
  <c r="A229" i="17"/>
  <c r="A241" i="17"/>
  <c r="A253" i="17"/>
  <c r="A265" i="17"/>
  <c r="A277" i="17"/>
  <c r="A289" i="17"/>
  <c r="A301" i="17"/>
  <c r="A313" i="17"/>
  <c r="A325" i="17"/>
  <c r="A337" i="17"/>
  <c r="A349" i="17"/>
  <c r="A361" i="17"/>
  <c r="A373" i="17"/>
  <c r="A397" i="17"/>
  <c r="A409" i="17"/>
  <c r="A433" i="17"/>
  <c r="A445" i="17"/>
  <c r="A457" i="17"/>
  <c r="A469" i="17"/>
  <c r="A481" i="17"/>
  <c r="A493" i="17"/>
  <c r="A505" i="17"/>
  <c r="A517" i="17"/>
  <c r="A529" i="17"/>
  <c r="A541" i="17"/>
  <c r="A553" i="17"/>
  <c r="A565" i="17"/>
  <c r="A577" i="17"/>
  <c r="A589" i="17"/>
  <c r="A601" i="17"/>
  <c r="A613" i="17"/>
  <c r="A648" i="17"/>
  <c r="A732" i="17"/>
  <c r="A744" i="17"/>
  <c r="A89" i="17"/>
  <c r="A197" i="17"/>
  <c r="A329" i="17"/>
  <c r="A485" i="17"/>
  <c r="A8" i="17"/>
  <c r="I8" i="17"/>
  <c r="A26" i="17"/>
  <c r="I26" i="17"/>
  <c r="A38" i="17"/>
  <c r="I38" i="17"/>
  <c r="A50" i="17"/>
  <c r="A62" i="17"/>
  <c r="A74" i="17"/>
  <c r="A86" i="17"/>
  <c r="A98" i="17"/>
  <c r="A110" i="17"/>
  <c r="A122" i="17"/>
  <c r="A134" i="17"/>
  <c r="A158" i="17"/>
  <c r="A170" i="17"/>
  <c r="A182" i="17"/>
  <c r="A194" i="17"/>
  <c r="A206" i="17"/>
  <c r="A218" i="17"/>
  <c r="C230" i="17"/>
  <c r="C231" i="17" s="1"/>
  <c r="C232" i="17" s="1"/>
  <c r="C233" i="17" s="1"/>
  <c r="C234" i="17" s="1"/>
  <c r="C235" i="17" s="1"/>
  <c r="C236" i="17" s="1"/>
  <c r="C237" i="17" s="1"/>
  <c r="C238" i="17" s="1"/>
  <c r="C239" i="17" s="1"/>
  <c r="C240" i="17" s="1"/>
  <c r="C241" i="17" s="1"/>
  <c r="C242" i="17" s="1"/>
  <c r="C243" i="17" s="1"/>
  <c r="C244" i="17" s="1"/>
  <c r="C245" i="17" s="1"/>
  <c r="C246" i="17" s="1"/>
  <c r="C247" i="17" s="1"/>
  <c r="C248" i="17" s="1"/>
  <c r="A242" i="17"/>
  <c r="A254" i="17"/>
  <c r="A266" i="17"/>
  <c r="A278" i="17"/>
  <c r="A290" i="17"/>
  <c r="A302" i="17"/>
  <c r="A314" i="17"/>
  <c r="A326" i="17"/>
  <c r="A338" i="17"/>
  <c r="A350" i="17"/>
  <c r="A362" i="17"/>
  <c r="A374" i="17"/>
  <c r="A386" i="17"/>
  <c r="A398" i="17"/>
  <c r="A410" i="17"/>
  <c r="A422" i="17"/>
  <c r="A434" i="17"/>
  <c r="A446" i="17"/>
  <c r="A458" i="17"/>
  <c r="A470" i="17"/>
  <c r="A482" i="17"/>
  <c r="A494" i="17"/>
  <c r="A506" i="17"/>
  <c r="A518" i="17"/>
  <c r="A530" i="17"/>
  <c r="A542" i="17"/>
  <c r="A554" i="17"/>
  <c r="A566" i="17"/>
  <c r="A578" i="17"/>
  <c r="A590" i="17"/>
  <c r="A602" i="17"/>
  <c r="A614" i="17"/>
  <c r="A626" i="17"/>
  <c r="A637" i="17"/>
  <c r="A649" i="17"/>
  <c r="A673" i="17"/>
  <c r="A685" i="17"/>
  <c r="A697" i="17"/>
  <c r="A709" i="17"/>
  <c r="A721" i="17"/>
  <c r="A733" i="17"/>
  <c r="A745" i="17"/>
  <c r="A77" i="17"/>
  <c r="A233" i="17"/>
  <c r="A365" i="17"/>
  <c r="A521" i="17"/>
  <c r="A9" i="17"/>
  <c r="I9" i="17"/>
  <c r="A16" i="17"/>
  <c r="I16" i="17"/>
  <c r="A27" i="17"/>
  <c r="I27" i="17"/>
  <c r="A39" i="17"/>
  <c r="I39" i="17"/>
  <c r="A63" i="17"/>
  <c r="A75" i="17"/>
  <c r="A87" i="17"/>
  <c r="A99" i="17"/>
  <c r="A111" i="17"/>
  <c r="A123" i="17"/>
  <c r="A135" i="17"/>
  <c r="A147" i="17"/>
  <c r="A159" i="17"/>
  <c r="A171" i="17"/>
  <c r="A183" i="17"/>
  <c r="A195" i="17"/>
  <c r="A207" i="17"/>
  <c r="A219" i="17"/>
  <c r="A231" i="17"/>
  <c r="A243" i="17"/>
  <c r="A255" i="17"/>
  <c r="A267" i="17"/>
  <c r="A279" i="17"/>
  <c r="A291" i="17"/>
  <c r="A315" i="17"/>
  <c r="A327" i="17"/>
  <c r="A339" i="17"/>
  <c r="A351" i="17"/>
  <c r="A363" i="17"/>
  <c r="A375" i="17"/>
  <c r="A387" i="17"/>
  <c r="A399" i="17"/>
  <c r="A411" i="17"/>
  <c r="A423" i="17"/>
  <c r="A435" i="17"/>
  <c r="A447" i="17"/>
  <c r="A471" i="17"/>
  <c r="A483" i="17"/>
  <c r="A495" i="17"/>
  <c r="A507" i="17"/>
  <c r="A519" i="17"/>
  <c r="A543" i="17"/>
  <c r="A555" i="17"/>
  <c r="A567" i="17"/>
  <c r="A579" i="17"/>
  <c r="A591" i="17"/>
  <c r="A603" i="17"/>
  <c r="A615" i="17"/>
  <c r="A627" i="17"/>
  <c r="A638" i="17"/>
  <c r="A650" i="17"/>
  <c r="A662" i="17"/>
  <c r="A674" i="17"/>
  <c r="A686" i="17"/>
  <c r="A698" i="17"/>
  <c r="A710" i="17"/>
  <c r="A722" i="17"/>
  <c r="A734" i="17"/>
  <c r="A53" i="17"/>
  <c r="A149" i="17"/>
  <c r="A245" i="17"/>
  <c r="A341" i="17"/>
  <c r="A437" i="17"/>
  <c r="A569" i="17"/>
  <c r="A629" i="17"/>
  <c r="A10" i="17"/>
  <c r="I10" i="17"/>
  <c r="A17" i="17"/>
  <c r="I17" i="17"/>
  <c r="A28" i="17"/>
  <c r="I28" i="17"/>
  <c r="A40" i="17"/>
  <c r="I40" i="17"/>
  <c r="A52" i="17"/>
  <c r="A64" i="17"/>
  <c r="A76" i="17"/>
  <c r="A88" i="17"/>
  <c r="A100" i="17"/>
  <c r="A112" i="17"/>
  <c r="A124" i="17"/>
  <c r="A136" i="17"/>
  <c r="A148" i="17"/>
  <c r="A160" i="17"/>
  <c r="A172" i="17"/>
  <c r="A184" i="17"/>
  <c r="A196" i="17"/>
  <c r="A208" i="17"/>
  <c r="A220" i="17"/>
  <c r="A232" i="17"/>
  <c r="A244" i="17"/>
  <c r="A256" i="17"/>
  <c r="A268" i="17"/>
  <c r="A280" i="17"/>
  <c r="A292" i="17"/>
  <c r="A316" i="17"/>
  <c r="A328" i="17"/>
  <c r="A352" i="17"/>
  <c r="A364" i="17"/>
  <c r="A388" i="17"/>
  <c r="A400" i="17"/>
  <c r="A424" i="17"/>
  <c r="A436" i="17"/>
  <c r="A460" i="17"/>
  <c r="A472" i="17"/>
  <c r="A484" i="17"/>
  <c r="A496" i="17"/>
  <c r="A508" i="17"/>
  <c r="A520" i="17"/>
  <c r="A532" i="17"/>
  <c r="A544" i="17"/>
  <c r="A556" i="17"/>
  <c r="A568" i="17"/>
  <c r="A580" i="17"/>
  <c r="A592" i="17"/>
  <c r="A604" i="17"/>
  <c r="A616" i="17"/>
  <c r="A628" i="17"/>
  <c r="A639" i="17"/>
  <c r="A651" i="17"/>
  <c r="A735" i="17"/>
  <c r="DV109" i="2"/>
  <c r="DW109" i="2"/>
  <c r="BU31" i="2"/>
  <c r="BU32" i="2" s="1"/>
  <c r="J23" i="1"/>
  <c r="L23" i="1"/>
  <c r="M23" i="1" s="1"/>
  <c r="S82" i="19"/>
  <c r="AK103" i="18"/>
  <c r="AK108" i="18" s="1"/>
  <c r="AK102" i="18"/>
  <c r="BM103" i="18"/>
  <c r="BM108" i="18" s="1"/>
  <c r="BM102" i="18"/>
  <c r="AY104" i="18"/>
  <c r="AY109" i="18" s="1"/>
  <c r="AC40" i="18"/>
  <c r="AC41" i="18" s="1"/>
  <c r="AD40" i="18"/>
  <c r="AD41" i="18" s="1"/>
  <c r="BM101" i="18"/>
  <c r="A230" i="17"/>
  <c r="A513" i="17"/>
  <c r="CN38" i="18"/>
  <c r="CN40" i="18" s="1"/>
  <c r="V40" i="2"/>
  <c r="V41" i="2" s="1"/>
  <c r="DC180" i="18"/>
  <c r="F3" i="2"/>
  <c r="FF9" i="2" s="1"/>
  <c r="AL103" i="2"/>
  <c r="BD100" i="2"/>
  <c r="C219" i="17"/>
  <c r="C220" i="17" s="1"/>
  <c r="C221" i="17" s="1"/>
  <c r="C222" i="17" s="1"/>
  <c r="C223" i="17" s="1"/>
  <c r="C224" i="17" s="1"/>
  <c r="C225" i="17" s="1"/>
  <c r="C226" i="17" s="1"/>
  <c r="C227" i="17" s="1"/>
  <c r="C228" i="17" s="1"/>
  <c r="C229" i="17" s="1"/>
  <c r="H6" i="18"/>
  <c r="H81" i="18" s="1"/>
  <c r="DC187" i="18"/>
  <c r="U40" i="2"/>
  <c r="U41" i="2" s="1"/>
  <c r="A594" i="17"/>
  <c r="AQ40" i="18"/>
  <c r="BD40" i="18"/>
  <c r="DC25" i="18"/>
  <c r="EU25" i="18" s="1"/>
  <c r="A412" i="17"/>
  <c r="A303" i="17"/>
  <c r="A634" i="17"/>
  <c r="O40" i="18"/>
  <c r="O41" i="18" s="1"/>
  <c r="CM40" i="18"/>
  <c r="Q34" i="18"/>
  <c r="Q40" i="18" s="1"/>
  <c r="Q41" i="18" s="1"/>
  <c r="AE40" i="18"/>
  <c r="AS40" i="18"/>
  <c r="BW40" i="18"/>
  <c r="A585" i="17"/>
  <c r="A119" i="17"/>
  <c r="BZ31" i="18"/>
  <c r="BZ32" i="18" s="1"/>
  <c r="BD103" i="2"/>
  <c r="T31" i="18"/>
  <c r="T32" i="18" s="1"/>
  <c r="A321" i="17"/>
  <c r="C5" i="17"/>
  <c r="A6" i="17"/>
  <c r="C477" i="17"/>
  <c r="C478" i="17" s="1"/>
  <c r="C479" i="17" s="1"/>
  <c r="C480" i="17" s="1"/>
  <c r="C481" i="17" s="1"/>
  <c r="C482" i="17" s="1"/>
  <c r="C483" i="17" s="1"/>
  <c r="C484" i="17" s="1"/>
  <c r="C485" i="17" s="1"/>
  <c r="CY40" i="18"/>
  <c r="I21" i="1"/>
  <c r="J21" i="1" s="1"/>
  <c r="A137" i="17"/>
  <c r="P40" i="18"/>
  <c r="P41" i="18" s="1"/>
  <c r="BV40" i="18"/>
  <c r="C285" i="17"/>
  <c r="C286" i="17" s="1"/>
  <c r="C287" i="17" s="1"/>
  <c r="C288" i="17" s="1"/>
  <c r="C289" i="17" s="1"/>
  <c r="C290" i="17" s="1"/>
  <c r="C291" i="17" s="1"/>
  <c r="C292" i="17" s="1"/>
  <c r="C293" i="17" s="1"/>
  <c r="C294" i="17" s="1"/>
  <c r="C295" i="17" s="1"/>
  <c r="C296" i="17" s="1"/>
  <c r="C297" i="17" s="1"/>
  <c r="C298" i="17" s="1"/>
  <c r="C299" i="17" s="1"/>
  <c r="C300" i="17" s="1"/>
  <c r="C301" i="17" s="1"/>
  <c r="C302" i="17" s="1"/>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C333" i="17" s="1"/>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C365" i="17" s="1"/>
  <c r="C366" i="17" s="1"/>
  <c r="C367" i="17" s="1"/>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C394" i="17" s="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C425" i="17" s="1"/>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C456" i="17" s="1"/>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C40" i="18"/>
  <c r="AM6" i="18"/>
  <c r="AM76" i="18" s="1"/>
  <c r="BJ40" i="18"/>
  <c r="F8" i="2"/>
  <c r="F95" i="2" s="1"/>
  <c r="DX185" i="2"/>
  <c r="AE31" i="18"/>
  <c r="AE32" i="18" s="1"/>
  <c r="A625" i="17"/>
  <c r="A258" i="17"/>
  <c r="AX40" i="18"/>
  <c r="CU40" i="18"/>
  <c r="E100" i="18"/>
  <c r="M40" i="2"/>
  <c r="M41" i="2" s="1"/>
  <c r="J8" i="19"/>
  <c r="Q8" i="19" s="1"/>
  <c r="AL40" i="18"/>
  <c r="AL92" i="18" s="1"/>
  <c r="CH40" i="18"/>
  <c r="DX15" i="2"/>
  <c r="AX35" i="2"/>
  <c r="AX40" i="2" s="1"/>
  <c r="AQ31" i="2"/>
  <c r="AQ32" i="2" s="1"/>
  <c r="AR31" i="2"/>
  <c r="AR32" i="2" s="1"/>
  <c r="I31" i="18"/>
  <c r="I32" i="18" s="1"/>
  <c r="CJ40" i="18"/>
  <c r="CQ40" i="18"/>
  <c r="DX180" i="2"/>
  <c r="AU31" i="2"/>
  <c r="AU32" i="2" s="1"/>
  <c r="BC40" i="2"/>
  <c r="AA40" i="2"/>
  <c r="AA41" i="2" s="1"/>
  <c r="AN40" i="2"/>
  <c r="DV40" i="2"/>
  <c r="AM40" i="2"/>
  <c r="AM92" i="2" s="1"/>
  <c r="DW40" i="2"/>
  <c r="O40" i="2"/>
  <c r="O41" i="2" s="1"/>
  <c r="BE40" i="2"/>
  <c r="BE92" i="2" s="1"/>
  <c r="AY40" i="2"/>
  <c r="BA40" i="2"/>
  <c r="BF40" i="2"/>
  <c r="AL104" i="2"/>
  <c r="Q40" i="2"/>
  <c r="Q41" i="2" s="1"/>
  <c r="AL91" i="2"/>
  <c r="AL101" i="2"/>
  <c r="AZ40" i="2"/>
  <c r="P40" i="2"/>
  <c r="P41" i="2" s="1"/>
  <c r="G9" i="18"/>
  <c r="G70" i="18" s="1"/>
  <c r="AE40" i="2"/>
  <c r="BG40" i="2"/>
  <c r="A51" i="17"/>
  <c r="A540" i="17"/>
  <c r="C566" i="17"/>
  <c r="C567" i="17" s="1"/>
  <c r="C568" i="17" s="1"/>
  <c r="C569" i="17" s="1"/>
  <c r="C570" i="17" s="1"/>
  <c r="C571" i="17" s="1"/>
  <c r="C572" i="17" s="1"/>
  <c r="C573" i="17" s="1"/>
  <c r="C574" i="17" s="1"/>
  <c r="C575" i="17" s="1"/>
  <c r="C576" i="17" s="1"/>
  <c r="C577" i="17" s="1"/>
  <c r="C578" i="17" s="1"/>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599" i="17" s="1"/>
  <c r="C600" i="17" s="1"/>
  <c r="C601" i="17" s="1"/>
  <c r="C602" i="17" s="1"/>
  <c r="C603" i="17" s="1"/>
  <c r="C604" i="17" s="1"/>
  <c r="C605" i="17" s="1"/>
  <c r="C606" i="17" s="1"/>
  <c r="C607" i="17" s="1"/>
  <c r="C608" i="17" s="1"/>
  <c r="C609" i="17" s="1"/>
  <c r="C610" i="17" s="1"/>
  <c r="C611" i="17" s="1"/>
  <c r="C612" i="17" s="1"/>
  <c r="C613" i="17" s="1"/>
  <c r="C614" i="17" s="1"/>
  <c r="C615" i="17" s="1"/>
  <c r="C616" i="17" s="1"/>
  <c r="C617" i="17" s="1"/>
  <c r="C618" i="17" s="1"/>
  <c r="C619" i="17" s="1"/>
  <c r="C620" i="17" s="1"/>
  <c r="C621" i="17" s="1"/>
  <c r="C622" i="17" s="1"/>
  <c r="C623" i="17" s="1"/>
  <c r="C624" i="17" s="1"/>
  <c r="C625" i="17" s="1"/>
  <c r="C626" i="17" s="1"/>
  <c r="C627" i="17" s="1"/>
  <c r="C628" i="17" s="1"/>
  <c r="C629" i="17" s="1"/>
  <c r="C630" i="17" s="1"/>
  <c r="C631" i="17" s="1"/>
  <c r="C632" i="17" s="1"/>
  <c r="C633" i="17" s="1"/>
  <c r="C634" i="17" s="1"/>
  <c r="C635" i="17" s="1"/>
  <c r="C636" i="17" s="1"/>
  <c r="C637" i="17" s="1"/>
  <c r="C638" i="17" s="1"/>
  <c r="C639" i="17" s="1"/>
  <c r="C640" i="17" s="1"/>
  <c r="C641" i="17" s="1"/>
  <c r="C642" i="17" s="1"/>
  <c r="C643" i="17" s="1"/>
  <c r="C644" i="17" s="1"/>
  <c r="C645" i="17" s="1"/>
  <c r="C646" i="17" s="1"/>
  <c r="C647" i="17" s="1"/>
  <c r="C648" i="17" s="1"/>
  <c r="C649" i="17" s="1"/>
  <c r="C650" i="17" s="1"/>
  <c r="C651" i="17" s="1"/>
  <c r="C652" i="17" s="1"/>
  <c r="C653" i="17" s="1"/>
  <c r="C654" i="17" s="1"/>
  <c r="C655" i="17" s="1"/>
  <c r="C656" i="17" s="1"/>
  <c r="C657" i="17" s="1"/>
  <c r="C658" i="17" s="1"/>
  <c r="C659" i="17" s="1"/>
  <c r="C660" i="17" s="1"/>
  <c r="C661" i="17" s="1"/>
  <c r="C662" i="17" s="1"/>
  <c r="C663" i="17" s="1"/>
  <c r="C664" i="17" s="1"/>
  <c r="C665" i="17" s="1"/>
  <c r="C666" i="17" s="1"/>
  <c r="C667" i="17" s="1"/>
  <c r="C668" i="17" s="1"/>
  <c r="C669" i="17" s="1"/>
  <c r="R49" i="19"/>
  <c r="BI31" i="18"/>
  <c r="BI32" i="18" s="1"/>
  <c r="BX31" i="18"/>
  <c r="BX32" i="18" s="1"/>
  <c r="BH40" i="18"/>
  <c r="CO34" i="18"/>
  <c r="CO40" i="18" s="1"/>
  <c r="BN72" i="18"/>
  <c r="R19" i="19"/>
  <c r="W19" i="19" s="1"/>
  <c r="AG40" i="2"/>
  <c r="CO40" i="2"/>
  <c r="DA40" i="2"/>
  <c r="DM40" i="2"/>
  <c r="A430" i="17"/>
  <c r="A576" i="17"/>
  <c r="J26" i="19"/>
  <c r="AI31" i="18"/>
  <c r="AI32" i="18" s="1"/>
  <c r="CD31" i="18"/>
  <c r="CD32" i="18" s="1"/>
  <c r="AV40" i="18"/>
  <c r="AS40" i="2"/>
  <c r="BG40" i="18"/>
  <c r="AH40" i="18"/>
  <c r="G40" i="2"/>
  <c r="G41" i="2" s="1"/>
  <c r="AH40" i="2"/>
  <c r="AW40" i="2"/>
  <c r="F70" i="2"/>
  <c r="J10" i="19"/>
  <c r="O10" i="19" s="1"/>
  <c r="L26" i="19"/>
  <c r="X40" i="18"/>
  <c r="AJ31" i="18"/>
  <c r="AJ32" i="18" s="1"/>
  <c r="AW40" i="18"/>
  <c r="BM40" i="18"/>
  <c r="BM92" i="18" s="1"/>
  <c r="CE40" i="18"/>
  <c r="DC179" i="18"/>
  <c r="CP40" i="18"/>
  <c r="AZ31" i="2"/>
  <c r="AZ32" i="2" s="1"/>
  <c r="I40" i="2"/>
  <c r="AI40" i="2"/>
  <c r="A661" i="17"/>
  <c r="C670" i="17"/>
  <c r="C671" i="17" s="1"/>
  <c r="C672" i="17" s="1"/>
  <c r="C673" i="17" s="1"/>
  <c r="C674" i="17" s="1"/>
  <c r="C675" i="17" s="1"/>
  <c r="C676" i="17" s="1"/>
  <c r="C677" i="17" s="1"/>
  <c r="C678" i="17" s="1"/>
  <c r="C679" i="17" s="1"/>
  <c r="C680" i="17" s="1"/>
  <c r="C681" i="17" s="1"/>
  <c r="C682" i="17" s="1"/>
  <c r="C683" i="17" s="1"/>
  <c r="C684" i="17" s="1"/>
  <c r="C685" i="17" s="1"/>
  <c r="C686" i="17" s="1"/>
  <c r="C687" i="17" s="1"/>
  <c r="C688" i="17" s="1"/>
  <c r="C689" i="17" s="1"/>
  <c r="C690" i="17" s="1"/>
  <c r="C691" i="17" s="1"/>
  <c r="C692" i="17" s="1"/>
  <c r="C693" i="17" s="1"/>
  <c r="C694" i="17" s="1"/>
  <c r="C695" i="17" s="1"/>
  <c r="C696" i="17" s="1"/>
  <c r="C697" i="17" s="1"/>
  <c r="DC13" i="18"/>
  <c r="EU13" i="18" s="1"/>
  <c r="W40" i="18"/>
  <c r="W41" i="18" s="1"/>
  <c r="AK40" i="18"/>
  <c r="AK92" i="18" s="1"/>
  <c r="BN40" i="18"/>
  <c r="BN92" i="18" s="1"/>
  <c r="AK101" i="18"/>
  <c r="BF40" i="18"/>
  <c r="K40" i="18"/>
  <c r="DC185" i="18"/>
  <c r="DX20" i="2"/>
  <c r="W40" i="2"/>
  <c r="W41" i="2" s="1"/>
  <c r="AJ40" i="2"/>
  <c r="BI40" i="18"/>
  <c r="L40" i="18"/>
  <c r="L41" i="18" s="1"/>
  <c r="Y40" i="18"/>
  <c r="Y41" i="18" s="1"/>
  <c r="CT40" i="18"/>
  <c r="AY101" i="18"/>
  <c r="K40" i="2"/>
  <c r="K41" i="2" s="1"/>
  <c r="X40" i="2"/>
  <c r="AK40" i="2"/>
  <c r="E102" i="2"/>
  <c r="A394" i="17"/>
  <c r="J12" i="19"/>
  <c r="O12" i="19" s="1"/>
  <c r="BO6" i="18"/>
  <c r="BO74" i="18" s="1"/>
  <c r="BK31" i="18"/>
  <c r="BK32" i="18" s="1"/>
  <c r="M40" i="18"/>
  <c r="M41" i="18" s="1"/>
  <c r="AM40" i="18"/>
  <c r="BR40" i="18"/>
  <c r="AP40" i="18"/>
  <c r="BB40" i="18"/>
  <c r="I22" i="1"/>
  <c r="J22" i="1" s="1"/>
  <c r="AF40" i="2"/>
  <c r="AU40" i="18"/>
  <c r="L40" i="2"/>
  <c r="AL40" i="2"/>
  <c r="AL92" i="2" s="1"/>
  <c r="BQ40" i="2"/>
  <c r="AL102" i="2"/>
  <c r="DX179" i="2"/>
  <c r="U6" i="19"/>
  <c r="V10" i="19" s="1"/>
  <c r="AA40" i="18"/>
  <c r="AA41" i="18" s="1"/>
  <c r="BA40" i="18"/>
  <c r="BS40" i="18"/>
  <c r="CI40" i="18"/>
  <c r="Z40" i="2"/>
  <c r="CU40" i="2"/>
  <c r="DG40" i="2"/>
  <c r="AB34" i="18"/>
  <c r="AB40" i="18" s="1"/>
  <c r="AB41" i="18" s="1"/>
  <c r="AO40" i="18"/>
  <c r="BT40" i="18"/>
  <c r="CW40" i="18"/>
  <c r="DA40" i="18"/>
  <c r="F99" i="18"/>
  <c r="AY103" i="18"/>
  <c r="AY108" i="18" s="1"/>
  <c r="C26" i="1"/>
  <c r="AN6" i="2"/>
  <c r="N40" i="2"/>
  <c r="N41" i="2" s="1"/>
  <c r="BD40" i="2"/>
  <c r="BD92" i="2" s="1"/>
  <c r="DX187" i="2"/>
  <c r="P26" i="12"/>
  <c r="BC40" i="18"/>
  <c r="BU40" i="18"/>
  <c r="CX40" i="18"/>
  <c r="DB40" i="18"/>
  <c r="A200" i="17"/>
  <c r="A366" i="17"/>
  <c r="A468" i="17"/>
  <c r="A558" i="17"/>
  <c r="C504" i="17"/>
  <c r="C505" i="17" s="1"/>
  <c r="C506" i="17" s="1"/>
  <c r="C507" i="17" s="1"/>
  <c r="C508" i="17" s="1"/>
  <c r="C509" i="17" s="1"/>
  <c r="C510" i="17" s="1"/>
  <c r="C511" i="17" s="1"/>
  <c r="C512" i="17" s="1"/>
  <c r="C513" i="17" s="1"/>
  <c r="C514" i="17" s="1"/>
  <c r="C515" i="17" s="1"/>
  <c r="C516" i="17" s="1"/>
  <c r="C517" i="17" s="1"/>
  <c r="C518" i="17" s="1"/>
  <c r="C519" i="17" s="1"/>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C547" i="17" s="1"/>
  <c r="C548" i="17" s="1"/>
  <c r="C549" i="17" s="1"/>
  <c r="C550" i="17" s="1"/>
  <c r="C551" i="17" s="1"/>
  <c r="C552" i="17" s="1"/>
  <c r="C553" i="17" s="1"/>
  <c r="C554" i="17" s="1"/>
  <c r="C555" i="17" s="1"/>
  <c r="C556" i="17" s="1"/>
  <c r="C557" i="17" s="1"/>
  <c r="C558" i="17" s="1"/>
  <c r="C559" i="17" s="1"/>
  <c r="C560" i="17" s="1"/>
  <c r="C561" i="17" s="1"/>
  <c r="C562" i="17" s="1"/>
  <c r="C563" i="17" s="1"/>
  <c r="C564" i="17" s="1"/>
  <c r="C565" i="17" s="1"/>
  <c r="C42" i="17"/>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E103" i="18"/>
  <c r="E108" i="18" s="1"/>
  <c r="F103" i="18"/>
  <c r="F108" i="18" s="1"/>
  <c r="BE40" i="18"/>
  <c r="L20" i="1"/>
  <c r="J20" i="1"/>
  <c r="AV31" i="2"/>
  <c r="AV32" i="2" s="1"/>
  <c r="BI31" i="2"/>
  <c r="BI32" i="2" s="1"/>
  <c r="AP35" i="2"/>
  <c r="AP40" i="2" s="1"/>
  <c r="BO40" i="2"/>
  <c r="CK40" i="2"/>
  <c r="CW40" i="2"/>
  <c r="DI40" i="2"/>
  <c r="F44" i="2"/>
  <c r="E95" i="2"/>
  <c r="E69" i="2"/>
  <c r="DX16" i="2"/>
  <c r="BK40" i="2"/>
  <c r="G9" i="2"/>
  <c r="AD31" i="2"/>
  <c r="AD32" i="2" s="1"/>
  <c r="E43" i="2"/>
  <c r="S36" i="2"/>
  <c r="S40" i="2" s="1"/>
  <c r="T37" i="2"/>
  <c r="T40" i="2" s="1"/>
  <c r="CQ40" i="2"/>
  <c r="DC40" i="2"/>
  <c r="DO40" i="2"/>
  <c r="BL40" i="2"/>
  <c r="DX12" i="2"/>
  <c r="AU40" i="2"/>
  <c r="CR40" i="2"/>
  <c r="DD40" i="2"/>
  <c r="DP40" i="2"/>
  <c r="G6" i="2"/>
  <c r="BH31" i="2"/>
  <c r="BH32" i="2" s="1"/>
  <c r="CS40" i="2"/>
  <c r="DE40" i="2"/>
  <c r="DQ40" i="2"/>
  <c r="A120" i="17"/>
  <c r="C186" i="17"/>
  <c r="C187" i="17" s="1"/>
  <c r="C188" i="17" s="1"/>
  <c r="A186" i="17"/>
  <c r="A312" i="17"/>
  <c r="A157" i="17"/>
  <c r="AL99" i="2"/>
  <c r="A385" i="17"/>
  <c r="A448" i="17"/>
  <c r="A71" i="17"/>
  <c r="BD102" i="2"/>
  <c r="A348" i="17"/>
  <c r="BD101" i="2"/>
  <c r="A404" i="17"/>
  <c r="AL100" i="2"/>
  <c r="A372" i="17"/>
  <c r="A531" i="17"/>
  <c r="A121" i="17"/>
  <c r="A146" i="17"/>
  <c r="A249" i="17"/>
  <c r="A356" i="17"/>
  <c r="A368" i="17"/>
  <c r="J35" i="18"/>
  <c r="J40" i="18" s="1"/>
  <c r="J31" i="18"/>
  <c r="J32" i="18" s="1"/>
  <c r="S40" i="18"/>
  <c r="S41" i="18" s="1"/>
  <c r="AF40" i="18"/>
  <c r="AF41" i="18" s="1"/>
  <c r="AT40" i="18"/>
  <c r="CZ40" i="18"/>
  <c r="BX40" i="18"/>
  <c r="F40" i="18"/>
  <c r="F92" i="18" s="1"/>
  <c r="AI40" i="18"/>
  <c r="BK34" i="18"/>
  <c r="BK40" i="18" s="1"/>
  <c r="BD104" i="2"/>
  <c r="G3" i="12"/>
  <c r="C32" i="17"/>
  <c r="C33" i="17" s="1"/>
  <c r="C34" i="17" s="1"/>
  <c r="C35" i="17" s="1"/>
  <c r="C36" i="17" s="1"/>
  <c r="C37" i="17" s="1"/>
  <c r="C38" i="17" s="1"/>
  <c r="C39" i="17" s="1"/>
  <c r="C40" i="17" s="1"/>
  <c r="C41" i="17" s="1"/>
  <c r="A189" i="17"/>
  <c r="A239" i="17"/>
  <c r="G40" i="18"/>
  <c r="G92" i="18" s="1"/>
  <c r="V40" i="18"/>
  <c r="V41" i="18" s="1"/>
  <c r="AJ40" i="18"/>
  <c r="BL40" i="18"/>
  <c r="CD40" i="18"/>
  <c r="A33" i="17"/>
  <c r="A61" i="17"/>
  <c r="A129" i="17"/>
  <c r="A166" i="17"/>
  <c r="A221" i="17"/>
  <c r="A269" i="17"/>
  <c r="A376" i="17"/>
  <c r="A421" i="17"/>
  <c r="A459" i="17"/>
  <c r="CR40" i="18"/>
  <c r="R15" i="19"/>
  <c r="W15" i="19" s="1"/>
  <c r="M53" i="19"/>
  <c r="R53" i="19" s="1"/>
  <c r="CS40" i="18"/>
  <c r="C209" i="17"/>
  <c r="C210" i="17" s="1"/>
  <c r="C211" i="17" s="1"/>
  <c r="C212" i="17" s="1"/>
  <c r="C213" i="17" s="1"/>
  <c r="C214" i="17" s="1"/>
  <c r="C215" i="17" s="1"/>
  <c r="C216" i="17" s="1"/>
  <c r="C217" i="17" s="1"/>
  <c r="C218" i="17" s="1"/>
  <c r="A304" i="17"/>
  <c r="A340" i="17"/>
  <c r="AZ40" i="18"/>
  <c r="AZ92" i="18" s="1"/>
  <c r="BP40" i="18"/>
  <c r="CG40" i="18"/>
  <c r="A636" i="17"/>
  <c r="N40" i="18"/>
  <c r="N41" i="18" s="1"/>
  <c r="AN40" i="18"/>
  <c r="A276" i="17"/>
  <c r="A330" i="17"/>
  <c r="C486" i="17"/>
  <c r="C487" i="17" s="1"/>
  <c r="C488" i="17" s="1"/>
  <c r="C489" i="17" s="1"/>
  <c r="C490" i="17" s="1"/>
  <c r="C491" i="17" s="1"/>
  <c r="C492" i="17" s="1"/>
  <c r="C493" i="17" s="1"/>
  <c r="C494" i="17" s="1"/>
  <c r="C495" i="17" s="1"/>
  <c r="C496" i="17" s="1"/>
  <c r="C497" i="17" s="1"/>
  <c r="C498" i="17" s="1"/>
  <c r="C499" i="17" s="1"/>
  <c r="C500" i="17" s="1"/>
  <c r="C501" i="17" s="1"/>
  <c r="C502" i="17" s="1"/>
  <c r="C503" i="17" s="1"/>
  <c r="A652" i="17"/>
  <c r="CV40" i="18"/>
  <c r="U66" i="18"/>
  <c r="DC66" i="18" s="1"/>
  <c r="DC59" i="18"/>
  <c r="J11" i="19"/>
  <c r="J15" i="19"/>
  <c r="J18" i="19"/>
  <c r="J20" i="19"/>
  <c r="L36" i="19"/>
  <c r="R36" i="19" s="1"/>
  <c r="V36" i="19" s="1"/>
  <c r="G84" i="18"/>
  <c r="G88" i="18"/>
  <c r="G87" i="18"/>
  <c r="G86" i="18"/>
  <c r="G85" i="18"/>
  <c r="G77" i="18"/>
  <c r="G79" i="18"/>
  <c r="G74" i="18"/>
  <c r="G76" i="18"/>
  <c r="G89" i="18"/>
  <c r="G78" i="18"/>
  <c r="G83" i="18"/>
  <c r="G82" i="18"/>
  <c r="G81" i="18"/>
  <c r="F8" i="18"/>
  <c r="BG31" i="18"/>
  <c r="BG32" i="18" s="1"/>
  <c r="Y5" i="19"/>
  <c r="Y7" i="19" s="1"/>
  <c r="S20" i="19"/>
  <c r="F70" i="18"/>
  <c r="J9" i="19"/>
  <c r="J14" i="19"/>
  <c r="K31" i="18"/>
  <c r="K32" i="18" s="1"/>
  <c r="X31" i="18"/>
  <c r="X32" i="18" s="1"/>
  <c r="BY34" i="18"/>
  <c r="BY40" i="18" s="1"/>
  <c r="AY99" i="18"/>
  <c r="BZ34" i="18"/>
  <c r="BZ40" i="18" s="1"/>
  <c r="AY35" i="18"/>
  <c r="AY40" i="18" s="1"/>
  <c r="AY92" i="18" s="1"/>
  <c r="F44" i="18"/>
  <c r="AZ72" i="18"/>
  <c r="AY31" i="18"/>
  <c r="AY32" i="18" s="1"/>
  <c r="CM31" i="18"/>
  <c r="CM32" i="18" s="1"/>
  <c r="BO34" i="18"/>
  <c r="BO40" i="18" s="1"/>
  <c r="CA34" i="18"/>
  <c r="CA40" i="18" s="1"/>
  <c r="AK99" i="18"/>
  <c r="AK91" i="18"/>
  <c r="F100" i="18"/>
  <c r="J13" i="19"/>
  <c r="J19" i="19"/>
  <c r="J21" i="19"/>
  <c r="AL89" i="18"/>
  <c r="AL78" i="18"/>
  <c r="AL82" i="18"/>
  <c r="AL81" i="18"/>
  <c r="AL80" i="18"/>
  <c r="AL83" i="18"/>
  <c r="AL73" i="18"/>
  <c r="AL88" i="18"/>
  <c r="AL87" i="18"/>
  <c r="AL86" i="18"/>
  <c r="AL85" i="18"/>
  <c r="AL84" i="18"/>
  <c r="AL75" i="18"/>
  <c r="AL77" i="18"/>
  <c r="AL79" i="18"/>
  <c r="AL74" i="18"/>
  <c r="CN31" i="18"/>
  <c r="CN32" i="18" s="1"/>
  <c r="CB34" i="18"/>
  <c r="AL72" i="18"/>
  <c r="A612" i="17"/>
  <c r="J7" i="19"/>
  <c r="J24" i="19"/>
  <c r="AH71" i="19"/>
  <c r="AZ89" i="18"/>
  <c r="AZ78" i="18"/>
  <c r="AZ90" i="18"/>
  <c r="AZ82" i="18"/>
  <c r="AZ81" i="18"/>
  <c r="AZ80" i="18"/>
  <c r="AZ83" i="18"/>
  <c r="AZ88" i="18"/>
  <c r="AZ87" i="18"/>
  <c r="AZ86" i="18"/>
  <c r="AZ85" i="18"/>
  <c r="AZ84" i="18"/>
  <c r="AZ75" i="18"/>
  <c r="AZ77" i="18"/>
  <c r="AZ79" i="18"/>
  <c r="AZ74" i="18"/>
  <c r="AZ76" i="18"/>
  <c r="DC12" i="18"/>
  <c r="EU12" i="18" s="1"/>
  <c r="AR34" i="18"/>
  <c r="AR40" i="18" s="1"/>
  <c r="BQ34" i="18"/>
  <c r="BQ40" i="18" s="1"/>
  <c r="DA44" i="18"/>
  <c r="E69" i="18"/>
  <c r="G73" i="18"/>
  <c r="J17" i="19"/>
  <c r="J23" i="19"/>
  <c r="BA6" i="18"/>
  <c r="BN90" i="18"/>
  <c r="BN82" i="18"/>
  <c r="BN81" i="18"/>
  <c r="BN80" i="18"/>
  <c r="BN83" i="18"/>
  <c r="BN73" i="18"/>
  <c r="BN88" i="18"/>
  <c r="BN87" i="18"/>
  <c r="BN86" i="18"/>
  <c r="BN85" i="18"/>
  <c r="BN84" i="18"/>
  <c r="BN77" i="18"/>
  <c r="BN79" i="18"/>
  <c r="BN74" i="18"/>
  <c r="BN76" i="18"/>
  <c r="I34" i="18"/>
  <c r="AG34" i="18"/>
  <c r="AG40" i="18" s="1"/>
  <c r="BN89" i="18"/>
  <c r="DC19" i="18"/>
  <c r="EU19" i="18" s="1"/>
  <c r="T35" i="18"/>
  <c r="T40" i="18" s="1"/>
  <c r="G75" i="18"/>
  <c r="W17" i="19"/>
  <c r="G72" i="18"/>
  <c r="BN78" i="18"/>
  <c r="J16" i="19"/>
  <c r="J22" i="19"/>
  <c r="DA69" i="18"/>
  <c r="E99" i="18"/>
  <c r="BM99" i="18"/>
  <c r="AK100" i="18"/>
  <c r="AY100" i="18"/>
  <c r="BM100" i="18"/>
  <c r="AY102" i="18"/>
  <c r="BM104" i="18"/>
  <c r="BM109" i="18" s="1"/>
  <c r="AY91" i="18"/>
  <c r="F104" i="18"/>
  <c r="F109" i="18" s="1"/>
  <c r="BM91" i="18"/>
  <c r="BX40" i="2"/>
  <c r="BR40" i="2"/>
  <c r="CP40" i="2"/>
  <c r="DB40" i="2"/>
  <c r="DN40" i="2"/>
  <c r="BN40" i="2"/>
  <c r="CI40" i="2"/>
  <c r="BP40" i="2"/>
  <c r="BJ40" i="2"/>
  <c r="CV40" i="2"/>
  <c r="DH40" i="2"/>
  <c r="BZ40" i="2"/>
  <c r="CL40" i="2"/>
  <c r="CX40" i="2"/>
  <c r="CA40" i="2"/>
  <c r="CM40" i="2"/>
  <c r="CY40" i="2"/>
  <c r="DK40" i="2"/>
  <c r="CT40" i="2"/>
  <c r="DF40" i="2"/>
  <c r="DU40" i="2"/>
  <c r="CN40" i="2"/>
  <c r="CZ40" i="2"/>
  <c r="DL40" i="2"/>
  <c r="DJ40" i="2"/>
  <c r="CH40" i="2"/>
  <c r="BE90" i="2"/>
  <c r="BF6" i="2"/>
  <c r="BD99" i="2"/>
  <c r="BD91" i="2"/>
  <c r="CG40" i="2"/>
  <c r="DX13" i="2"/>
  <c r="CB35" i="18"/>
  <c r="CB31" i="18"/>
  <c r="CB32" i="18" s="1"/>
  <c r="E100" i="2"/>
  <c r="E91" i="18"/>
  <c r="F102" i="18"/>
  <c r="DC23" i="18"/>
  <c r="EU23" i="18" s="1"/>
  <c r="DC24" i="18"/>
  <c r="EU24" i="18" s="1"/>
  <c r="E40" i="18"/>
  <c r="E41" i="18" s="1"/>
  <c r="U37" i="18"/>
  <c r="CD40" i="2"/>
  <c r="CB40" i="2"/>
  <c r="CE40" i="2"/>
  <c r="CC40" i="2"/>
  <c r="CF35" i="2"/>
  <c r="C18" i="17"/>
  <c r="C19" i="17" s="1"/>
  <c r="C20" i="17" s="1"/>
  <c r="C21" i="17" s="1"/>
  <c r="C22" i="17" s="1"/>
  <c r="C23" i="17" s="1"/>
  <c r="C24" i="17" s="1"/>
  <c r="C25" i="17" s="1"/>
  <c r="C26" i="17" s="1"/>
  <c r="C27" i="17" s="1"/>
  <c r="C28" i="17" s="1"/>
  <c r="C29" i="17" s="1"/>
  <c r="C30" i="17" s="1"/>
  <c r="C31" i="17" s="1"/>
  <c r="A657" i="17"/>
  <c r="A658" i="17"/>
  <c r="A663" i="17"/>
  <c r="A667" i="17"/>
  <c r="A671" i="17"/>
  <c r="A675" i="17"/>
  <c r="A679" i="17"/>
  <c r="A683" i="17"/>
  <c r="A687" i="17"/>
  <c r="A691" i="17"/>
  <c r="A695" i="17"/>
  <c r="A699" i="17"/>
  <c r="A703" i="17"/>
  <c r="A707" i="17"/>
  <c r="A711" i="17"/>
  <c r="A715" i="17"/>
  <c r="A719" i="17"/>
  <c r="A723" i="17"/>
  <c r="A727" i="17"/>
  <c r="A731" i="17"/>
  <c r="A664" i="17"/>
  <c r="A668" i="17"/>
  <c r="A672" i="17"/>
  <c r="A676" i="17"/>
  <c r="A680" i="17"/>
  <c r="A684" i="17"/>
  <c r="A688" i="17"/>
  <c r="A692" i="17"/>
  <c r="A696" i="17"/>
  <c r="A700" i="17"/>
  <c r="A704" i="17"/>
  <c r="A708" i="17"/>
  <c r="A712" i="17"/>
  <c r="A716" i="17"/>
  <c r="A720" i="17"/>
  <c r="A724" i="17"/>
  <c r="A728" i="17"/>
  <c r="AC31" i="2"/>
  <c r="AC32" i="2" s="1"/>
  <c r="DX14" i="2"/>
  <c r="E99" i="2"/>
  <c r="Y38" i="2"/>
  <c r="DX27" i="2"/>
  <c r="Y31" i="2"/>
  <c r="Y32" i="2" s="1"/>
  <c r="J31" i="2"/>
  <c r="J32" i="2" s="1"/>
  <c r="DX21" i="2"/>
  <c r="E101" i="2"/>
  <c r="F31" i="2"/>
  <c r="F32" i="2" s="1"/>
  <c r="E104" i="2"/>
  <c r="E40" i="2"/>
  <c r="E41" i="2" s="1"/>
  <c r="DC26" i="18"/>
  <c r="EU26" i="18" s="1"/>
  <c r="F91" i="18"/>
  <c r="H40" i="18"/>
  <c r="DC27" i="18"/>
  <c r="DC18" i="18"/>
  <c r="CL38" i="18"/>
  <c r="CL40" i="18" s="1"/>
  <c r="E102" i="18"/>
  <c r="CK31" i="18"/>
  <c r="CK32" i="18" s="1"/>
  <c r="Z31" i="18"/>
  <c r="CF40" i="18"/>
  <c r="U39" i="19"/>
  <c r="DX18" i="2"/>
  <c r="F37" i="2"/>
  <c r="DX39" i="2"/>
  <c r="BB31" i="2"/>
  <c r="BB32" i="2" s="1"/>
  <c r="AB35" i="2"/>
  <c r="DX17" i="2"/>
  <c r="DX23" i="2"/>
  <c r="AB31" i="2"/>
  <c r="AB32" i="2" s="1"/>
  <c r="F35" i="2"/>
  <c r="BB35" i="2"/>
  <c r="R31" i="2"/>
  <c r="R32" i="2" s="1"/>
  <c r="H31" i="2"/>
  <c r="H32" i="2" s="1"/>
  <c r="J36" i="2"/>
  <c r="R36" i="2"/>
  <c r="DX62" i="2"/>
  <c r="DC39" i="18"/>
  <c r="BE31" i="18"/>
  <c r="DC14" i="18"/>
  <c r="H31" i="18"/>
  <c r="DC15" i="18"/>
  <c r="CK38" i="18"/>
  <c r="Z36" i="18"/>
  <c r="DC36" i="18" s="1"/>
  <c r="EU20" i="18"/>
  <c r="R31" i="18"/>
  <c r="R32" i="18" s="1"/>
  <c r="CL31" i="18"/>
  <c r="DC17" i="18"/>
  <c r="E104" i="18"/>
  <c r="I35" i="18"/>
  <c r="R37" i="18"/>
  <c r="R40" i="18" s="1"/>
  <c r="E101" i="18"/>
  <c r="F101" i="18"/>
  <c r="AB38" i="23" l="1"/>
  <c r="AB66" i="23"/>
  <c r="AD103" i="21"/>
  <c r="AD108" i="21" s="1"/>
  <c r="I3" i="17"/>
  <c r="AD102" i="21"/>
  <c r="AD101" i="21"/>
  <c r="K33" i="22"/>
  <c r="AC107" i="21"/>
  <c r="AC110" i="21" s="1"/>
  <c r="AC105" i="21"/>
  <c r="AE95" i="21"/>
  <c r="AE69" i="21"/>
  <c r="AE43" i="21"/>
  <c r="AF96" i="21"/>
  <c r="AF70" i="21"/>
  <c r="AF44" i="21"/>
  <c r="AG9" i="21"/>
  <c r="AF8" i="21"/>
  <c r="AF3" i="21"/>
  <c r="AE89" i="21"/>
  <c r="AE88" i="21"/>
  <c r="AE87" i="21"/>
  <c r="AE82" i="21"/>
  <c r="AE86" i="21"/>
  <c r="AE84" i="21"/>
  <c r="AE85" i="21"/>
  <c r="AE83" i="21"/>
  <c r="AE81" i="21"/>
  <c r="AE75" i="21"/>
  <c r="AE80" i="21"/>
  <c r="AE78" i="21"/>
  <c r="AE79" i="21"/>
  <c r="AE77" i="21"/>
  <c r="AE73" i="21"/>
  <c r="AE72" i="21"/>
  <c r="AE74" i="21"/>
  <c r="AE76" i="21"/>
  <c r="AF6" i="21"/>
  <c r="AE92" i="21"/>
  <c r="AD99" i="21"/>
  <c r="AD91" i="21"/>
  <c r="AD100" i="21"/>
  <c r="AD104" i="21"/>
  <c r="AD109" i="21" s="1"/>
  <c r="H86" i="18"/>
  <c r="Q10" i="19"/>
  <c r="H76" i="18"/>
  <c r="H87" i="18"/>
  <c r="H75" i="18"/>
  <c r="H82" i="18"/>
  <c r="I6" i="18"/>
  <c r="I77" i="18" s="1"/>
  <c r="V20" i="19"/>
  <c r="H89" i="18"/>
  <c r="H72" i="18"/>
  <c r="H85" i="18"/>
  <c r="H77" i="18"/>
  <c r="H73" i="18"/>
  <c r="H92" i="18"/>
  <c r="H80" i="18"/>
  <c r="H84" i="18"/>
  <c r="H88" i="18"/>
  <c r="P10" i="19"/>
  <c r="H78" i="18"/>
  <c r="H74" i="18"/>
  <c r="H83" i="18"/>
  <c r="H79" i="18"/>
  <c r="K20" i="17"/>
  <c r="H9" i="18"/>
  <c r="H70" i="18" s="1"/>
  <c r="V15" i="19"/>
  <c r="AM81" i="18"/>
  <c r="AN6" i="18"/>
  <c r="AN81" i="18" s="1"/>
  <c r="AM82" i="18"/>
  <c r="AM92" i="18"/>
  <c r="AM78" i="18"/>
  <c r="AM89" i="18"/>
  <c r="AM74" i="18"/>
  <c r="AM72" i="18"/>
  <c r="AM77" i="18"/>
  <c r="AM79" i="18"/>
  <c r="AM75" i="18"/>
  <c r="AM86" i="18"/>
  <c r="AM87" i="18"/>
  <c r="AM88" i="18"/>
  <c r="AM73" i="18"/>
  <c r="E91" i="2"/>
  <c r="BB40" i="2"/>
  <c r="DX38" i="2"/>
  <c r="AM85" i="18"/>
  <c r="U32" i="19"/>
  <c r="AN83" i="2"/>
  <c r="AN87" i="2"/>
  <c r="AN86" i="2"/>
  <c r="AN82" i="2"/>
  <c r="AN85" i="2"/>
  <c r="AN81" i="2"/>
  <c r="AN89" i="2"/>
  <c r="AN80" i="2"/>
  <c r="AN84" i="2"/>
  <c r="AN88" i="2"/>
  <c r="AN72" i="2"/>
  <c r="AN77" i="2"/>
  <c r="AN76" i="2"/>
  <c r="AN75" i="2"/>
  <c r="AN79" i="2"/>
  <c r="AN74" i="2"/>
  <c r="AN73" i="2"/>
  <c r="AN78" i="2"/>
  <c r="DX33" i="2"/>
  <c r="V23" i="19"/>
  <c r="G86" i="2"/>
  <c r="G82" i="2"/>
  <c r="G81" i="2"/>
  <c r="G85" i="2"/>
  <c r="G89" i="2"/>
  <c r="G84" i="2"/>
  <c r="G88" i="2"/>
  <c r="G87" i="2"/>
  <c r="G83" i="2"/>
  <c r="G76" i="2"/>
  <c r="G75" i="2"/>
  <c r="G74" i="2"/>
  <c r="G79" i="2"/>
  <c r="G73" i="2"/>
  <c r="G78" i="2"/>
  <c r="G80" i="2"/>
  <c r="G72" i="2"/>
  <c r="G77" i="2"/>
  <c r="BF85" i="2"/>
  <c r="BF81" i="2"/>
  <c r="BF89" i="2"/>
  <c r="BF80" i="2"/>
  <c r="BF84" i="2"/>
  <c r="BF88" i="2"/>
  <c r="BF83" i="2"/>
  <c r="BF87" i="2"/>
  <c r="BF86" i="2"/>
  <c r="BF82" i="2"/>
  <c r="BF75" i="2"/>
  <c r="BF74" i="2"/>
  <c r="BF79" i="2"/>
  <c r="BF73" i="2"/>
  <c r="BF78" i="2"/>
  <c r="BF72" i="2"/>
  <c r="BF77" i="2"/>
  <c r="BF76" i="2"/>
  <c r="AM83" i="18"/>
  <c r="R35" i="19"/>
  <c r="V35" i="19" s="1"/>
  <c r="AM80" i="18"/>
  <c r="V18" i="19"/>
  <c r="L21" i="1"/>
  <c r="M21" i="1" s="1"/>
  <c r="AM84" i="18"/>
  <c r="AC5" i="17"/>
  <c r="BU40" i="2"/>
  <c r="E109" i="2"/>
  <c r="AL108" i="2"/>
  <c r="BD109" i="2"/>
  <c r="AL109" i="2"/>
  <c r="BD108" i="2"/>
  <c r="BO85" i="18"/>
  <c r="G92" i="2"/>
  <c r="G104" i="18"/>
  <c r="G109" i="18" s="1"/>
  <c r="E92" i="18"/>
  <c r="G44" i="18"/>
  <c r="S18" i="19"/>
  <c r="I72" i="18"/>
  <c r="N8" i="19"/>
  <c r="P8" i="19"/>
  <c r="M10" i="19"/>
  <c r="O8" i="19"/>
  <c r="N10" i="19"/>
  <c r="M8" i="19"/>
  <c r="H41" i="18"/>
  <c r="G101" i="18"/>
  <c r="G102" i="18"/>
  <c r="F104" i="2"/>
  <c r="AL102" i="18"/>
  <c r="F43" i="2"/>
  <c r="F103" i="2"/>
  <c r="F69" i="2"/>
  <c r="AE41" i="18"/>
  <c r="L22" i="1"/>
  <c r="M22" i="1" s="1"/>
  <c r="AL104" i="18"/>
  <c r="AL109" i="18" s="1"/>
  <c r="AM103" i="2"/>
  <c r="G91" i="18"/>
  <c r="AL101" i="18"/>
  <c r="K41" i="18"/>
  <c r="AM101" i="2"/>
  <c r="F101" i="2"/>
  <c r="BO73" i="18"/>
  <c r="G41" i="18"/>
  <c r="AO6" i="2"/>
  <c r="BO81" i="18"/>
  <c r="BO88" i="18"/>
  <c r="F99" i="2"/>
  <c r="BO72" i="18"/>
  <c r="BO82" i="18"/>
  <c r="BO83" i="18"/>
  <c r="Z41" i="2"/>
  <c r="AF41" i="2"/>
  <c r="DC34" i="18"/>
  <c r="BO90" i="18"/>
  <c r="E107" i="2"/>
  <c r="BO78" i="18"/>
  <c r="BO86" i="18"/>
  <c r="BO87" i="18"/>
  <c r="BO92" i="18"/>
  <c r="BO89" i="18"/>
  <c r="I26" i="1"/>
  <c r="L26" i="1" s="1"/>
  <c r="X41" i="2"/>
  <c r="BO80" i="18"/>
  <c r="F105" i="18"/>
  <c r="CB40" i="18"/>
  <c r="BP6" i="18"/>
  <c r="BP76" i="18" s="1"/>
  <c r="BO76" i="18"/>
  <c r="BN99" i="18"/>
  <c r="AZ100" i="18"/>
  <c r="Q12" i="19"/>
  <c r="AM99" i="2"/>
  <c r="BO79" i="18"/>
  <c r="BO77" i="18"/>
  <c r="N12" i="19"/>
  <c r="P12" i="19"/>
  <c r="L41" i="2"/>
  <c r="M12" i="19"/>
  <c r="BO75" i="18"/>
  <c r="AN92" i="2"/>
  <c r="AE41" i="2"/>
  <c r="BN100" i="18"/>
  <c r="I41" i="2"/>
  <c r="BO84" i="18"/>
  <c r="AZ103" i="18"/>
  <c r="AZ108" i="18" s="1"/>
  <c r="G96" i="18"/>
  <c r="G8" i="18"/>
  <c r="E105" i="2"/>
  <c r="F41" i="18"/>
  <c r="I40" i="18"/>
  <c r="I92" i="18" s="1"/>
  <c r="L39" i="19"/>
  <c r="J41" i="18"/>
  <c r="T41" i="18"/>
  <c r="T41" i="2"/>
  <c r="G99" i="18"/>
  <c r="AZ101" i="18"/>
  <c r="Q13" i="19"/>
  <c r="P13" i="19"/>
  <c r="O13" i="19"/>
  <c r="N13" i="19"/>
  <c r="M13" i="19"/>
  <c r="Q9" i="19"/>
  <c r="P9" i="19"/>
  <c r="O9" i="19"/>
  <c r="N9" i="19"/>
  <c r="M9" i="19"/>
  <c r="AQ40" i="2"/>
  <c r="S41" i="2"/>
  <c r="AD41" i="2"/>
  <c r="BN91" i="18"/>
  <c r="X41" i="18"/>
  <c r="I88" i="18"/>
  <c r="I87" i="18"/>
  <c r="I85" i="18"/>
  <c r="I78" i="18"/>
  <c r="I80" i="18"/>
  <c r="I83" i="18"/>
  <c r="I82" i="18"/>
  <c r="I81" i="18"/>
  <c r="I84" i="18"/>
  <c r="I73" i="18"/>
  <c r="I74" i="18"/>
  <c r="J6" i="18"/>
  <c r="J92" i="18" s="1"/>
  <c r="BA90" i="18"/>
  <c r="BA82" i="18"/>
  <c r="BA81" i="18"/>
  <c r="BA80" i="18"/>
  <c r="BA83" i="18"/>
  <c r="BA88" i="18"/>
  <c r="BA87" i="18"/>
  <c r="BA86" i="18"/>
  <c r="BA85" i="18"/>
  <c r="BA84" i="18"/>
  <c r="BA77" i="18"/>
  <c r="BA79" i="18"/>
  <c r="BA74" i="18"/>
  <c r="BA72" i="18"/>
  <c r="BA89" i="18"/>
  <c r="BA78" i="18"/>
  <c r="BB6" i="18"/>
  <c r="BA73" i="18"/>
  <c r="BA76" i="18"/>
  <c r="BA75" i="18"/>
  <c r="P7" i="19"/>
  <c r="O7" i="19"/>
  <c r="N7" i="19"/>
  <c r="M7" i="19"/>
  <c r="Q7" i="19"/>
  <c r="G96" i="2"/>
  <c r="G70" i="2"/>
  <c r="H9" i="2"/>
  <c r="G3" i="2"/>
  <c r="G8" i="2"/>
  <c r="G44" i="2"/>
  <c r="AN84" i="18"/>
  <c r="AN77" i="18"/>
  <c r="AN79" i="18"/>
  <c r="AN74" i="18"/>
  <c r="AM102" i="2"/>
  <c r="AM91" i="2"/>
  <c r="BN103" i="18"/>
  <c r="BN108" i="18" s="1"/>
  <c r="O23" i="19"/>
  <c r="N23" i="19"/>
  <c r="M23" i="19"/>
  <c r="P23" i="19"/>
  <c r="Q23" i="19"/>
  <c r="H96" i="18"/>
  <c r="I9" i="18"/>
  <c r="H44" i="18"/>
  <c r="H8" i="18"/>
  <c r="AK105" i="18"/>
  <c r="AK107" i="18"/>
  <c r="AK110" i="18" s="1"/>
  <c r="Q11" i="19"/>
  <c r="P11" i="19"/>
  <c r="O11" i="19"/>
  <c r="N11" i="19"/>
  <c r="M11" i="19"/>
  <c r="G100" i="18"/>
  <c r="AL105" i="2"/>
  <c r="AL107" i="2"/>
  <c r="H6" i="2"/>
  <c r="Q22" i="19"/>
  <c r="P22" i="19"/>
  <c r="O22" i="19"/>
  <c r="M22" i="19"/>
  <c r="N22" i="19"/>
  <c r="AZ99" i="18"/>
  <c r="AZ91" i="18"/>
  <c r="G103" i="18"/>
  <c r="G108" i="18" s="1"/>
  <c r="AM104" i="2"/>
  <c r="Q16" i="19"/>
  <c r="P16" i="19"/>
  <c r="O16" i="19"/>
  <c r="M16" i="19"/>
  <c r="N16" i="19"/>
  <c r="BN104" i="18"/>
  <c r="BN109" i="18" s="1"/>
  <c r="AL99" i="18"/>
  <c r="AL91" i="18"/>
  <c r="AL100" i="18"/>
  <c r="AY105" i="18"/>
  <c r="AY107" i="18"/>
  <c r="AY110" i="18" s="1"/>
  <c r="J26" i="1"/>
  <c r="J32" i="1" s="1"/>
  <c r="F95" i="18"/>
  <c r="F69" i="18"/>
  <c r="F43" i="18"/>
  <c r="M20" i="1"/>
  <c r="BN102" i="18"/>
  <c r="AZ104" i="18"/>
  <c r="AZ109" i="18" s="1"/>
  <c r="AM100" i="2"/>
  <c r="BM105" i="18"/>
  <c r="BM107" i="18"/>
  <c r="BM110" i="18" s="1"/>
  <c r="C698" i="17"/>
  <c r="C699" i="17" s="1"/>
  <c r="C700" i="17" s="1"/>
  <c r="C701" i="17" s="1"/>
  <c r="C702" i="17" s="1"/>
  <c r="C703" i="17" s="1"/>
  <c r="C704" i="17" s="1"/>
  <c r="C705" i="17" s="1"/>
  <c r="C706" i="17" s="1"/>
  <c r="C707" i="17" s="1"/>
  <c r="C708" i="17" s="1"/>
  <c r="C709" i="17" s="1"/>
  <c r="C710" i="17" s="1"/>
  <c r="C711" i="17" s="1"/>
  <c r="C712" i="17" s="1"/>
  <c r="C713" i="17" s="1"/>
  <c r="C714" i="17" s="1"/>
  <c r="C715" i="17" s="1"/>
  <c r="C716" i="17" s="1"/>
  <c r="C717" i="17" s="1"/>
  <c r="C718" i="17" s="1"/>
  <c r="C719" i="17" s="1"/>
  <c r="C720" i="17" s="1"/>
  <c r="C721" i="17" s="1"/>
  <c r="C722" i="17" s="1"/>
  <c r="C723" i="17" s="1"/>
  <c r="C724" i="17" s="1"/>
  <c r="C725" i="17" s="1"/>
  <c r="C726" i="17" s="1"/>
  <c r="C727" i="17" s="1"/>
  <c r="C728" i="17" s="1"/>
  <c r="C729" i="17" s="1"/>
  <c r="C730" i="17" s="1"/>
  <c r="C731" i="17" s="1"/>
  <c r="C732" i="17" s="1"/>
  <c r="C733" i="17" s="1"/>
  <c r="C734" i="17" s="1"/>
  <c r="C735" i="17" s="1"/>
  <c r="C736" i="17" s="1"/>
  <c r="C737" i="17" s="1"/>
  <c r="C738" i="17" s="1"/>
  <c r="C739" i="17" s="1"/>
  <c r="C740" i="17" s="1"/>
  <c r="C741" i="17" s="1"/>
  <c r="C742" i="17" s="1"/>
  <c r="BN101" i="18"/>
  <c r="AZ102" i="18"/>
  <c r="AL103" i="18"/>
  <c r="AL108" i="18" s="1"/>
  <c r="Q14" i="19"/>
  <c r="P14" i="19"/>
  <c r="O14" i="19"/>
  <c r="N14" i="19"/>
  <c r="M14" i="19"/>
  <c r="BA92" i="18"/>
  <c r="BE103" i="2"/>
  <c r="BE99" i="2"/>
  <c r="BE91" i="2"/>
  <c r="BE102" i="2"/>
  <c r="BE104" i="2"/>
  <c r="BD105" i="2"/>
  <c r="BD107" i="2"/>
  <c r="BE100" i="2"/>
  <c r="BF92" i="2"/>
  <c r="BF90" i="2"/>
  <c r="BG6" i="2"/>
  <c r="BE101" i="2"/>
  <c r="Y40" i="2"/>
  <c r="Y41" i="2" s="1"/>
  <c r="U40" i="18"/>
  <c r="E105" i="18"/>
  <c r="CF40" i="2"/>
  <c r="EU18" i="18"/>
  <c r="DX36" i="2"/>
  <c r="Z32" i="18"/>
  <c r="F40" i="2"/>
  <c r="F92" i="2" s="1"/>
  <c r="J40" i="2"/>
  <c r="AC40" i="2"/>
  <c r="EU27" i="18"/>
  <c r="R41" i="18"/>
  <c r="E109" i="18"/>
  <c r="CL32" i="18"/>
  <c r="F107" i="18"/>
  <c r="F110" i="18" s="1"/>
  <c r="Z40" i="18"/>
  <c r="F102" i="2"/>
  <c r="EU14" i="18"/>
  <c r="DC30" i="18"/>
  <c r="AB40" i="2"/>
  <c r="EU17" i="18"/>
  <c r="BE32" i="18"/>
  <c r="CK40" i="18"/>
  <c r="H40" i="2"/>
  <c r="DC38" i="18"/>
  <c r="EU15" i="18"/>
  <c r="E108" i="2"/>
  <c r="DC31" i="18"/>
  <c r="H32" i="18"/>
  <c r="E92" i="2"/>
  <c r="DX66" i="2"/>
  <c r="R40" i="2"/>
  <c r="DC37" i="18"/>
  <c r="E107" i="18"/>
  <c r="F91" i="2"/>
  <c r="F100" i="2"/>
  <c r="DX37" i="2"/>
  <c r="DX34" i="2"/>
  <c r="DC35" i="18"/>
  <c r="EQ86" i="18"/>
  <c r="FE77" i="2"/>
  <c r="EQ109" i="18"/>
  <c r="EP38" i="18"/>
  <c r="EP52" i="18"/>
  <c r="O16" i="17"/>
  <c r="FK26" i="2"/>
  <c r="FK12" i="2"/>
  <c r="H36" i="12" a="1"/>
  <c r="EN85" i="18"/>
  <c r="FE21" i="2"/>
  <c r="P20" i="17"/>
  <c r="T6" i="17"/>
  <c r="S15" i="17"/>
  <c r="FK77" i="2"/>
  <c r="H45" i="12" a="1"/>
  <c r="EO22" i="18"/>
  <c r="EP74" i="18"/>
  <c r="FE20" i="2"/>
  <c r="I63" i="12"/>
  <c r="O15" i="17"/>
  <c r="EJ14" i="18"/>
  <c r="EL57" i="18"/>
  <c r="O12" i="17"/>
  <c r="EQ37" i="18"/>
  <c r="EJ37" i="18"/>
  <c r="FL99" i="2"/>
  <c r="Q7" i="17"/>
  <c r="EK62" i="18"/>
  <c r="EL39" i="18"/>
  <c r="EQ26" i="18"/>
  <c r="H35" i="12" a="1"/>
  <c r="EO84" i="18"/>
  <c r="C32" i="12"/>
  <c r="EN73" i="18"/>
  <c r="EO74" i="18"/>
  <c r="EM59" i="18"/>
  <c r="EP15" i="18"/>
  <c r="EK54" i="18"/>
  <c r="FK101" i="2"/>
  <c r="EL28" i="18"/>
  <c r="EQ89" i="18"/>
  <c r="FE28" i="2"/>
  <c r="EM37" i="18"/>
  <c r="FE25" i="2"/>
  <c r="EP57" i="18"/>
  <c r="Q16" i="17"/>
  <c r="EL37" i="18"/>
  <c r="FE23" i="2"/>
  <c r="FK59" i="2"/>
  <c r="EO56" i="18"/>
  <c r="O17" i="17"/>
  <c r="FL48" i="2"/>
  <c r="EQ99" i="18"/>
  <c r="C81" i="12"/>
  <c r="P12" i="17"/>
  <c r="FK88" i="2"/>
  <c r="EN101" i="18"/>
  <c r="N7" i="17"/>
  <c r="EM19" i="18"/>
  <c r="EQ38" i="18"/>
  <c r="H37" i="12" a="1"/>
  <c r="EL22" i="18"/>
  <c r="EQ79" i="18"/>
  <c r="EQ60" i="18"/>
  <c r="FE84" i="2"/>
  <c r="EK19" i="18"/>
  <c r="EN48" i="18"/>
  <c r="FL27" i="2"/>
  <c r="EJ18" i="18"/>
  <c r="P17" i="17"/>
  <c r="EP51" i="18"/>
  <c r="EO19" i="18"/>
  <c r="H60" i="12" a="1"/>
  <c r="FE16" i="2"/>
  <c r="EM53" i="18"/>
  <c r="FK87" i="2"/>
  <c r="FL82" i="2"/>
  <c r="EJ48" i="18"/>
  <c r="EJ51" i="18"/>
  <c r="EK52" i="18"/>
  <c r="FE85" i="2"/>
  <c r="EP86" i="18"/>
  <c r="EN109" i="18"/>
  <c r="EM38" i="18"/>
  <c r="L30" i="12"/>
  <c r="FK110" i="2"/>
  <c r="EP58" i="18"/>
  <c r="EN28" i="18"/>
  <c r="EJ59" i="18"/>
  <c r="FL107" i="2"/>
  <c r="EQ49" i="18"/>
  <c r="R16" i="17"/>
  <c r="FK47" i="2"/>
  <c r="EO26" i="18"/>
  <c r="EO15" i="18"/>
  <c r="EM29" i="18"/>
  <c r="FL51" i="2"/>
  <c r="FL36" i="2"/>
  <c r="FK14" i="2"/>
  <c r="EP77" i="18"/>
  <c r="EO28" i="18"/>
  <c r="O18" i="17"/>
  <c r="EO73" i="18"/>
  <c r="EN35" i="18"/>
  <c r="H70" i="12" a="1"/>
  <c r="P32" i="22"/>
  <c r="FL13" i="2"/>
  <c r="FE101" i="2"/>
  <c r="EP79" i="18"/>
  <c r="EO52" i="18"/>
  <c r="EO80" i="18"/>
  <c r="EN38" i="18"/>
  <c r="FE72" i="2"/>
  <c r="EP81" i="18"/>
  <c r="S16" i="17"/>
  <c r="FE73" i="2"/>
  <c r="O6" i="17"/>
  <c r="K30" i="12"/>
  <c r="FK23" i="2"/>
  <c r="FK49" i="2"/>
  <c r="EL24" i="18"/>
  <c r="EL25" i="18"/>
  <c r="FK21" i="2"/>
  <c r="N64" i="12"/>
  <c r="H63" i="12" a="1"/>
  <c r="EM18" i="18"/>
  <c r="H54" i="12" a="1"/>
  <c r="EM47" i="18"/>
  <c r="EK37" i="18"/>
  <c r="EQ58" i="18"/>
  <c r="Q17" i="17"/>
  <c r="EQ18" i="18"/>
  <c r="EQ48" i="18"/>
  <c r="EP31" i="18"/>
  <c r="M5" i="17"/>
  <c r="EP59" i="18"/>
  <c r="FL19" i="2"/>
  <c r="EK36" i="18"/>
  <c r="FK56" i="2"/>
  <c r="EN49" i="18"/>
  <c r="H38" i="12" a="1"/>
  <c r="EL26" i="18"/>
  <c r="EJ24" i="18"/>
  <c r="EO108" i="18"/>
  <c r="T16" i="17"/>
  <c r="EN58" i="18"/>
  <c r="EK47" i="18"/>
  <c r="FE14" i="2"/>
  <c r="FE39" i="2"/>
  <c r="FL22" i="2"/>
  <c r="FL91" i="2"/>
  <c r="J63" i="12"/>
  <c r="FE22" i="2"/>
  <c r="O19" i="17"/>
  <c r="EO104" i="18"/>
  <c r="P31" i="22"/>
  <c r="L64" i="12"/>
  <c r="FE107" i="2"/>
  <c r="C31" i="12"/>
  <c r="T9" i="17"/>
  <c r="EQ53" i="18"/>
  <c r="EL48" i="18"/>
  <c r="EP104" i="18"/>
  <c r="EQ81" i="18"/>
  <c r="FK60" i="2"/>
  <c r="EK55" i="18"/>
  <c r="N13" i="17"/>
  <c r="FE88" i="2"/>
  <c r="FE35" i="2"/>
  <c r="I31" i="12"/>
  <c r="FE83" i="2"/>
  <c r="EP16" i="18"/>
  <c r="EQ62" i="18"/>
  <c r="EQ36" i="18"/>
  <c r="C65" i="12"/>
  <c r="EQ40" i="18"/>
  <c r="EN13" i="18"/>
  <c r="EO110" i="18"/>
  <c r="EK16" i="18"/>
  <c r="EK38" i="18"/>
  <c r="P7" i="17"/>
  <c r="FE76" i="2"/>
  <c r="FK25" i="2"/>
  <c r="EN47" i="18"/>
  <c r="EM56" i="18"/>
  <c r="EM40" i="18"/>
  <c r="P11" i="17"/>
  <c r="EQ76" i="18"/>
  <c r="FK78" i="2"/>
  <c r="EP82" i="18"/>
  <c r="EP25" i="18"/>
  <c r="EQ72" i="18"/>
  <c r="EJ28" i="18"/>
  <c r="FE59" i="2"/>
  <c r="EO82" i="18"/>
  <c r="EO81" i="18"/>
  <c r="FE51" i="2"/>
  <c r="EJ16" i="18"/>
  <c r="I81" i="12"/>
  <c r="EO109" i="18"/>
  <c r="FK107" i="2"/>
  <c r="O10" i="17"/>
  <c r="FL57" i="2"/>
  <c r="H59" i="12" a="1"/>
  <c r="EK26" i="18"/>
  <c r="EO89" i="18"/>
  <c r="N14" i="17"/>
  <c r="FE91" i="2"/>
  <c r="C63" i="12"/>
  <c r="FL29" i="2"/>
  <c r="FL59" i="2"/>
  <c r="EJ17" i="18"/>
  <c r="EO75" i="18"/>
  <c r="EO91" i="18"/>
  <c r="EP72" i="18"/>
  <c r="FL108" i="2"/>
  <c r="EL21" i="18"/>
  <c r="M13" i="17"/>
  <c r="FK37" i="2"/>
  <c r="EQ82" i="18"/>
  <c r="EO53" i="18"/>
  <c r="O14" i="17"/>
  <c r="EP84" i="18"/>
  <c r="EN56" i="18"/>
  <c r="FK81" i="2"/>
  <c r="K63" i="12"/>
  <c r="EO88" i="18"/>
  <c r="EK23" i="18"/>
  <c r="EK24" i="18"/>
  <c r="EO57" i="18"/>
  <c r="EM58" i="18"/>
  <c r="EN99" i="18"/>
  <c r="EJ38" i="18"/>
  <c r="EO58" i="18"/>
  <c r="O20" i="17"/>
  <c r="L31" i="12"/>
  <c r="H62" i="12" a="1"/>
  <c r="EP75" i="18"/>
  <c r="EN20" i="18"/>
  <c r="FL62" i="2"/>
  <c r="T17" i="17"/>
  <c r="EL50" i="18"/>
  <c r="EO87" i="18"/>
  <c r="FK61" i="2"/>
  <c r="FE81" i="2"/>
  <c r="EL27" i="18"/>
  <c r="S14" i="17"/>
  <c r="EN16" i="18"/>
  <c r="R5" i="17"/>
  <c r="FE24" i="2"/>
  <c r="EP40" i="18"/>
  <c r="K64" i="12"/>
  <c r="EJ22" i="18"/>
  <c r="FL24" i="2"/>
  <c r="EO35" i="18"/>
  <c r="FE108" i="2"/>
  <c r="FE37" i="2"/>
  <c r="EP20" i="18"/>
  <c r="EK56" i="18"/>
  <c r="FK57" i="2"/>
  <c r="EQ101" i="18"/>
  <c r="EL56" i="18"/>
  <c r="FK105" i="2"/>
  <c r="G31" i="12" a="1"/>
  <c r="T15" i="17"/>
  <c r="EL47" i="18"/>
  <c r="EN17" i="18"/>
  <c r="R11" i="17"/>
  <c r="EM26" i="18"/>
  <c r="EP19" i="18"/>
  <c r="S17" i="17"/>
  <c r="EQ22" i="18"/>
  <c r="FL100" i="2"/>
  <c r="EN12" i="18"/>
  <c r="S8" i="17"/>
  <c r="FE31" i="2"/>
  <c r="EJ61" i="18"/>
  <c r="J30" i="12"/>
  <c r="FK24" i="2"/>
  <c r="EQ110" i="18"/>
  <c r="EP100" i="18"/>
  <c r="EK27" i="18"/>
  <c r="Q12" i="17"/>
  <c r="H67" i="12" a="1"/>
  <c r="FL39" i="2"/>
  <c r="H50" i="12" a="1"/>
  <c r="EK25" i="18"/>
  <c r="FE15" i="2"/>
  <c r="FK82" i="2"/>
  <c r="S6" i="17"/>
  <c r="J31" i="12"/>
  <c r="EJ31" i="18"/>
  <c r="EN37" i="18"/>
  <c r="EM23" i="18"/>
  <c r="FK28" i="2"/>
  <c r="FL89" i="2"/>
  <c r="FK72" i="2"/>
  <c r="EQ83" i="18"/>
  <c r="J64" i="12"/>
  <c r="EQ107" i="18"/>
  <c r="P10" i="17"/>
  <c r="EQ19" i="18"/>
  <c r="FE75" i="2"/>
  <c r="EP37" i="18"/>
  <c r="EN40" i="18"/>
  <c r="EP87" i="18"/>
  <c r="FE55" i="2"/>
  <c r="EQ104" i="18"/>
  <c r="EP78" i="18"/>
  <c r="EJ13" i="18"/>
  <c r="EK20" i="18"/>
  <c r="EO37" i="18"/>
  <c r="EQ59" i="18"/>
  <c r="T5" i="17"/>
  <c r="P15" i="17"/>
  <c r="FE19" i="2"/>
  <c r="FL72" i="2"/>
  <c r="EL51" i="18"/>
  <c r="FE78" i="2"/>
  <c r="H43" i="12" a="1"/>
  <c r="FL25" i="2"/>
  <c r="Q5" i="17"/>
  <c r="EQ39" i="18"/>
  <c r="O8" i="17"/>
  <c r="EJ15" i="18"/>
  <c r="EK13" i="18"/>
  <c r="EO62" i="18"/>
  <c r="EP73" i="18"/>
  <c r="FL60" i="2"/>
  <c r="FE18" i="2"/>
  <c r="C83" i="12"/>
  <c r="EP18" i="18"/>
  <c r="N63" i="12"/>
  <c r="EP12" i="18"/>
  <c r="EP105" i="18"/>
  <c r="EP55" i="18"/>
  <c r="EN26" i="18"/>
  <c r="EO27" i="18"/>
  <c r="FL23" i="2"/>
  <c r="EO77" i="18"/>
  <c r="EQ20" i="18"/>
  <c r="EJ27" i="18"/>
  <c r="EQ105" i="18"/>
  <c r="EQ80" i="18"/>
  <c r="EL13" i="18"/>
  <c r="EP89" i="18"/>
  <c r="J82" i="12"/>
  <c r="P14" i="17"/>
  <c r="N6" i="17"/>
  <c r="EK57" i="18"/>
  <c r="EN82" i="18"/>
  <c r="EM52" i="18"/>
  <c r="EO105" i="18"/>
  <c r="EQ56" i="18"/>
  <c r="M8" i="17"/>
  <c r="EP83" i="18"/>
  <c r="EO60" i="18"/>
  <c r="S11" i="17"/>
  <c r="Q6" i="17"/>
  <c r="EJ53" i="18"/>
  <c r="H65" i="12" a="1"/>
  <c r="R8" i="17"/>
  <c r="FK18" i="2"/>
  <c r="N82" i="12"/>
  <c r="R9" i="17"/>
  <c r="S7" i="17"/>
  <c r="EJ58" i="18"/>
  <c r="EL23" i="18"/>
  <c r="H32" i="12" a="1"/>
  <c r="EJ34" i="18"/>
  <c r="FK48" i="2"/>
  <c r="EP60" i="18"/>
  <c r="EP27" i="18"/>
  <c r="EK31" i="18"/>
  <c r="EN88" i="18"/>
  <c r="EO76" i="18"/>
  <c r="P18" i="17"/>
  <c r="EO86" i="18"/>
  <c r="EQ75" i="18"/>
  <c r="EM55" i="18"/>
  <c r="EJ62" i="18"/>
  <c r="EO79" i="18"/>
  <c r="H42" i="12" a="1"/>
  <c r="EQ50" i="18"/>
  <c r="EP101" i="18"/>
  <c r="O13" i="17"/>
  <c r="FK52" i="2"/>
  <c r="EK48" i="18"/>
  <c r="EN75" i="18"/>
  <c r="P9" i="17"/>
  <c r="EN74" i="18"/>
  <c r="EM25" i="18"/>
  <c r="EJ54" i="18"/>
  <c r="FK50" i="2"/>
  <c r="EO18" i="18"/>
  <c r="EN81" i="18"/>
  <c r="H40" i="12" a="1"/>
  <c r="EN19" i="18"/>
  <c r="EQ29" i="18"/>
  <c r="H58" i="12" a="1"/>
  <c r="EQ57" i="18"/>
  <c r="EL38" i="18"/>
  <c r="R12" i="17"/>
  <c r="FK53" i="2"/>
  <c r="EK29" i="18"/>
  <c r="S18" i="17"/>
  <c r="EN31" i="18"/>
  <c r="FL79" i="2"/>
  <c r="EP91" i="18"/>
  <c r="FL15" i="2"/>
  <c r="EQ100" i="18"/>
  <c r="FE49" i="2"/>
  <c r="EQ108" i="18"/>
  <c r="EK39" i="18"/>
  <c r="EK58" i="18"/>
  <c r="FK15" i="2"/>
  <c r="P16" i="17"/>
  <c r="EM24" i="18"/>
  <c r="H57" i="12" a="1"/>
  <c r="FK40" i="2"/>
  <c r="FL53" i="2"/>
  <c r="FK83" i="2"/>
  <c r="EL54" i="18"/>
  <c r="FK29" i="2"/>
  <c r="EN54" i="18"/>
  <c r="FK17" i="2"/>
  <c r="FK84" i="2"/>
  <c r="EL18" i="18"/>
  <c r="EP13" i="18"/>
  <c r="FK86" i="2"/>
  <c r="EQ73" i="18"/>
  <c r="EL31" i="18"/>
  <c r="EP39" i="18"/>
  <c r="H69" i="12" a="1"/>
  <c r="FL110" i="2"/>
  <c r="EJ19" i="18"/>
  <c r="FL20" i="2"/>
  <c r="T11" i="17"/>
  <c r="FK13" i="2"/>
  <c r="EQ88" i="18"/>
  <c r="EN62" i="18"/>
  <c r="FK54" i="2"/>
  <c r="FL18" i="2"/>
  <c r="EN29" i="18"/>
  <c r="P6" i="17"/>
  <c r="FK99" i="2"/>
  <c r="EO29" i="18"/>
  <c r="FE104" i="2"/>
  <c r="P63" i="12"/>
  <c r="O5" i="17"/>
  <c r="EL29" i="18"/>
  <c r="M12" i="17"/>
  <c r="C66" i="12"/>
  <c r="FL73" i="2"/>
  <c r="H30" i="12" a="1"/>
  <c r="M16" i="17"/>
  <c r="EK14" i="18"/>
  <c r="EN27" i="18"/>
  <c r="EN77" i="18"/>
  <c r="EQ85" i="18"/>
  <c r="EL35" i="18"/>
  <c r="M63" i="12"/>
  <c r="FE62" i="2"/>
  <c r="FL40" i="2"/>
  <c r="T10" i="17"/>
  <c r="FL104" i="2"/>
  <c r="FL54" i="2"/>
  <c r="H64" i="12" a="1"/>
  <c r="S12" i="17"/>
  <c r="EN60" i="18"/>
  <c r="EM50" i="18"/>
  <c r="FL88" i="2"/>
  <c r="EK17" i="18"/>
  <c r="EM31" i="18"/>
  <c r="FK104" i="2"/>
  <c r="N31" i="12"/>
  <c r="FE86" i="2"/>
  <c r="FE89" i="2"/>
  <c r="EQ54" i="18"/>
  <c r="EO12" i="18"/>
  <c r="EM48" i="18"/>
  <c r="FL12" i="2"/>
  <c r="EQ84" i="18"/>
  <c r="EL17" i="18"/>
  <c r="C82" i="12"/>
  <c r="EQ35" i="18"/>
  <c r="EN24" i="18"/>
  <c r="FE12" i="2"/>
  <c r="FL17" i="2"/>
  <c r="H41" i="12" a="1"/>
  <c r="EL55" i="18"/>
  <c r="FE13" i="2"/>
  <c r="EN80" i="18"/>
  <c r="S13" i="17"/>
  <c r="FL78" i="2"/>
  <c r="EO39" i="18"/>
  <c r="EN15" i="18"/>
  <c r="EJ29" i="18"/>
  <c r="EQ87" i="18"/>
  <c r="EL15" i="18"/>
  <c r="FE87" i="2"/>
  <c r="EJ47" i="18"/>
  <c r="EO100" i="18"/>
  <c r="I30" i="12"/>
  <c r="EP36" i="18"/>
  <c r="EN87" i="18"/>
  <c r="M10" i="17"/>
  <c r="C64" i="12"/>
  <c r="EM36" i="18"/>
  <c r="EM21" i="18"/>
  <c r="FE47" i="2"/>
  <c r="EP22" i="18"/>
  <c r="EO25" i="18"/>
  <c r="EK21" i="18"/>
  <c r="M17" i="17"/>
  <c r="FL50" i="2"/>
  <c r="O31" i="22"/>
  <c r="FL101" i="2"/>
  <c r="EN25" i="18"/>
  <c r="FK35" i="2"/>
  <c r="EP109" i="18"/>
  <c r="EN39" i="18"/>
  <c r="EN110" i="18"/>
  <c r="FL38" i="2"/>
  <c r="EM28" i="18"/>
  <c r="EP49" i="18"/>
  <c r="FE34" i="2"/>
  <c r="EN100" i="18"/>
  <c r="Q10" i="17"/>
  <c r="EP108" i="18"/>
  <c r="EN89" i="18"/>
  <c r="EP85" i="18"/>
  <c r="EM12" i="18"/>
  <c r="EM51" i="18"/>
  <c r="EM49" i="18"/>
  <c r="EO40" i="18"/>
  <c r="P5" i="17"/>
  <c r="EO54" i="18"/>
  <c r="FK22" i="2"/>
  <c r="T7" i="17"/>
  <c r="I82" i="12"/>
  <c r="EK49" i="18"/>
  <c r="I64" i="12"/>
  <c r="H33" i="12" a="1"/>
  <c r="FK19" i="2"/>
  <c r="EO23" i="18"/>
  <c r="H44" i="12" a="1"/>
  <c r="H61" i="12" a="1"/>
  <c r="R14" i="17"/>
  <c r="EQ25" i="18"/>
  <c r="EP14" i="18"/>
  <c r="EL58" i="18"/>
  <c r="EK51" i="18"/>
  <c r="EJ56" i="18"/>
  <c r="G33" i="12" a="1"/>
  <c r="EN55" i="18"/>
  <c r="H52" i="12" a="1"/>
  <c r="EL19" i="18"/>
  <c r="C84" i="12"/>
  <c r="FE100" i="2"/>
  <c r="EL60" i="18"/>
  <c r="EJ60" i="18"/>
  <c r="FE52" i="2"/>
  <c r="N9" i="17"/>
  <c r="FL16" i="2"/>
  <c r="K81" i="12"/>
  <c r="EN86" i="18"/>
  <c r="FL56" i="2"/>
  <c r="O9" i="17"/>
  <c r="N17" i="17"/>
  <c r="EL16" i="18"/>
  <c r="EN23" i="18"/>
  <c r="FK74" i="2"/>
  <c r="EK22" i="18"/>
  <c r="FE27" i="2"/>
  <c r="EK60" i="18"/>
  <c r="FK75" i="2"/>
  <c r="EQ14" i="18"/>
  <c r="FK51" i="2"/>
  <c r="EO38" i="18"/>
  <c r="EM22" i="18"/>
  <c r="EL36" i="18"/>
  <c r="L81" i="12"/>
  <c r="FE40" i="2"/>
  <c r="EL62" i="18"/>
  <c r="EP50" i="18"/>
  <c r="EN84" i="18"/>
  <c r="FK62" i="2"/>
  <c r="P8" i="17"/>
  <c r="EQ21" i="18"/>
  <c r="EQ16" i="18"/>
  <c r="FE109" i="2"/>
  <c r="M14" i="17"/>
  <c r="EQ51" i="18"/>
  <c r="T8" i="17"/>
  <c r="FE38" i="2"/>
  <c r="FL21" i="2"/>
  <c r="EL52" i="18"/>
  <c r="FK91" i="2"/>
  <c r="EO99" i="18"/>
  <c r="EL14" i="18"/>
  <c r="EN50" i="18"/>
  <c r="EK18" i="18"/>
  <c r="H39" i="12" a="1"/>
  <c r="EN36" i="18"/>
  <c r="FE80" i="2"/>
  <c r="N8" i="17"/>
  <c r="Q11" i="17"/>
  <c r="EM27" i="18"/>
  <c r="EO50" i="18"/>
  <c r="EP48" i="18"/>
  <c r="EO49" i="18"/>
  <c r="O11" i="17"/>
  <c r="H68" i="12" a="1"/>
  <c r="M81" i="12"/>
  <c r="S9" i="17"/>
  <c r="FK100" i="2"/>
  <c r="EN79" i="18"/>
  <c r="EN61" i="18"/>
  <c r="M82" i="12"/>
  <c r="EO72" i="18"/>
  <c r="EP61" i="18"/>
  <c r="EP80" i="18"/>
  <c r="N12" i="17"/>
  <c r="EJ49" i="18"/>
  <c r="EQ17" i="18"/>
  <c r="M30" i="12"/>
  <c r="FL28" i="2"/>
  <c r="EP54" i="18"/>
  <c r="C33" i="12"/>
  <c r="EQ23" i="18"/>
  <c r="Q15" i="17"/>
  <c r="EN107" i="18"/>
  <c r="EP107" i="18"/>
  <c r="EO61" i="18"/>
  <c r="EQ12" i="18"/>
  <c r="EM16" i="18"/>
  <c r="EM13" i="18"/>
  <c r="EM54" i="18"/>
  <c r="M31" i="12"/>
  <c r="FL31" i="2"/>
  <c r="EN52" i="18"/>
  <c r="FK76" i="2"/>
  <c r="EO16" i="18"/>
  <c r="EP29" i="18"/>
  <c r="FK16" i="2"/>
  <c r="EP56" i="18"/>
  <c r="EO21" i="18"/>
  <c r="EJ26" i="18"/>
  <c r="FK85" i="2"/>
  <c r="EM17" i="18"/>
  <c r="EQ27" i="18"/>
  <c r="R10" i="17"/>
  <c r="EL12" i="18"/>
  <c r="N15" i="17"/>
  <c r="EM15" i="18"/>
  <c r="FE82" i="2"/>
  <c r="EP110" i="18"/>
  <c r="EN72" i="18"/>
  <c r="EK12" i="18"/>
  <c r="FL87" i="2"/>
  <c r="N18" i="17"/>
  <c r="FL74" i="2"/>
  <c r="FL37" i="2"/>
  <c r="EN57" i="18"/>
  <c r="P19" i="17"/>
  <c r="EN59" i="18"/>
  <c r="EO17" i="18"/>
  <c r="FE99" i="2"/>
  <c r="EO51" i="18"/>
  <c r="EJ21" i="18"/>
  <c r="FE53" i="2"/>
  <c r="J81" i="12"/>
  <c r="EN14" i="18"/>
  <c r="FE48" i="2"/>
  <c r="EP88" i="18"/>
  <c r="FE50" i="2"/>
  <c r="EQ61" i="18"/>
  <c r="EM60" i="18"/>
  <c r="EJ40" i="18"/>
  <c r="EQ77" i="18"/>
  <c r="L82" i="12"/>
  <c r="EN108" i="18"/>
  <c r="EQ74" i="18"/>
  <c r="T12" i="17"/>
  <c r="EK28" i="18"/>
  <c r="EM39" i="18"/>
  <c r="FL47" i="2"/>
  <c r="FE54" i="2"/>
  <c r="EN76" i="18"/>
  <c r="H66" i="12" a="1"/>
  <c r="FE74" i="2"/>
  <c r="T18" i="17"/>
  <c r="EL49" i="18"/>
  <c r="EO31" i="18"/>
  <c r="EO85" i="18"/>
  <c r="FE26" i="2"/>
  <c r="K31" i="12"/>
  <c r="EO14" i="18"/>
  <c r="EQ28" i="18"/>
  <c r="C30" i="12"/>
  <c r="O7" i="17"/>
  <c r="P81" i="12"/>
  <c r="FL55" i="2"/>
  <c r="FE79" i="2"/>
  <c r="FL81" i="2"/>
  <c r="FL75" i="2"/>
  <c r="FE60" i="2"/>
  <c r="EN105" i="18"/>
  <c r="EN83" i="18"/>
  <c r="EO24" i="18"/>
  <c r="EN22" i="18"/>
  <c r="EO59" i="18"/>
  <c r="N10" i="17"/>
  <c r="N11" i="17"/>
  <c r="EP62" i="18"/>
  <c r="T13" i="17"/>
  <c r="FL83" i="2"/>
  <c r="H34" i="12" a="1"/>
  <c r="EJ23" i="18"/>
  <c r="R6" i="17"/>
  <c r="EK50" i="18"/>
  <c r="EP76" i="18"/>
  <c r="G32" i="12" a="1"/>
  <c r="N5" i="17"/>
  <c r="EP24" i="18"/>
  <c r="H48" i="12" a="1"/>
  <c r="FL80" i="2"/>
  <c r="FL85" i="2"/>
  <c r="EK61" i="18"/>
  <c r="EO83" i="18"/>
  <c r="EM62" i="18"/>
  <c r="EJ35" i="18"/>
  <c r="FE61" i="2"/>
  <c r="EJ50" i="18"/>
  <c r="FK38" i="2"/>
  <c r="P30" i="12"/>
  <c r="EK35" i="18"/>
  <c r="EP35" i="18"/>
  <c r="FK31" i="2"/>
  <c r="FK55" i="2"/>
  <c r="M6" i="17"/>
  <c r="EQ55" i="18"/>
  <c r="Q18" i="17"/>
  <c r="FK39" i="2"/>
  <c r="EJ57" i="18"/>
  <c r="EO20" i="18"/>
  <c r="R17" i="17"/>
  <c r="O32" i="22"/>
  <c r="M15" i="17"/>
  <c r="EJ25" i="18"/>
  <c r="FK80" i="2"/>
  <c r="FL76" i="2"/>
  <c r="EK53" i="18"/>
  <c r="EN51" i="18"/>
  <c r="Q14" i="17"/>
  <c r="H47" i="12" a="1"/>
  <c r="H51" i="12" a="1"/>
  <c r="N16" i="17"/>
  <c r="FK20" i="2"/>
  <c r="M9" i="17"/>
  <c r="Q13" i="17"/>
  <c r="FK109" i="2"/>
  <c r="EK40" i="18"/>
  <c r="EQ13" i="18"/>
  <c r="EN21" i="18"/>
  <c r="EJ39" i="18"/>
  <c r="H46" i="12" a="1"/>
  <c r="FL61" i="2"/>
  <c r="N81" i="12"/>
  <c r="EJ20" i="18"/>
  <c r="EO36" i="18"/>
  <c r="EP99" i="18"/>
  <c r="FL105" i="2"/>
  <c r="EO13" i="18"/>
  <c r="EL61" i="18"/>
  <c r="EO48" i="18"/>
  <c r="FE58" i="2"/>
  <c r="R7" i="17"/>
  <c r="P13" i="17"/>
  <c r="FE17" i="2"/>
  <c r="FK79" i="2"/>
  <c r="FL35" i="2"/>
  <c r="M18" i="17"/>
  <c r="FL84" i="2"/>
  <c r="EO101" i="18"/>
  <c r="EM57" i="18"/>
  <c r="EK15" i="18"/>
  <c r="EM61" i="18"/>
  <c r="FL52" i="2"/>
  <c r="EJ12" i="18"/>
  <c r="EM35" i="18"/>
  <c r="EQ47" i="18"/>
  <c r="EO107" i="18"/>
  <c r="EQ15" i="18"/>
  <c r="EQ91" i="18"/>
  <c r="EO78" i="18"/>
  <c r="FE105" i="2"/>
  <c r="R13" i="17"/>
  <c r="H53" i="12" a="1"/>
  <c r="G30" i="12" a="1"/>
  <c r="EP23" i="18"/>
  <c r="M7" i="17"/>
  <c r="FL26" i="2"/>
  <c r="EN53" i="18"/>
  <c r="EM14" i="18"/>
  <c r="FL58" i="2"/>
  <c r="FL109" i="2"/>
  <c r="H56" i="12" a="1"/>
  <c r="Q8" i="17"/>
  <c r="FK36" i="2"/>
  <c r="R18" i="17"/>
  <c r="EQ78" i="18"/>
  <c r="FK27" i="2"/>
  <c r="EO47" i="18"/>
  <c r="EN91" i="18"/>
  <c r="EQ52" i="18"/>
  <c r="EO55" i="18"/>
  <c r="FL77" i="2"/>
  <c r="FL14" i="2"/>
  <c r="EN78" i="18"/>
  <c r="FK89" i="2"/>
  <c r="EL20" i="18"/>
  <c r="FE56" i="2"/>
  <c r="M11" i="17"/>
  <c r="EQ31" i="18"/>
  <c r="EP47" i="18"/>
  <c r="N30" i="12"/>
  <c r="FK108" i="2"/>
  <c r="FK73" i="2"/>
  <c r="EQ24" i="18"/>
  <c r="FE36" i="2"/>
  <c r="H31" i="12" a="1"/>
  <c r="EL53" i="18"/>
  <c r="EL59" i="18"/>
  <c r="FL86" i="2"/>
  <c r="EP53" i="18"/>
  <c r="EP21" i="18"/>
  <c r="FE57" i="2"/>
  <c r="L63" i="12"/>
  <c r="EP28" i="18"/>
  <c r="H49" i="12" a="1"/>
  <c r="R15" i="17"/>
  <c r="M64" i="12"/>
  <c r="FL49" i="2"/>
  <c r="EJ36" i="18"/>
  <c r="S10" i="17"/>
  <c r="H55" i="12" a="1"/>
  <c r="EJ52" i="18"/>
  <c r="EK59" i="18"/>
  <c r="T14" i="17"/>
  <c r="EM20" i="18"/>
  <c r="EN104" i="18"/>
  <c r="EP17" i="18"/>
  <c r="EN18" i="18"/>
  <c r="EP26" i="18"/>
  <c r="K82" i="12"/>
  <c r="FE29" i="2"/>
  <c r="EJ55" i="18"/>
  <c r="FK58" i="2"/>
  <c r="Q9" i="17"/>
  <c r="EL40" i="18"/>
  <c r="H47" i="12" l="1"/>
  <c r="EO106" i="18"/>
  <c r="EN106" i="18"/>
  <c r="H59" i="12"/>
  <c r="H30" i="12"/>
  <c r="H32" i="12"/>
  <c r="H58" i="12"/>
  <c r="EN66" i="18"/>
  <c r="EN94" i="18" s="1"/>
  <c r="H64" i="12"/>
  <c r="EQ66" i="18"/>
  <c r="EQ94" i="18" s="1"/>
  <c r="H34" i="12"/>
  <c r="EP106" i="18"/>
  <c r="EJ66" i="18"/>
  <c r="EJ94" i="18" s="1"/>
  <c r="H55" i="12"/>
  <c r="H57" i="12"/>
  <c r="T81" i="12"/>
  <c r="H40" i="12"/>
  <c r="EQ106" i="18"/>
  <c r="S30" i="12"/>
  <c r="H43" i="12"/>
  <c r="T63" i="12"/>
  <c r="EP66" i="18"/>
  <c r="EP94" i="18" s="1"/>
  <c r="H65" i="12"/>
  <c r="R81" i="12"/>
  <c r="FK102" i="2"/>
  <c r="H49" i="12"/>
  <c r="EK66" i="18"/>
  <c r="EK94" i="18" s="1"/>
  <c r="EP102" i="18"/>
  <c r="G30" i="12"/>
  <c r="EQ102" i="18"/>
  <c r="S81" i="12"/>
  <c r="FK106" i="2"/>
  <c r="H46" i="12"/>
  <c r="H36" i="12"/>
  <c r="H50" i="12"/>
  <c r="H33" i="12"/>
  <c r="H60" i="12"/>
  <c r="H67" i="12"/>
  <c r="T30" i="12"/>
  <c r="H69" i="12"/>
  <c r="EL66" i="18"/>
  <c r="EL94" i="18" s="1"/>
  <c r="H38" i="12"/>
  <c r="G31" i="12"/>
  <c r="H66" i="12"/>
  <c r="FL106" i="2"/>
  <c r="R63" i="12"/>
  <c r="H70" i="12"/>
  <c r="H54" i="12"/>
  <c r="H62" i="12"/>
  <c r="H61" i="12"/>
  <c r="H39" i="12"/>
  <c r="H53" i="12"/>
  <c r="H45" i="12"/>
  <c r="EO66" i="18"/>
  <c r="EO94" i="18" s="1"/>
  <c r="H63" i="12"/>
  <c r="H68" i="12"/>
  <c r="EN102" i="18"/>
  <c r="FK66" i="2"/>
  <c r="FK94" i="2" s="1"/>
  <c r="S63" i="12"/>
  <c r="FL102" i="2"/>
  <c r="H41" i="12"/>
  <c r="G32" i="12"/>
  <c r="H31" i="12"/>
  <c r="H52" i="12"/>
  <c r="H35" i="12"/>
  <c r="H37" i="12"/>
  <c r="H48" i="12"/>
  <c r="EM66" i="18"/>
  <c r="EM94" i="18" s="1"/>
  <c r="H56" i="12"/>
  <c r="FE66" i="2"/>
  <c r="FE94" i="2" s="1"/>
  <c r="H51" i="12"/>
  <c r="H42" i="12"/>
  <c r="EO102" i="18"/>
  <c r="H44" i="12"/>
  <c r="R30" i="12"/>
  <c r="FL66" i="2"/>
  <c r="FL94" i="2" s="1"/>
  <c r="AB67" i="23"/>
  <c r="AB95" i="23"/>
  <c r="AB96" i="23" s="1"/>
  <c r="AE102" i="21"/>
  <c r="CR128" i="21"/>
  <c r="CQ128" i="21"/>
  <c r="BE40" i="21"/>
  <c r="Z263" i="23" s="1"/>
  <c r="Y262" i="23" s="1"/>
  <c r="CM133" i="21"/>
  <c r="CL133" i="21"/>
  <c r="CK133" i="21"/>
  <c r="CP133" i="21"/>
  <c r="CO133" i="21"/>
  <c r="CN133" i="21"/>
  <c r="AE100" i="21"/>
  <c r="AE104" i="21"/>
  <c r="AE109" i="21" s="1"/>
  <c r="AE101" i="21"/>
  <c r="K34" i="22"/>
  <c r="AF95" i="21"/>
  <c r="AF69" i="21"/>
  <c r="AF43" i="21"/>
  <c r="AG96" i="21"/>
  <c r="AG70" i="21"/>
  <c r="AG44" i="21"/>
  <c r="AH9" i="21"/>
  <c r="AG8" i="21"/>
  <c r="AG3" i="21"/>
  <c r="AD107" i="21"/>
  <c r="AD110" i="21" s="1"/>
  <c r="AD105" i="21"/>
  <c r="AF89" i="21"/>
  <c r="AF88" i="21"/>
  <c r="AF87" i="21"/>
  <c r="AF86" i="21"/>
  <c r="AF84" i="21"/>
  <c r="AF85" i="21"/>
  <c r="AF83" i="21"/>
  <c r="AF82" i="21"/>
  <c r="AF80" i="21"/>
  <c r="AF79" i="21"/>
  <c r="AF81" i="21"/>
  <c r="AF78" i="21"/>
  <c r="AF77" i="21"/>
  <c r="AF73" i="21"/>
  <c r="AF72" i="21"/>
  <c r="AF76" i="21"/>
  <c r="AF74" i="21"/>
  <c r="AF75" i="21"/>
  <c r="AG6" i="21"/>
  <c r="AF92" i="21"/>
  <c r="AE103" i="21"/>
  <c r="AE108" i="21" s="1"/>
  <c r="AE99" i="21"/>
  <c r="AE91" i="21"/>
  <c r="H103" i="18"/>
  <c r="H108" i="18" s="1"/>
  <c r="AM103" i="18"/>
  <c r="AM108" i="18" s="1"/>
  <c r="AN75" i="18"/>
  <c r="I75" i="18"/>
  <c r="AN82" i="18"/>
  <c r="I86" i="18"/>
  <c r="I103" i="18" s="1"/>
  <c r="I108" i="18" s="1"/>
  <c r="H101" i="18"/>
  <c r="H104" i="18"/>
  <c r="H109" i="18" s="1"/>
  <c r="H100" i="18"/>
  <c r="AN78" i="18"/>
  <c r="I89" i="18"/>
  <c r="I104" i="18" s="1"/>
  <c r="AN89" i="18"/>
  <c r="I76" i="18"/>
  <c r="H99" i="18"/>
  <c r="I79" i="18"/>
  <c r="I100" i="18" s="1"/>
  <c r="AM104" i="18"/>
  <c r="AM109" i="18" s="1"/>
  <c r="H102" i="18"/>
  <c r="H91" i="18"/>
  <c r="AN87" i="18"/>
  <c r="AN72" i="18"/>
  <c r="AN88" i="18"/>
  <c r="AN85" i="18"/>
  <c r="AO6" i="18"/>
  <c r="AO80" i="18" s="1"/>
  <c r="AN83" i="18"/>
  <c r="AN102" i="18" s="1"/>
  <c r="AN86" i="18"/>
  <c r="AN73" i="18"/>
  <c r="AN80" i="18"/>
  <c r="AN101" i="18" s="1"/>
  <c r="AN92" i="18"/>
  <c r="AM101" i="18"/>
  <c r="AN76" i="18"/>
  <c r="AM100" i="18"/>
  <c r="AM99" i="18"/>
  <c r="BP88" i="18"/>
  <c r="K21" i="17"/>
  <c r="AN104" i="2"/>
  <c r="AN109" i="2" s="1"/>
  <c r="V28" i="19"/>
  <c r="AM102" i="18"/>
  <c r="AM91" i="18"/>
  <c r="BP82" i="18"/>
  <c r="H86" i="2"/>
  <c r="H82" i="2"/>
  <c r="H81" i="2"/>
  <c r="H85" i="2"/>
  <c r="H89" i="2"/>
  <c r="H80" i="2"/>
  <c r="H84" i="2"/>
  <c r="H88" i="2"/>
  <c r="H87" i="2"/>
  <c r="H83" i="2"/>
  <c r="H74" i="2"/>
  <c r="H79" i="2"/>
  <c r="H73" i="2"/>
  <c r="H78" i="2"/>
  <c r="H77" i="2"/>
  <c r="H76" i="2"/>
  <c r="H75" i="2"/>
  <c r="H72" i="2"/>
  <c r="BG85" i="2"/>
  <c r="BG81" i="2"/>
  <c r="BG89" i="2"/>
  <c r="BG80" i="2"/>
  <c r="BG84" i="2"/>
  <c r="BG88" i="2"/>
  <c r="BG83" i="2"/>
  <c r="BG87" i="2"/>
  <c r="BG86" i="2"/>
  <c r="BG82" i="2"/>
  <c r="BG74" i="2"/>
  <c r="BG79" i="2"/>
  <c r="BG73" i="2"/>
  <c r="BG78" i="2"/>
  <c r="BG72" i="2"/>
  <c r="BG77" i="2"/>
  <c r="BG76" i="2"/>
  <c r="BG75" i="2"/>
  <c r="AO83" i="2"/>
  <c r="AO87" i="2"/>
  <c r="AO86" i="2"/>
  <c r="AO82" i="2"/>
  <c r="AO85" i="2"/>
  <c r="AO81" i="2"/>
  <c r="AO89" i="2"/>
  <c r="AO80" i="2"/>
  <c r="AO84" i="2"/>
  <c r="AO88" i="2"/>
  <c r="AO77" i="2"/>
  <c r="AO75" i="2"/>
  <c r="AO79" i="2"/>
  <c r="AO74" i="2"/>
  <c r="AO73" i="2"/>
  <c r="AO78" i="2"/>
  <c r="AO72" i="2"/>
  <c r="AO76" i="2"/>
  <c r="BD110" i="2"/>
  <c r="M26" i="1"/>
  <c r="R8" i="19"/>
  <c r="W8" i="19" s="1"/>
  <c r="T31" i="12"/>
  <c r="R64" i="12"/>
  <c r="R31" i="12"/>
  <c r="T82" i="12"/>
  <c r="S31" i="12"/>
  <c r="T64" i="12"/>
  <c r="S82" i="12"/>
  <c r="S64" i="12"/>
  <c r="R82" i="12"/>
  <c r="AM109" i="2"/>
  <c r="F108" i="2"/>
  <c r="AN103" i="2"/>
  <c r="BE108" i="2"/>
  <c r="F109" i="2"/>
  <c r="AL110" i="2"/>
  <c r="AM108" i="2"/>
  <c r="E110" i="2"/>
  <c r="AN101" i="2"/>
  <c r="BP75" i="18"/>
  <c r="BP80" i="18"/>
  <c r="BP83" i="18"/>
  <c r="BQ6" i="18"/>
  <c r="BQ92" i="18" s="1"/>
  <c r="BP92" i="18"/>
  <c r="BP78" i="18"/>
  <c r="BP89" i="18"/>
  <c r="BP72" i="18"/>
  <c r="R10" i="19"/>
  <c r="W10" i="19" s="1"/>
  <c r="N34" i="19"/>
  <c r="BP79" i="18"/>
  <c r="I41" i="18"/>
  <c r="BP77" i="18"/>
  <c r="BP84" i="18"/>
  <c r="BP102" i="18" s="1"/>
  <c r="BP90" i="18"/>
  <c r="BP85" i="18"/>
  <c r="BP73" i="18"/>
  <c r="BP87" i="18"/>
  <c r="P37" i="19"/>
  <c r="BO102" i="18"/>
  <c r="BO103" i="18"/>
  <c r="BO108" i="18" s="1"/>
  <c r="O34" i="19"/>
  <c r="BO100" i="18"/>
  <c r="P34" i="19"/>
  <c r="G101" i="2"/>
  <c r="BO104" i="18"/>
  <c r="BO109" i="18" s="1"/>
  <c r="R12" i="19"/>
  <c r="W12" i="19" s="1"/>
  <c r="BO99" i="18"/>
  <c r="O37" i="19"/>
  <c r="AN102" i="2"/>
  <c r="AN100" i="2"/>
  <c r="AM107" i="2"/>
  <c r="R11" i="19"/>
  <c r="W11" i="19" s="1"/>
  <c r="BP74" i="18"/>
  <c r="Q37" i="19"/>
  <c r="R9" i="19"/>
  <c r="W9" i="19" s="1"/>
  <c r="Q34" i="19"/>
  <c r="BP81" i="18"/>
  <c r="BP86" i="18"/>
  <c r="BA104" i="18"/>
  <c r="BA109" i="18" s="1"/>
  <c r="BO101" i="18"/>
  <c r="AO92" i="2"/>
  <c r="AP6" i="2"/>
  <c r="BA102" i="18"/>
  <c r="AN99" i="2"/>
  <c r="BA101" i="18"/>
  <c r="R13" i="19"/>
  <c r="W13" i="19" s="1"/>
  <c r="G95" i="18"/>
  <c r="G69" i="18"/>
  <c r="G43" i="18"/>
  <c r="AN91" i="2"/>
  <c r="BO91" i="18"/>
  <c r="N37" i="19"/>
  <c r="G102" i="2"/>
  <c r="BN105" i="18"/>
  <c r="G33" i="12"/>
  <c r="G99" i="2"/>
  <c r="G91" i="2"/>
  <c r="I96" i="18"/>
  <c r="J9" i="18"/>
  <c r="I44" i="18"/>
  <c r="I70" i="18"/>
  <c r="I8" i="18"/>
  <c r="G107" i="18"/>
  <c r="C743" i="17"/>
  <c r="C744" i="17" s="1"/>
  <c r="C745" i="17" s="1"/>
  <c r="C746" i="17" s="1"/>
  <c r="C747" i="17" s="1"/>
  <c r="C748" i="17" s="1"/>
  <c r="C749" i="17" s="1"/>
  <c r="C750" i="17" s="1"/>
  <c r="C751" i="17" s="1"/>
  <c r="M37" i="19"/>
  <c r="R22" i="19"/>
  <c r="AN100" i="18"/>
  <c r="R16" i="19"/>
  <c r="W16" i="19" s="1"/>
  <c r="AZ105" i="18"/>
  <c r="AZ107" i="18"/>
  <c r="AZ110" i="18" s="1"/>
  <c r="BB90" i="18"/>
  <c r="BB82" i="18"/>
  <c r="BB81" i="18"/>
  <c r="BB80" i="18"/>
  <c r="BB83" i="18"/>
  <c r="BB73" i="18"/>
  <c r="BB88" i="18"/>
  <c r="BB87" i="18"/>
  <c r="BB86" i="18"/>
  <c r="BB85" i="18"/>
  <c r="BB84" i="18"/>
  <c r="BB77" i="18"/>
  <c r="BB79" i="18"/>
  <c r="BB76" i="18"/>
  <c r="BC6" i="18"/>
  <c r="BB78" i="18"/>
  <c r="BB89" i="18"/>
  <c r="BB72" i="18"/>
  <c r="BB75" i="18"/>
  <c r="BB74" i="18"/>
  <c r="BB92" i="18"/>
  <c r="I102" i="18"/>
  <c r="F41" i="2"/>
  <c r="M34" i="19"/>
  <c r="R14" i="19"/>
  <c r="I101" i="18"/>
  <c r="BN107" i="18"/>
  <c r="BN110" i="18" s="1"/>
  <c r="J41" i="2"/>
  <c r="R23" i="19"/>
  <c r="W23" i="19" s="1"/>
  <c r="BA99" i="18"/>
  <c r="BA91" i="18"/>
  <c r="I6" i="2"/>
  <c r="G104" i="2"/>
  <c r="G105" i="18"/>
  <c r="Q26" i="19"/>
  <c r="Q28" i="19" s="1"/>
  <c r="Q33" i="19"/>
  <c r="AM105" i="2"/>
  <c r="M26" i="19"/>
  <c r="M28" i="19" s="1"/>
  <c r="M33" i="19"/>
  <c r="R7" i="19"/>
  <c r="G103" i="2"/>
  <c r="N26" i="19"/>
  <c r="N28" i="19" s="1"/>
  <c r="N33" i="19"/>
  <c r="BA100" i="18"/>
  <c r="J77" i="18"/>
  <c r="J79" i="18"/>
  <c r="J76" i="18"/>
  <c r="J89" i="18"/>
  <c r="J78" i="18"/>
  <c r="J80" i="18"/>
  <c r="J83" i="18"/>
  <c r="J82" i="18"/>
  <c r="J81" i="18"/>
  <c r="J88" i="18"/>
  <c r="J87" i="18"/>
  <c r="J86" i="18"/>
  <c r="J85" i="18"/>
  <c r="J75" i="18"/>
  <c r="J72" i="18"/>
  <c r="J73" i="18"/>
  <c r="J74" i="18"/>
  <c r="K6" i="18"/>
  <c r="J84" i="18"/>
  <c r="G95" i="2"/>
  <c r="G43" i="2"/>
  <c r="G69" i="2"/>
  <c r="O26" i="19"/>
  <c r="O28" i="19" s="1"/>
  <c r="O33" i="19"/>
  <c r="AL105" i="18"/>
  <c r="AL107" i="18"/>
  <c r="AL110" i="18" s="1"/>
  <c r="G100" i="2"/>
  <c r="H95" i="18"/>
  <c r="H69" i="18"/>
  <c r="H43" i="18"/>
  <c r="P26" i="19"/>
  <c r="P28" i="19" s="1"/>
  <c r="P33" i="19"/>
  <c r="BA103" i="18"/>
  <c r="BA108" i="18" s="1"/>
  <c r="H96" i="2"/>
  <c r="H3" i="2"/>
  <c r="I9" i="2"/>
  <c r="H8" i="2"/>
  <c r="H44" i="2"/>
  <c r="H70" i="2"/>
  <c r="BF101" i="2"/>
  <c r="BF103" i="2"/>
  <c r="BF102" i="2"/>
  <c r="BG92" i="2"/>
  <c r="BG90" i="2"/>
  <c r="BH6" i="2"/>
  <c r="BF104" i="2"/>
  <c r="BF100" i="2"/>
  <c r="BE109" i="2"/>
  <c r="BF99" i="2"/>
  <c r="BF91" i="2"/>
  <c r="BE105" i="2"/>
  <c r="BE107" i="2"/>
  <c r="U41" i="18"/>
  <c r="FI133" i="2"/>
  <c r="FH133" i="2"/>
  <c r="FG133" i="2"/>
  <c r="FF133" i="2"/>
  <c r="FE133" i="2"/>
  <c r="FJ133" i="2"/>
  <c r="EK128" i="18"/>
  <c r="FL128" i="2"/>
  <c r="EP128" i="18"/>
  <c r="EN128" i="18"/>
  <c r="EL128" i="18"/>
  <c r="EQ128" i="18"/>
  <c r="EO128" i="18"/>
  <c r="EM128" i="18"/>
  <c r="FK128" i="2"/>
  <c r="DC32" i="18"/>
  <c r="AC41" i="2"/>
  <c r="R41" i="2"/>
  <c r="Z41" i="18"/>
  <c r="AB41" i="2"/>
  <c r="F107" i="2"/>
  <c r="F105" i="2"/>
  <c r="E110" i="18"/>
  <c r="H92" i="2"/>
  <c r="H41" i="2"/>
  <c r="DC40" i="18"/>
  <c r="DD40" i="18" s="1"/>
  <c r="C34" i="12"/>
  <c r="M83" i="12"/>
  <c r="K32" i="12"/>
  <c r="K65" i="12"/>
  <c r="L83" i="12"/>
  <c r="J65" i="12"/>
  <c r="C67" i="12"/>
  <c r="I32" i="12"/>
  <c r="L32" i="12"/>
  <c r="P33" i="22"/>
  <c r="I83" i="12"/>
  <c r="K83" i="12"/>
  <c r="O21" i="17"/>
  <c r="P82" i="12"/>
  <c r="FE110" i="2"/>
  <c r="J32" i="12"/>
  <c r="P64" i="12"/>
  <c r="C85" i="12"/>
  <c r="O33" i="22"/>
  <c r="P31" i="12"/>
  <c r="N65" i="12"/>
  <c r="S5" i="17"/>
  <c r="J83" i="12"/>
  <c r="M32" i="12"/>
  <c r="N32" i="12"/>
  <c r="L65" i="12"/>
  <c r="N83" i="12"/>
  <c r="I65" i="12"/>
  <c r="P21" i="17"/>
  <c r="M65" i="12"/>
  <c r="G34" i="12" a="1"/>
  <c r="Z205" i="23" l="1"/>
  <c r="Y204" i="23" s="1"/>
  <c r="Z234" i="23"/>
  <c r="Y233" i="23" s="1"/>
  <c r="Z147" i="23"/>
  <c r="Y146" i="23" s="1"/>
  <c r="Z176" i="23"/>
  <c r="Y175" i="23" s="1"/>
  <c r="FL112" i="2"/>
  <c r="F8" i="12"/>
  <c r="R13" i="12"/>
  <c r="EP112" i="18"/>
  <c r="I13" i="12"/>
  <c r="ES94" i="18"/>
  <c r="K13" i="12"/>
  <c r="EQ112" i="18"/>
  <c r="P12" i="12"/>
  <c r="ER66" i="18"/>
  <c r="L13" i="12"/>
  <c r="P13" i="12"/>
  <c r="F6" i="12"/>
  <c r="M13" i="12"/>
  <c r="F11" i="12"/>
  <c r="J13" i="12"/>
  <c r="N13" i="12"/>
  <c r="T13" i="12"/>
  <c r="S12" i="12"/>
  <c r="F12" i="12"/>
  <c r="EN112" i="18"/>
  <c r="F7" i="12"/>
  <c r="F13" i="12"/>
  <c r="F9" i="12"/>
  <c r="S13" i="12"/>
  <c r="FK112" i="2"/>
  <c r="F5" i="12"/>
  <c r="ES66" i="18"/>
  <c r="R12" i="12"/>
  <c r="T12" i="12"/>
  <c r="F10" i="12"/>
  <c r="F22" i="12" s="1"/>
  <c r="Z89" i="23"/>
  <c r="Y88" i="23" s="1"/>
  <c r="Z118" i="23"/>
  <c r="Y117" i="23" s="1"/>
  <c r="Z31" i="23"/>
  <c r="Z60" i="23"/>
  <c r="Y59" i="23" s="1"/>
  <c r="BC84" i="21"/>
  <c r="BC81" i="21"/>
  <c r="BC78" i="21"/>
  <c r="BC75" i="21"/>
  <c r="BC87" i="21"/>
  <c r="BB84" i="21"/>
  <c r="BB81" i="21"/>
  <c r="BB78" i="21"/>
  <c r="BB75" i="21"/>
  <c r="BB87" i="21"/>
  <c r="BC86" i="21"/>
  <c r="BC83" i="21"/>
  <c r="BC80" i="21"/>
  <c r="BC77" i="21"/>
  <c r="BC74" i="21"/>
  <c r="BE177" i="21"/>
  <c r="BB86" i="21"/>
  <c r="BB83" i="21"/>
  <c r="BB80" i="21"/>
  <c r="BB77" i="21"/>
  <c r="BB74" i="21"/>
  <c r="BC85" i="21"/>
  <c r="BC82" i="21"/>
  <c r="BC79" i="21"/>
  <c r="BC76" i="21"/>
  <c r="BC73" i="21"/>
  <c r="BB85" i="21"/>
  <c r="BB82" i="21"/>
  <c r="BB79" i="21"/>
  <c r="BB76" i="21"/>
  <c r="BB73" i="21"/>
  <c r="BE28" i="21"/>
  <c r="BE186" i="21"/>
  <c r="CK127" i="21"/>
  <c r="BB92" i="21"/>
  <c r="CQ32" i="21"/>
  <c r="BE183" i="21"/>
  <c r="CK125" i="21"/>
  <c r="BE29" i="21"/>
  <c r="BE12" i="21"/>
  <c r="BE25" i="21"/>
  <c r="CK128" i="21"/>
  <c r="BE176" i="21"/>
  <c r="BE26" i="21"/>
  <c r="CR32" i="21"/>
  <c r="BC92" i="21"/>
  <c r="CQ124" i="21"/>
  <c r="BE184" i="21"/>
  <c r="BE19" i="21"/>
  <c r="CQ126" i="21"/>
  <c r="BE14" i="21"/>
  <c r="BE178" i="21"/>
  <c r="CR125" i="21"/>
  <c r="CQ127" i="21"/>
  <c r="CK126" i="21"/>
  <c r="CR124" i="21"/>
  <c r="CR126" i="21"/>
  <c r="BE22" i="21"/>
  <c r="BE24" i="21"/>
  <c r="CK124" i="21"/>
  <c r="CR127" i="21"/>
  <c r="CQ125" i="21"/>
  <c r="CK32" i="21"/>
  <c r="BE23" i="21"/>
  <c r="BE20" i="21"/>
  <c r="BE187" i="21"/>
  <c r="BE15" i="21"/>
  <c r="BE27" i="21"/>
  <c r="BE13" i="21"/>
  <c r="BE18" i="21"/>
  <c r="BE185" i="21"/>
  <c r="BE36" i="21"/>
  <c r="BE179" i="21"/>
  <c r="BE17" i="21"/>
  <c r="BE16" i="21"/>
  <c r="BE38" i="21"/>
  <c r="BE37" i="21"/>
  <c r="CK41" i="21"/>
  <c r="BE180" i="21"/>
  <c r="BE39" i="21"/>
  <c r="BE21" i="21"/>
  <c r="BE35" i="21"/>
  <c r="BE34" i="21"/>
  <c r="BE31" i="21"/>
  <c r="BE32" i="21"/>
  <c r="BE30" i="21"/>
  <c r="BE33" i="21"/>
  <c r="AF100" i="21"/>
  <c r="AF104" i="21"/>
  <c r="AF109" i="21" s="1"/>
  <c r="AF102" i="21"/>
  <c r="K35" i="22"/>
  <c r="AF99" i="21"/>
  <c r="AF91" i="21"/>
  <c r="AE107" i="21"/>
  <c r="AE110" i="21" s="1"/>
  <c r="AE105" i="21"/>
  <c r="AG95" i="21"/>
  <c r="AG43" i="21"/>
  <c r="AG69" i="21"/>
  <c r="AH96" i="21"/>
  <c r="AH44" i="21"/>
  <c r="AH70" i="21"/>
  <c r="AH8" i="21"/>
  <c r="AH3" i="21"/>
  <c r="AI9" i="21"/>
  <c r="AF101" i="21"/>
  <c r="AG89" i="21"/>
  <c r="AG88" i="21"/>
  <c r="AG87" i="21"/>
  <c r="AG86" i="21"/>
  <c r="AG84" i="21"/>
  <c r="AG81" i="21"/>
  <c r="AG85" i="21"/>
  <c r="AG83" i="21"/>
  <c r="AG82" i="21"/>
  <c r="AG74" i="21"/>
  <c r="AG79" i="21"/>
  <c r="AG77" i="21"/>
  <c r="AG78" i="21"/>
  <c r="AG80" i="21"/>
  <c r="AG73" i="21"/>
  <c r="AG72" i="21"/>
  <c r="AG76" i="21"/>
  <c r="AG75" i="21"/>
  <c r="AH6" i="21"/>
  <c r="AG92" i="21"/>
  <c r="AF103" i="21"/>
  <c r="AF108" i="21" s="1"/>
  <c r="I99" i="18"/>
  <c r="I107" i="18" s="1"/>
  <c r="AN104" i="18"/>
  <c r="AN109" i="18" s="1"/>
  <c r="BP104" i="18"/>
  <c r="BP109" i="18" s="1"/>
  <c r="H107" i="18"/>
  <c r="H110" i="18" s="1"/>
  <c r="I91" i="18"/>
  <c r="H105" i="18"/>
  <c r="AN103" i="18"/>
  <c r="AN108" i="18" s="1"/>
  <c r="AO85" i="18"/>
  <c r="AO81" i="18"/>
  <c r="AN91" i="18"/>
  <c r="AO82" i="18"/>
  <c r="AO92" i="18"/>
  <c r="AO89" i="18"/>
  <c r="AO72" i="18"/>
  <c r="AO74" i="18"/>
  <c r="AO79" i="18"/>
  <c r="AO77" i="18"/>
  <c r="AM105" i="18"/>
  <c r="AO84" i="18"/>
  <c r="BQ72" i="18"/>
  <c r="AO76" i="18"/>
  <c r="AO87" i="18"/>
  <c r="AN99" i="18"/>
  <c r="AN107" i="18" s="1"/>
  <c r="AN110" i="18" s="1"/>
  <c r="BR6" i="18"/>
  <c r="BR87" i="18" s="1"/>
  <c r="AO73" i="18"/>
  <c r="BQ79" i="18"/>
  <c r="AO75" i="18"/>
  <c r="AO88" i="18"/>
  <c r="AP6" i="18"/>
  <c r="AP83" i="18" s="1"/>
  <c r="AO83" i="18"/>
  <c r="AM107" i="18"/>
  <c r="AM110" i="18" s="1"/>
  <c r="AO86" i="18"/>
  <c r="AO78" i="18"/>
  <c r="BP101" i="18"/>
  <c r="K22" i="17"/>
  <c r="FE41" i="2"/>
  <c r="O25" i="1"/>
  <c r="P25" i="1"/>
  <c r="P24" i="1"/>
  <c r="O24" i="1"/>
  <c r="O30" i="1"/>
  <c r="AP87" i="2"/>
  <c r="AP86" i="2"/>
  <c r="AP82" i="2"/>
  <c r="AP85" i="2"/>
  <c r="AP81" i="2"/>
  <c r="AP89" i="2"/>
  <c r="AP80" i="2"/>
  <c r="AP84" i="2"/>
  <c r="AP88" i="2"/>
  <c r="AP83" i="2"/>
  <c r="AP76" i="2"/>
  <c r="AP75" i="2"/>
  <c r="AP79" i="2"/>
  <c r="AP74" i="2"/>
  <c r="AP73" i="2"/>
  <c r="AP78" i="2"/>
  <c r="AP72" i="2"/>
  <c r="AP77" i="2"/>
  <c r="BH89" i="2"/>
  <c r="BH80" i="2"/>
  <c r="BH84" i="2"/>
  <c r="BH88" i="2"/>
  <c r="BH83" i="2"/>
  <c r="BH87" i="2"/>
  <c r="BH86" i="2"/>
  <c r="BH82" i="2"/>
  <c r="BH85" i="2"/>
  <c r="BH81" i="2"/>
  <c r="BH74" i="2"/>
  <c r="BH79" i="2"/>
  <c r="BH73" i="2"/>
  <c r="BH78" i="2"/>
  <c r="BH72" i="2"/>
  <c r="BH77" i="2"/>
  <c r="BH76" i="2"/>
  <c r="BH75" i="2"/>
  <c r="I81" i="2"/>
  <c r="I85" i="2"/>
  <c r="I89" i="2"/>
  <c r="I84" i="2"/>
  <c r="I88" i="2"/>
  <c r="I87" i="2"/>
  <c r="I83" i="2"/>
  <c r="I86" i="2"/>
  <c r="I82" i="2"/>
  <c r="I75" i="2"/>
  <c r="I74" i="2"/>
  <c r="I79" i="2"/>
  <c r="I73" i="2"/>
  <c r="I78" i="2"/>
  <c r="I72" i="2"/>
  <c r="I80" i="2"/>
  <c r="I77" i="2"/>
  <c r="I76" i="2"/>
  <c r="DY33" i="2"/>
  <c r="DD31" i="18"/>
  <c r="P23" i="1"/>
  <c r="O23" i="1"/>
  <c r="BP99" i="18"/>
  <c r="BP103" i="18"/>
  <c r="BP108" i="18" s="1"/>
  <c r="S83" i="12"/>
  <c r="T65" i="12"/>
  <c r="R83" i="12"/>
  <c r="T83" i="12"/>
  <c r="FE112" i="2"/>
  <c r="R32" i="12"/>
  <c r="S32" i="12"/>
  <c r="T32" i="12"/>
  <c r="S65" i="12"/>
  <c r="R65" i="12"/>
  <c r="BQ74" i="18"/>
  <c r="G109" i="2"/>
  <c r="BQ73" i="18"/>
  <c r="BQ77" i="18"/>
  <c r="BQ83" i="18"/>
  <c r="BQ75" i="18"/>
  <c r="BQ80" i="18"/>
  <c r="BQ84" i="18"/>
  <c r="AN108" i="2"/>
  <c r="BQ81" i="18"/>
  <c r="BQ85" i="18"/>
  <c r="AM110" i="2"/>
  <c r="BQ82" i="18"/>
  <c r="BQ86" i="18"/>
  <c r="BP100" i="18"/>
  <c r="G108" i="2"/>
  <c r="BQ90" i="18"/>
  <c r="BQ87" i="18"/>
  <c r="BQ78" i="18"/>
  <c r="BQ88" i="18"/>
  <c r="BQ89" i="18"/>
  <c r="BQ76" i="18"/>
  <c r="AO101" i="2"/>
  <c r="C752" i="17"/>
  <c r="C753" i="17" s="1"/>
  <c r="C754" i="17" s="1"/>
  <c r="C755" i="17" s="1"/>
  <c r="C756" i="17" s="1"/>
  <c r="C757" i="17" s="1"/>
  <c r="C758" i="17" s="1"/>
  <c r="C759" i="17" s="1"/>
  <c r="C760" i="17" s="1"/>
  <c r="C761" i="17" s="1"/>
  <c r="C762" i="17" s="1"/>
  <c r="C763" i="17" s="1"/>
  <c r="C764" i="17" s="1"/>
  <c r="C765" i="17" s="1"/>
  <c r="C766" i="17" s="1"/>
  <c r="C767" i="17" s="1"/>
  <c r="C768" i="17" s="1"/>
  <c r="C769" i="17" s="1"/>
  <c r="C770" i="17" s="1"/>
  <c r="C771" i="17" s="1"/>
  <c r="C772" i="17" s="1"/>
  <c r="C773" i="17" s="1"/>
  <c r="C774" i="17" s="1"/>
  <c r="C775" i="17" s="1"/>
  <c r="C776" i="17" s="1"/>
  <c r="C777" i="17" s="1"/>
  <c r="C778" i="17" s="1"/>
  <c r="C779" i="17" s="1"/>
  <c r="C780" i="17" s="1"/>
  <c r="C781" i="17" s="1"/>
  <c r="C782" i="17" s="1"/>
  <c r="C783" i="17" s="1"/>
  <c r="C784" i="17" s="1"/>
  <c r="C785" i="17" s="1"/>
  <c r="C786" i="17" s="1"/>
  <c r="C787" i="17" s="1"/>
  <c r="C788" i="17" s="1"/>
  <c r="C789" i="17" s="1"/>
  <c r="C790" i="17" s="1"/>
  <c r="C791" i="17" s="1"/>
  <c r="C792" i="17" s="1"/>
  <c r="C793" i="17" s="1"/>
  <c r="C794" i="17" s="1"/>
  <c r="C795" i="17" s="1"/>
  <c r="C796" i="17" s="1"/>
  <c r="C797" i="17" s="1"/>
  <c r="C798" i="17" s="1"/>
  <c r="C799" i="17" s="1"/>
  <c r="C800" i="17" s="1"/>
  <c r="C801" i="17" s="1"/>
  <c r="C802" i="17" s="1"/>
  <c r="C803" i="17" s="1"/>
  <c r="C804" i="17" s="1"/>
  <c r="C805" i="17" s="1"/>
  <c r="C806" i="17" s="1"/>
  <c r="C807" i="17" s="1"/>
  <c r="C808" i="17" s="1"/>
  <c r="C809" i="17" s="1"/>
  <c r="C810" i="17" s="1"/>
  <c r="C811" i="17" s="1"/>
  <c r="C812" i="17" s="1"/>
  <c r="C813" i="17" s="1"/>
  <c r="C814" i="17" s="1"/>
  <c r="C815" i="17" s="1"/>
  <c r="C816" i="17" s="1"/>
  <c r="C817" i="17" s="1"/>
  <c r="C818" i="17" s="1"/>
  <c r="C819" i="17" s="1"/>
  <c r="C820" i="17" s="1"/>
  <c r="AO104" i="2"/>
  <c r="BO105" i="18"/>
  <c r="BP91" i="18"/>
  <c r="AN107" i="2"/>
  <c r="O39" i="19"/>
  <c r="P39" i="19"/>
  <c r="BB102" i="18"/>
  <c r="Q39" i="19"/>
  <c r="AN105" i="2"/>
  <c r="N39" i="19"/>
  <c r="BB101" i="18"/>
  <c r="AQ6" i="2"/>
  <c r="AP92" i="2"/>
  <c r="AO103" i="2"/>
  <c r="BO107" i="18"/>
  <c r="BO110" i="18" s="1"/>
  <c r="AO91" i="2"/>
  <c r="AO99" i="2"/>
  <c r="AO100" i="2"/>
  <c r="AO102" i="2"/>
  <c r="H104" i="2"/>
  <c r="H102" i="2"/>
  <c r="M39" i="19"/>
  <c r="G34" i="12"/>
  <c r="K79" i="18"/>
  <c r="K74" i="18"/>
  <c r="K76" i="18"/>
  <c r="K89" i="18"/>
  <c r="K78" i="18"/>
  <c r="K80" i="18"/>
  <c r="K83" i="18"/>
  <c r="K82" i="18"/>
  <c r="K81" i="18"/>
  <c r="K84" i="18"/>
  <c r="K73" i="18"/>
  <c r="K77" i="18"/>
  <c r="K75" i="18"/>
  <c r="L6" i="18"/>
  <c r="K72" i="18"/>
  <c r="K88" i="18"/>
  <c r="K86" i="18"/>
  <c r="K87" i="18"/>
  <c r="K85" i="18"/>
  <c r="K92" i="18"/>
  <c r="J101" i="18"/>
  <c r="BB103" i="18"/>
  <c r="BB108" i="18" s="1"/>
  <c r="G110" i="18"/>
  <c r="J6" i="2"/>
  <c r="I92" i="2"/>
  <c r="I109" i="18"/>
  <c r="J99" i="18"/>
  <c r="J91" i="18"/>
  <c r="H101" i="2"/>
  <c r="BB104" i="18"/>
  <c r="BB109" i="18" s="1"/>
  <c r="I95" i="18"/>
  <c r="I69" i="18"/>
  <c r="I43" i="18"/>
  <c r="H95" i="2"/>
  <c r="H43" i="2"/>
  <c r="H69" i="2"/>
  <c r="BB99" i="18"/>
  <c r="BB91" i="18"/>
  <c r="I96" i="2"/>
  <c r="I44" i="2"/>
  <c r="J9" i="2"/>
  <c r="I3" i="2"/>
  <c r="I8" i="2"/>
  <c r="I70" i="2"/>
  <c r="BR88" i="18"/>
  <c r="BR75" i="18"/>
  <c r="J103" i="18"/>
  <c r="J108" i="18" s="1"/>
  <c r="J100" i="18"/>
  <c r="H103" i="2"/>
  <c r="J96" i="18"/>
  <c r="K9" i="18"/>
  <c r="J44" i="18"/>
  <c r="J70" i="18"/>
  <c r="J8" i="18"/>
  <c r="R33" i="19"/>
  <c r="W7" i="19"/>
  <c r="R25" i="19"/>
  <c r="S10" i="19"/>
  <c r="H100" i="2"/>
  <c r="BC83" i="18"/>
  <c r="BC88" i="18"/>
  <c r="BC87" i="18"/>
  <c r="BC86" i="18"/>
  <c r="BC85" i="18"/>
  <c r="BC84" i="18"/>
  <c r="BC75" i="18"/>
  <c r="BC79" i="18"/>
  <c r="BC74" i="18"/>
  <c r="BC76" i="18"/>
  <c r="BC89" i="18"/>
  <c r="BC78" i="18"/>
  <c r="BC90" i="18"/>
  <c r="BC82" i="18"/>
  <c r="BC81" i="18"/>
  <c r="BC80" i="18"/>
  <c r="BD6" i="18"/>
  <c r="BC73" i="18"/>
  <c r="BC72" i="18"/>
  <c r="BC77" i="18"/>
  <c r="BC92" i="18"/>
  <c r="J104" i="18"/>
  <c r="BA105" i="18"/>
  <c r="BA107" i="18"/>
  <c r="BA110" i="18" s="1"/>
  <c r="W22" i="19"/>
  <c r="R37" i="19"/>
  <c r="V37" i="19" s="1"/>
  <c r="S23" i="19"/>
  <c r="R28" i="19"/>
  <c r="W14" i="19"/>
  <c r="R34" i="19"/>
  <c r="V34" i="19" s="1"/>
  <c r="S15" i="19"/>
  <c r="G107" i="2"/>
  <c r="G105" i="2"/>
  <c r="BB100" i="18"/>
  <c r="J102" i="18"/>
  <c r="H91" i="2"/>
  <c r="H99" i="2"/>
  <c r="BE110" i="2"/>
  <c r="BH92" i="2"/>
  <c r="BH90" i="2"/>
  <c r="BI6" i="2"/>
  <c r="BG100" i="2"/>
  <c r="BG102" i="2"/>
  <c r="BG104" i="2"/>
  <c r="BG99" i="2"/>
  <c r="BG91" i="2"/>
  <c r="BF105" i="2"/>
  <c r="BF107" i="2"/>
  <c r="BF109" i="2"/>
  <c r="BG101" i="2"/>
  <c r="BF108" i="2"/>
  <c r="BG103" i="2"/>
  <c r="DD38" i="18"/>
  <c r="DY36" i="2"/>
  <c r="DD32" i="18"/>
  <c r="DY34" i="2"/>
  <c r="DD37" i="18"/>
  <c r="DD35" i="18"/>
  <c r="CS87" i="18"/>
  <c r="CX86" i="18"/>
  <c r="CK86" i="18"/>
  <c r="CQ85" i="18"/>
  <c r="CV84" i="18"/>
  <c r="DA83" i="18"/>
  <c r="CO83" i="18"/>
  <c r="CS82" i="18"/>
  <c r="CY81" i="18"/>
  <c r="CM81" i="18"/>
  <c r="CS80" i="18"/>
  <c r="CX79" i="18"/>
  <c r="CR78" i="18"/>
  <c r="CW77" i="18"/>
  <c r="DB76" i="18"/>
  <c r="CV75" i="18"/>
  <c r="DA74" i="18"/>
  <c r="CU73" i="18"/>
  <c r="DY178" i="2"/>
  <c r="DW92" i="2"/>
  <c r="DW78" i="2"/>
  <c r="DV77" i="2"/>
  <c r="DY22" i="2"/>
  <c r="O21" i="1"/>
  <c r="CN86" i="18"/>
  <c r="CX84" i="18"/>
  <c r="CY77" i="18"/>
  <c r="DD185" i="18"/>
  <c r="DD177" i="18"/>
  <c r="CR87" i="18"/>
  <c r="CW86" i="18"/>
  <c r="DB85" i="18"/>
  <c r="CP85" i="18"/>
  <c r="CU84" i="18"/>
  <c r="CZ83" i="18"/>
  <c r="CN83" i="18"/>
  <c r="CR82" i="18"/>
  <c r="CX81" i="18"/>
  <c r="CL81" i="18"/>
  <c r="CR80" i="18"/>
  <c r="CW79" i="18"/>
  <c r="CQ78" i="18"/>
  <c r="CV77" i="18"/>
  <c r="DA76" i="18"/>
  <c r="CU75" i="18"/>
  <c r="CZ74" i="18"/>
  <c r="CT73" i="18"/>
  <c r="DD29" i="18"/>
  <c r="DY186" i="2"/>
  <c r="DY180" i="2"/>
  <c r="DV92" i="2"/>
  <c r="DV78" i="2"/>
  <c r="P21" i="1"/>
  <c r="DA81" i="18"/>
  <c r="O20" i="1"/>
  <c r="CW84" i="18"/>
  <c r="CQ87" i="18"/>
  <c r="CV86" i="18"/>
  <c r="DA85" i="18"/>
  <c r="CO85" i="18"/>
  <c r="CT84" i="18"/>
  <c r="CY83" i="18"/>
  <c r="CM83" i="18"/>
  <c r="CQ82" i="18"/>
  <c r="CW81" i="18"/>
  <c r="CK81" i="18"/>
  <c r="CQ80" i="18"/>
  <c r="CV79" i="18"/>
  <c r="DB78" i="18"/>
  <c r="CU77" i="18"/>
  <c r="CZ76" i="18"/>
  <c r="CT75" i="18"/>
  <c r="CY74" i="18"/>
  <c r="CS73" i="18"/>
  <c r="DD21" i="18"/>
  <c r="DW79" i="2"/>
  <c r="CU82" i="18"/>
  <c r="CY86" i="18"/>
  <c r="CX77" i="18"/>
  <c r="DD187" i="18"/>
  <c r="DD179" i="18"/>
  <c r="DD176" i="18"/>
  <c r="DB87" i="18"/>
  <c r="CP87" i="18"/>
  <c r="CU86" i="18"/>
  <c r="CZ85" i="18"/>
  <c r="CN85" i="18"/>
  <c r="CS84" i="18"/>
  <c r="CX83" i="18"/>
  <c r="CL83" i="18"/>
  <c r="DB82" i="18"/>
  <c r="CP82" i="18"/>
  <c r="CV81" i="18"/>
  <c r="DB80" i="18"/>
  <c r="CP80" i="18"/>
  <c r="CU79" i="18"/>
  <c r="DA78" i="18"/>
  <c r="CT77" i="18"/>
  <c r="CY76" i="18"/>
  <c r="CS75" i="18"/>
  <c r="CX74" i="18"/>
  <c r="CR73" i="18"/>
  <c r="DY177" i="2"/>
  <c r="DW80" i="2"/>
  <c r="DV79" i="2"/>
  <c r="DY26" i="2"/>
  <c r="DD178" i="18"/>
  <c r="CZ86" i="18"/>
  <c r="CU80" i="18"/>
  <c r="CR85" i="18"/>
  <c r="DB92" i="18"/>
  <c r="DA87" i="18"/>
  <c r="CO87" i="18"/>
  <c r="CT86" i="18"/>
  <c r="CY85" i="18"/>
  <c r="CM85" i="18"/>
  <c r="CR84" i="18"/>
  <c r="CW83" i="18"/>
  <c r="CK83" i="18"/>
  <c r="DA82" i="18"/>
  <c r="CO82" i="18"/>
  <c r="CU81" i="18"/>
  <c r="DA80" i="18"/>
  <c r="CO80" i="18"/>
  <c r="CT79" i="18"/>
  <c r="CZ78" i="18"/>
  <c r="CS77" i="18"/>
  <c r="CX76" i="18"/>
  <c r="CR75" i="18"/>
  <c r="CW74" i="18"/>
  <c r="CQ73" i="18"/>
  <c r="DD28" i="18"/>
  <c r="DD13" i="18"/>
  <c r="DY185" i="2"/>
  <c r="DW82" i="2"/>
  <c r="DW81" i="2"/>
  <c r="DV80" i="2"/>
  <c r="P22" i="1"/>
  <c r="DD180" i="18"/>
  <c r="CQ83" i="18"/>
  <c r="CQ74" i="18"/>
  <c r="CZ81" i="18"/>
  <c r="DA92" i="18"/>
  <c r="CZ87" i="18"/>
  <c r="CN87" i="18"/>
  <c r="CS86" i="18"/>
  <c r="CX85" i="18"/>
  <c r="CL85" i="18"/>
  <c r="CQ84" i="18"/>
  <c r="CV83" i="18"/>
  <c r="CZ82" i="18"/>
  <c r="CN82" i="18"/>
  <c r="CT81" i="18"/>
  <c r="CZ80" i="18"/>
  <c r="CN80" i="18"/>
  <c r="CS79" i="18"/>
  <c r="CY78" i="18"/>
  <c r="CR77" i="18"/>
  <c r="CW76" i="18"/>
  <c r="CQ75" i="18"/>
  <c r="CV74" i="18"/>
  <c r="DB73" i="18"/>
  <c r="DY176" i="2"/>
  <c r="DW85" i="2"/>
  <c r="DW84" i="2"/>
  <c r="DW83" i="2"/>
  <c r="DV82" i="2"/>
  <c r="DV81" i="2"/>
  <c r="DY25" i="2"/>
  <c r="CT78" i="18"/>
  <c r="CP83" i="18"/>
  <c r="CN81" i="18"/>
  <c r="CT80" i="18"/>
  <c r="DD184" i="18"/>
  <c r="CY87" i="18"/>
  <c r="CM87" i="18"/>
  <c r="CR86" i="18"/>
  <c r="CW85" i="18"/>
  <c r="DB84" i="18"/>
  <c r="CP84" i="18"/>
  <c r="CU83" i="18"/>
  <c r="CY82" i="18"/>
  <c r="CM82" i="18"/>
  <c r="CS81" i="18"/>
  <c r="CY80" i="18"/>
  <c r="CM80" i="18"/>
  <c r="CR79" i="18"/>
  <c r="CX78" i="18"/>
  <c r="CQ77" i="18"/>
  <c r="CV76" i="18"/>
  <c r="DB75" i="18"/>
  <c r="CU74" i="18"/>
  <c r="DA73" i="18"/>
  <c r="DD19" i="18"/>
  <c r="DD16" i="18"/>
  <c r="DY179" i="2"/>
  <c r="DW86" i="2"/>
  <c r="DV85" i="2"/>
  <c r="DV84" i="2"/>
  <c r="DV83" i="2"/>
  <c r="O22" i="1"/>
  <c r="CZ79" i="18"/>
  <c r="CM86" i="18"/>
  <c r="DB83" i="18"/>
  <c r="CS78" i="18"/>
  <c r="CX87" i="18"/>
  <c r="CL87" i="18"/>
  <c r="CQ86" i="18"/>
  <c r="CV85" i="18"/>
  <c r="DA84" i="18"/>
  <c r="CO84" i="18"/>
  <c r="CT83" i="18"/>
  <c r="CX82" i="18"/>
  <c r="CL82" i="18"/>
  <c r="CR81" i="18"/>
  <c r="CX80" i="18"/>
  <c r="CL80" i="18"/>
  <c r="CQ79" i="18"/>
  <c r="CW78" i="18"/>
  <c r="DB77" i="18"/>
  <c r="CU76" i="18"/>
  <c r="DA75" i="18"/>
  <c r="CT74" i="18"/>
  <c r="CZ73" i="18"/>
  <c r="DY187" i="2"/>
  <c r="DW87" i="2"/>
  <c r="DV86" i="2"/>
  <c r="DW73" i="2"/>
  <c r="DY24" i="2"/>
  <c r="CO81" i="18"/>
  <c r="CR76" i="18"/>
  <c r="CK84" i="18"/>
  <c r="DD183" i="18"/>
  <c r="CW87" i="18"/>
  <c r="DB86" i="18"/>
  <c r="CP86" i="18"/>
  <c r="CU85" i="18"/>
  <c r="CZ84" i="18"/>
  <c r="CN84" i="18"/>
  <c r="CS83" i="18"/>
  <c r="CW82" i="18"/>
  <c r="CK82" i="18"/>
  <c r="CQ81" i="18"/>
  <c r="CW80" i="18"/>
  <c r="CK80" i="18"/>
  <c r="DB79" i="18"/>
  <c r="CV78" i="18"/>
  <c r="DA77" i="18"/>
  <c r="CT76" i="18"/>
  <c r="CZ75" i="18"/>
  <c r="CS74" i="18"/>
  <c r="CY73" i="18"/>
  <c r="DV87" i="2"/>
  <c r="DW74" i="2"/>
  <c r="DV73" i="2"/>
  <c r="CS85" i="18"/>
  <c r="CW73" i="18"/>
  <c r="DW76" i="2"/>
  <c r="CT87" i="18"/>
  <c r="CY79" i="18"/>
  <c r="CV87" i="18"/>
  <c r="DA86" i="18"/>
  <c r="CO86" i="18"/>
  <c r="CT85" i="18"/>
  <c r="CY84" i="18"/>
  <c r="CM84" i="18"/>
  <c r="CR83" i="18"/>
  <c r="CV82" i="18"/>
  <c r="DB81" i="18"/>
  <c r="CP81" i="18"/>
  <c r="CV80" i="18"/>
  <c r="DA79" i="18"/>
  <c r="CU78" i="18"/>
  <c r="CZ77" i="18"/>
  <c r="CS76" i="18"/>
  <c r="CY75" i="18"/>
  <c r="CR74" i="18"/>
  <c r="CX73" i="18"/>
  <c r="DY184" i="2"/>
  <c r="DW75" i="2"/>
  <c r="DV74" i="2"/>
  <c r="DY29" i="2"/>
  <c r="P20" i="1"/>
  <c r="DD186" i="18"/>
  <c r="CU87" i="18"/>
  <c r="CL84" i="18"/>
  <c r="CX75" i="18"/>
  <c r="DV75" i="2"/>
  <c r="CT82" i="18"/>
  <c r="CV73" i="18"/>
  <c r="DD12" i="18"/>
  <c r="CW75" i="18"/>
  <c r="CQ76" i="18"/>
  <c r="DV76" i="2"/>
  <c r="DB74" i="18"/>
  <c r="DD22" i="18"/>
  <c r="DW77" i="2"/>
  <c r="DY183" i="2"/>
  <c r="DY28" i="2"/>
  <c r="DD23" i="18"/>
  <c r="EO125" i="18"/>
  <c r="EL124" i="18"/>
  <c r="EK125" i="18"/>
  <c r="EL125" i="18"/>
  <c r="DD25" i="18"/>
  <c r="DY12" i="2"/>
  <c r="EK126" i="18"/>
  <c r="EM129" i="18"/>
  <c r="EP126" i="18"/>
  <c r="EQ32" i="18"/>
  <c r="EQ126" i="18"/>
  <c r="DY20" i="2"/>
  <c r="DD20" i="18"/>
  <c r="EQ125" i="18"/>
  <c r="EN127" i="18"/>
  <c r="EL127" i="18"/>
  <c r="EQ127" i="18"/>
  <c r="FK124" i="2"/>
  <c r="FE126" i="2"/>
  <c r="EM126" i="18"/>
  <c r="EN129" i="18"/>
  <c r="EJ128" i="18"/>
  <c r="EK124" i="18"/>
  <c r="EM124" i="18"/>
  <c r="EQ124" i="18"/>
  <c r="DY13" i="2"/>
  <c r="FK127" i="2"/>
  <c r="FE124" i="2"/>
  <c r="EL129" i="18"/>
  <c r="EO126" i="18"/>
  <c r="EM125" i="18"/>
  <c r="EO129" i="18"/>
  <c r="EP32" i="18"/>
  <c r="DY16" i="2"/>
  <c r="FL32" i="2"/>
  <c r="FK125" i="2"/>
  <c r="EJ124" i="18"/>
  <c r="EO127" i="18"/>
  <c r="EP127" i="18"/>
  <c r="EN32" i="18"/>
  <c r="EJ127" i="18"/>
  <c r="CK85" i="18"/>
  <c r="DY15" i="2"/>
  <c r="EJ126" i="18"/>
  <c r="EO124" i="18"/>
  <c r="EK129" i="18"/>
  <c r="DD24" i="18"/>
  <c r="CK87" i="18"/>
  <c r="FE127" i="2"/>
  <c r="EN126" i="18"/>
  <c r="EP129" i="18"/>
  <c r="EN124" i="18"/>
  <c r="EJ129" i="18"/>
  <c r="FE125" i="2"/>
  <c r="EN125" i="18"/>
  <c r="EQ129" i="18"/>
  <c r="EO32" i="18"/>
  <c r="FL126" i="2"/>
  <c r="FK32" i="2"/>
  <c r="EP124" i="18"/>
  <c r="FK126" i="2"/>
  <c r="FL125" i="2"/>
  <c r="EK127" i="18"/>
  <c r="EP125" i="18"/>
  <c r="EJ125" i="18"/>
  <c r="CL86" i="18"/>
  <c r="FL127" i="2"/>
  <c r="FE128" i="2"/>
  <c r="EL126" i="18"/>
  <c r="FL124" i="2"/>
  <c r="FE32" i="2"/>
  <c r="EM127" i="18"/>
  <c r="DY21" i="2"/>
  <c r="DY38" i="2"/>
  <c r="DY23" i="2"/>
  <c r="DD36" i="18"/>
  <c r="DD39" i="18"/>
  <c r="DD27" i="18"/>
  <c r="EJ32" i="18"/>
  <c r="DD17" i="18"/>
  <c r="DD15" i="18"/>
  <c r="DY27" i="2"/>
  <c r="EK32" i="18"/>
  <c r="DY39" i="2"/>
  <c r="DY14" i="2"/>
  <c r="DY18" i="2"/>
  <c r="DY17" i="2"/>
  <c r="EM32" i="18"/>
  <c r="DD26" i="18"/>
  <c r="DD34" i="18"/>
  <c r="DD14" i="18"/>
  <c r="DD18" i="18"/>
  <c r="EL32" i="18"/>
  <c r="DY37" i="2"/>
  <c r="F110" i="2"/>
  <c r="N66" i="12"/>
  <c r="O22" i="17"/>
  <c r="P65" i="12"/>
  <c r="L33" i="12"/>
  <c r="C68" i="12"/>
  <c r="J84" i="12"/>
  <c r="P22" i="17"/>
  <c r="K66" i="12"/>
  <c r="K84" i="12"/>
  <c r="I33" i="12"/>
  <c r="C86" i="12"/>
  <c r="K33" i="12"/>
  <c r="M33" i="12"/>
  <c r="I84" i="12"/>
  <c r="L66" i="12"/>
  <c r="P34" i="22"/>
  <c r="N33" i="12"/>
  <c r="G35" i="12" a="1"/>
  <c r="I66" i="12"/>
  <c r="M66" i="12"/>
  <c r="N84" i="12"/>
  <c r="J66" i="12"/>
  <c r="C35" i="12"/>
  <c r="M84" i="12"/>
  <c r="P83" i="12"/>
  <c r="J33" i="12"/>
  <c r="L84" i="12"/>
  <c r="P32" i="12"/>
  <c r="O34" i="22"/>
  <c r="F20" i="12" l="1"/>
  <c r="V13" i="12"/>
  <c r="F21" i="12"/>
  <c r="F19" i="12"/>
  <c r="W13" i="12"/>
  <c r="W12" i="12"/>
  <c r="X12" i="12"/>
  <c r="V12" i="12"/>
  <c r="X13" i="12"/>
  <c r="F15" i="12"/>
  <c r="AA15" i="12" s="1"/>
  <c r="AD21" i="12" s="1"/>
  <c r="BB102" i="21"/>
  <c r="BC102" i="21"/>
  <c r="I105" i="18"/>
  <c r="BC100" i="21"/>
  <c r="CK134" i="21"/>
  <c r="CK123" i="21"/>
  <c r="CQ134" i="21"/>
  <c r="CQ135" i="21" s="1"/>
  <c r="CQ123" i="21"/>
  <c r="CR134" i="21"/>
  <c r="CR135" i="21" s="1"/>
  <c r="CR123" i="21"/>
  <c r="BB100" i="21"/>
  <c r="BB99" i="21"/>
  <c r="BB91" i="21"/>
  <c r="BB101" i="21"/>
  <c r="AO101" i="18"/>
  <c r="BC91" i="21"/>
  <c r="BC99" i="21"/>
  <c r="BC101" i="21"/>
  <c r="AG104" i="21"/>
  <c r="AG109" i="21" s="1"/>
  <c r="AG102" i="21"/>
  <c r="K36" i="22"/>
  <c r="FI113" i="2"/>
  <c r="AH95" i="21"/>
  <c r="AH43" i="21"/>
  <c r="AH69" i="21"/>
  <c r="FH113" i="2"/>
  <c r="M45" i="19"/>
  <c r="M51" i="19" s="1"/>
  <c r="AH89" i="21"/>
  <c r="AH88" i="21"/>
  <c r="AH87" i="21"/>
  <c r="AH86" i="21"/>
  <c r="AH84" i="21"/>
  <c r="AH85" i="21"/>
  <c r="AH83" i="21"/>
  <c r="AH82" i="21"/>
  <c r="AH81" i="21"/>
  <c r="AH80" i="21"/>
  <c r="AH78" i="21"/>
  <c r="AH79" i="21"/>
  <c r="AH73" i="21"/>
  <c r="AH72" i="21"/>
  <c r="AH77" i="21"/>
  <c r="AH76" i="21"/>
  <c r="AH74" i="21"/>
  <c r="AH75" i="21"/>
  <c r="AI6" i="21"/>
  <c r="AH92" i="21"/>
  <c r="AG103" i="21"/>
  <c r="AG108" i="21" s="1"/>
  <c r="AG99" i="21"/>
  <c r="AG91" i="21"/>
  <c r="AG101" i="21"/>
  <c r="FG113" i="2"/>
  <c r="FG114" i="2" s="1"/>
  <c r="AG100" i="21"/>
  <c r="FJ113" i="2"/>
  <c r="AI96" i="21"/>
  <c r="AI70" i="21"/>
  <c r="AI44" i="21"/>
  <c r="AI8" i="21"/>
  <c r="AI3" i="21"/>
  <c r="AJ9" i="21"/>
  <c r="AF107" i="21"/>
  <c r="AF110" i="21" s="1"/>
  <c r="AF105" i="21"/>
  <c r="BR81" i="18"/>
  <c r="AN105" i="18"/>
  <c r="BR80" i="18"/>
  <c r="BR73" i="18"/>
  <c r="AO104" i="18"/>
  <c r="AO109" i="18" s="1"/>
  <c r="BR74" i="18"/>
  <c r="BR83" i="18"/>
  <c r="BQ100" i="18"/>
  <c r="AP81" i="18"/>
  <c r="AP80" i="18"/>
  <c r="AO102" i="18"/>
  <c r="AO100" i="18"/>
  <c r="AO103" i="18"/>
  <c r="AO108" i="18" s="1"/>
  <c r="AP82" i="18"/>
  <c r="BR90" i="18"/>
  <c r="BR92" i="18"/>
  <c r="BR78" i="18"/>
  <c r="AP75" i="18"/>
  <c r="BS6" i="18"/>
  <c r="BS79" i="18" s="1"/>
  <c r="BR89" i="18"/>
  <c r="BR104" i="18" s="1"/>
  <c r="BR109" i="18" s="1"/>
  <c r="AQ6" i="18"/>
  <c r="AQ87" i="18" s="1"/>
  <c r="BR82" i="18"/>
  <c r="BR101" i="18" s="1"/>
  <c r="BR72" i="18"/>
  <c r="BR76" i="18"/>
  <c r="AP76" i="18"/>
  <c r="AO99" i="18"/>
  <c r="AP85" i="18"/>
  <c r="BR84" i="18"/>
  <c r="BR102" i="18" s="1"/>
  <c r="BR79" i="18"/>
  <c r="AP89" i="18"/>
  <c r="AP87" i="18"/>
  <c r="AP77" i="18"/>
  <c r="AP92" i="18"/>
  <c r="BQ102" i="18"/>
  <c r="AO91" i="18"/>
  <c r="BR85" i="18"/>
  <c r="BR77" i="18"/>
  <c r="AP78" i="18"/>
  <c r="AP88" i="18"/>
  <c r="BQ104" i="18"/>
  <c r="BQ109" i="18" s="1"/>
  <c r="AP84" i="18"/>
  <c r="BR86" i="18"/>
  <c r="AP72" i="18"/>
  <c r="AP73" i="18"/>
  <c r="AP79" i="18"/>
  <c r="AP86" i="18"/>
  <c r="AP74" i="18"/>
  <c r="BQ101" i="18"/>
  <c r="BP107" i="18"/>
  <c r="BP110" i="18" s="1"/>
  <c r="K23" i="17"/>
  <c r="BQ103" i="18"/>
  <c r="BQ108" i="18" s="1"/>
  <c r="BI80" i="2"/>
  <c r="BI84" i="2"/>
  <c r="BI88" i="2"/>
  <c r="BI83" i="2"/>
  <c r="BI87" i="2"/>
  <c r="BI86" i="2"/>
  <c r="BI82" i="2"/>
  <c r="BI85" i="2"/>
  <c r="BI81" i="2"/>
  <c r="BI89" i="2"/>
  <c r="BI79" i="2"/>
  <c r="BI73" i="2"/>
  <c r="BI78" i="2"/>
  <c r="BI72" i="2"/>
  <c r="BI77" i="2"/>
  <c r="BI75" i="2"/>
  <c r="BI74" i="2"/>
  <c r="BI76" i="2"/>
  <c r="AQ86" i="2"/>
  <c r="AQ82" i="2"/>
  <c r="AQ85" i="2"/>
  <c r="AQ81" i="2"/>
  <c r="AQ89" i="2"/>
  <c r="AQ80" i="2"/>
  <c r="AQ84" i="2"/>
  <c r="AQ88" i="2"/>
  <c r="AQ83" i="2"/>
  <c r="AQ87" i="2"/>
  <c r="AQ75" i="2"/>
  <c r="AQ79" i="2"/>
  <c r="AQ74" i="2"/>
  <c r="AQ73" i="2"/>
  <c r="AQ78" i="2"/>
  <c r="AQ72" i="2"/>
  <c r="AQ76" i="2"/>
  <c r="AQ77" i="2"/>
  <c r="J85" i="2"/>
  <c r="J89" i="2"/>
  <c r="J80" i="2"/>
  <c r="J84" i="2"/>
  <c r="J88" i="2"/>
  <c r="J87" i="2"/>
  <c r="J83" i="2"/>
  <c r="J86" i="2"/>
  <c r="J82" i="2"/>
  <c r="J75" i="2"/>
  <c r="J74" i="2"/>
  <c r="J79" i="2"/>
  <c r="J73" i="2"/>
  <c r="J78" i="2"/>
  <c r="J72" i="2"/>
  <c r="J77" i="2"/>
  <c r="J76" i="2"/>
  <c r="J81" i="2"/>
  <c r="AN110" i="2"/>
  <c r="BP105" i="18"/>
  <c r="AP102" i="2"/>
  <c r="BQ99" i="18"/>
  <c r="G110" i="2"/>
  <c r="S33" i="12"/>
  <c r="T84" i="12"/>
  <c r="R66" i="12"/>
  <c r="T66" i="12"/>
  <c r="R84" i="12"/>
  <c r="S66" i="12"/>
  <c r="T33" i="12"/>
  <c r="S84" i="12"/>
  <c r="R33" i="12"/>
  <c r="BG108" i="2"/>
  <c r="AO108" i="2"/>
  <c r="AO109" i="2"/>
  <c r="H109" i="2"/>
  <c r="BQ91" i="18"/>
  <c r="H108" i="2"/>
  <c r="AP104" i="2"/>
  <c r="O45" i="19"/>
  <c r="O51" i="19" s="1"/>
  <c r="O64" i="19" s="1"/>
  <c r="P45" i="19"/>
  <c r="P51" i="19" s="1"/>
  <c r="P64" i="19" s="1"/>
  <c r="I102" i="2"/>
  <c r="Q45" i="19"/>
  <c r="Q51" i="19" s="1"/>
  <c r="Q64" i="19" s="1"/>
  <c r="I104" i="2"/>
  <c r="N45" i="19"/>
  <c r="N51" i="19" s="1"/>
  <c r="N64" i="19" s="1"/>
  <c r="AP100" i="2"/>
  <c r="AP103" i="2"/>
  <c r="AQ92" i="2"/>
  <c r="AR6" i="2"/>
  <c r="BC100" i="18"/>
  <c r="AP99" i="2"/>
  <c r="AP91" i="2"/>
  <c r="BC103" i="18"/>
  <c r="BC108" i="18" s="1"/>
  <c r="AP101" i="2"/>
  <c r="BC101" i="18"/>
  <c r="BC104" i="18"/>
  <c r="BC109" i="18" s="1"/>
  <c r="I101" i="2"/>
  <c r="I100" i="2"/>
  <c r="AO107" i="2"/>
  <c r="AO105" i="2"/>
  <c r="FF113" i="2"/>
  <c r="FF114" i="2" s="1"/>
  <c r="CS102" i="18"/>
  <c r="CV102" i="18"/>
  <c r="G35" i="12"/>
  <c r="V33" i="19"/>
  <c r="R39" i="19"/>
  <c r="V39" i="19" s="1"/>
  <c r="K6" i="2"/>
  <c r="J92" i="2"/>
  <c r="AQ83" i="18"/>
  <c r="AQ88" i="18"/>
  <c r="AQ76" i="18"/>
  <c r="AQ89" i="18"/>
  <c r="AQ78" i="18"/>
  <c r="AQ82" i="18"/>
  <c r="AQ81" i="18"/>
  <c r="K103" i="18"/>
  <c r="K108" i="18" s="1"/>
  <c r="K102" i="18"/>
  <c r="BC99" i="18"/>
  <c r="BC91" i="18"/>
  <c r="BB105" i="18"/>
  <c r="BB107" i="18"/>
  <c r="BB110" i="18" s="1"/>
  <c r="K101" i="18"/>
  <c r="BD83" i="18"/>
  <c r="BD88" i="18"/>
  <c r="BD87" i="18"/>
  <c r="BD86" i="18"/>
  <c r="BD85" i="18"/>
  <c r="BD84" i="18"/>
  <c r="BD77" i="18"/>
  <c r="BD79" i="18"/>
  <c r="BD74" i="18"/>
  <c r="BD72" i="18"/>
  <c r="BD76" i="18"/>
  <c r="BD89" i="18"/>
  <c r="BD78" i="18"/>
  <c r="BD73" i="18"/>
  <c r="BD82" i="18"/>
  <c r="BD81" i="18"/>
  <c r="BD80" i="18"/>
  <c r="BD75" i="18"/>
  <c r="BD90" i="18"/>
  <c r="BE6" i="18"/>
  <c r="BD92" i="18"/>
  <c r="J107" i="18"/>
  <c r="J105" i="18"/>
  <c r="K104" i="18"/>
  <c r="J95" i="18"/>
  <c r="J69" i="18"/>
  <c r="J43" i="18"/>
  <c r="I103" i="2"/>
  <c r="K99" i="18"/>
  <c r="K91" i="18"/>
  <c r="L72" i="18"/>
  <c r="L89" i="18"/>
  <c r="L78" i="18"/>
  <c r="L80" i="18"/>
  <c r="L83" i="18"/>
  <c r="L82" i="18"/>
  <c r="L81" i="18"/>
  <c r="L84" i="18"/>
  <c r="L73" i="18"/>
  <c r="L88" i="18"/>
  <c r="L87" i="18"/>
  <c r="L86" i="18"/>
  <c r="L85" i="18"/>
  <c r="L75" i="18"/>
  <c r="L79" i="18"/>
  <c r="L74" i="18"/>
  <c r="L77" i="18"/>
  <c r="M6" i="18"/>
  <c r="L76" i="18"/>
  <c r="L92" i="18"/>
  <c r="J109" i="18"/>
  <c r="BC102" i="18"/>
  <c r="K96" i="18"/>
  <c r="L9" i="18"/>
  <c r="K44" i="18"/>
  <c r="K70" i="18"/>
  <c r="K8" i="18"/>
  <c r="I95" i="2"/>
  <c r="I43" i="2"/>
  <c r="I69" i="2"/>
  <c r="K100" i="18"/>
  <c r="S28" i="19"/>
  <c r="J96" i="2"/>
  <c r="K9" i="2"/>
  <c r="J3" i="2"/>
  <c r="J8" i="2"/>
  <c r="J44" i="2"/>
  <c r="J70" i="2"/>
  <c r="I99" i="2"/>
  <c r="I91" i="2"/>
  <c r="I110" i="18"/>
  <c r="H107" i="2"/>
  <c r="H105" i="2"/>
  <c r="W25" i="19"/>
  <c r="R27" i="19"/>
  <c r="W27" i="19" s="1"/>
  <c r="BS92" i="18"/>
  <c r="AP102" i="18"/>
  <c r="BI92" i="2"/>
  <c r="BI90" i="2"/>
  <c r="BJ6" i="2"/>
  <c r="BH100" i="2"/>
  <c r="BH102" i="2"/>
  <c r="BH104" i="2"/>
  <c r="BF110" i="2"/>
  <c r="BH99" i="2"/>
  <c r="BH91" i="2"/>
  <c r="BG105" i="2"/>
  <c r="BG107" i="2"/>
  <c r="BG109" i="2"/>
  <c r="BH101" i="2"/>
  <c r="BH103" i="2"/>
  <c r="DW100" i="2"/>
  <c r="CZ100" i="18"/>
  <c r="CR102" i="18"/>
  <c r="CQ101" i="18"/>
  <c r="CU102" i="18"/>
  <c r="CT102" i="18"/>
  <c r="CW102" i="18"/>
  <c r="CN103" i="18"/>
  <c r="CN108" i="18" s="1"/>
  <c r="CR103" i="18"/>
  <c r="CR100" i="18"/>
  <c r="CW103" i="18"/>
  <c r="DW102" i="2"/>
  <c r="CV103" i="18"/>
  <c r="CP102" i="18"/>
  <c r="CZ103" i="18"/>
  <c r="CW100" i="18"/>
  <c r="CQ102" i="18"/>
  <c r="DA101" i="18"/>
  <c r="CX91" i="18"/>
  <c r="CX99" i="18"/>
  <c r="CL101" i="18"/>
  <c r="DV99" i="2"/>
  <c r="DV91" i="2"/>
  <c r="CX103" i="18"/>
  <c r="CR101" i="18"/>
  <c r="CQ103" i="18"/>
  <c r="DA99" i="18"/>
  <c r="DA91" i="18"/>
  <c r="CS99" i="18"/>
  <c r="CS91" i="18"/>
  <c r="CY102" i="18"/>
  <c r="EJ134" i="18"/>
  <c r="EJ123" i="18"/>
  <c r="CY99" i="18"/>
  <c r="CY91" i="18"/>
  <c r="DW91" i="2"/>
  <c r="DW99" i="2"/>
  <c r="CX101" i="18"/>
  <c r="DB102" i="18"/>
  <c r="CP101" i="18"/>
  <c r="CZ102" i="18"/>
  <c r="CS101" i="18"/>
  <c r="CV99" i="18"/>
  <c r="CV91" i="18"/>
  <c r="CN101" i="18"/>
  <c r="CN102" i="18"/>
  <c r="CT99" i="18"/>
  <c r="CT91" i="18"/>
  <c r="CU103" i="18"/>
  <c r="CQ100" i="18"/>
  <c r="DB101" i="18"/>
  <c r="CU100" i="18"/>
  <c r="DV100" i="2"/>
  <c r="CO103" i="18"/>
  <c r="CO108" i="18" s="1"/>
  <c r="EQ134" i="18"/>
  <c r="EQ135" i="18" s="1"/>
  <c r="EQ123" i="18"/>
  <c r="DA100" i="18"/>
  <c r="CZ99" i="18"/>
  <c r="CZ91" i="18"/>
  <c r="DV102" i="2"/>
  <c r="CM103" i="18"/>
  <c r="CM108" i="18" s="1"/>
  <c r="CP103" i="18"/>
  <c r="CP108" i="18" s="1"/>
  <c r="CU101" i="18"/>
  <c r="FE123" i="2"/>
  <c r="FE134" i="2"/>
  <c r="FK134" i="2"/>
  <c r="FK135" i="2" s="1"/>
  <c r="FK123" i="2"/>
  <c r="ES32" i="18"/>
  <c r="EM134" i="18"/>
  <c r="EM123" i="18"/>
  <c r="CV101" i="18"/>
  <c r="CS100" i="18"/>
  <c r="CY103" i="18"/>
  <c r="DW101" i="2"/>
  <c r="CT100" i="18"/>
  <c r="CQ99" i="18"/>
  <c r="CQ91" i="18"/>
  <c r="FL123" i="2"/>
  <c r="FL134" i="2"/>
  <c r="FL135" i="2" s="1"/>
  <c r="EO123" i="18"/>
  <c r="EO134" i="18"/>
  <c r="EO135" i="18" s="1"/>
  <c r="EP123" i="18"/>
  <c r="EP134" i="18"/>
  <c r="EP135" i="18" s="1"/>
  <c r="EK134" i="18"/>
  <c r="EK123" i="18"/>
  <c r="CM101" i="18"/>
  <c r="DB99" i="18"/>
  <c r="DB91" i="18"/>
  <c r="CT103" i="18"/>
  <c r="CX100" i="18"/>
  <c r="O26" i="1"/>
  <c r="P26" i="1" s="1"/>
  <c r="CV100" i="18"/>
  <c r="CO102" i="18"/>
  <c r="CM102" i="18"/>
  <c r="CZ101" i="18"/>
  <c r="EN123" i="18"/>
  <c r="EN134" i="18"/>
  <c r="EN135" i="18" s="1"/>
  <c r="CK103" i="18"/>
  <c r="EL123" i="18"/>
  <c r="EL134" i="18"/>
  <c r="CW99" i="18"/>
  <c r="CW91" i="18"/>
  <c r="CK101" i="18"/>
  <c r="CY101" i="18"/>
  <c r="CT101" i="18"/>
  <c r="DV101" i="2"/>
  <c r="CR91" i="18"/>
  <c r="CR99" i="18"/>
  <c r="CL102" i="18"/>
  <c r="CU99" i="18"/>
  <c r="CU91" i="18"/>
  <c r="DA102" i="18"/>
  <c r="CY100" i="18"/>
  <c r="CK102" i="18"/>
  <c r="CS103" i="18"/>
  <c r="CW101" i="18"/>
  <c r="DB100" i="18"/>
  <c r="CL103" i="18"/>
  <c r="CL108" i="18" s="1"/>
  <c r="CO101" i="18"/>
  <c r="CX102" i="18"/>
  <c r="M34" i="12"/>
  <c r="K85" i="12"/>
  <c r="P84" i="12"/>
  <c r="J67" i="12"/>
  <c r="M85" i="12"/>
  <c r="J34" i="12"/>
  <c r="N67" i="12"/>
  <c r="P35" i="22"/>
  <c r="I85" i="12"/>
  <c r="C36" i="12"/>
  <c r="K67" i="12"/>
  <c r="P66" i="12"/>
  <c r="M67" i="12"/>
  <c r="P33" i="12"/>
  <c r="O35" i="22"/>
  <c r="L67" i="12"/>
  <c r="I34" i="12"/>
  <c r="J85" i="12"/>
  <c r="L34" i="12"/>
  <c r="N85" i="12"/>
  <c r="C87" i="12"/>
  <c r="L85" i="12"/>
  <c r="O23" i="17"/>
  <c r="P23" i="17"/>
  <c r="N34" i="12"/>
  <c r="G36" i="12" a="1"/>
  <c r="C69" i="12"/>
  <c r="I67" i="12"/>
  <c r="K34" i="12"/>
  <c r="F23" i="12" l="1"/>
  <c r="F24" i="12" s="1"/>
  <c r="AD19" i="12"/>
  <c r="BB108" i="21"/>
  <c r="BB110" i="21" s="1"/>
  <c r="BB112" i="21" s="1"/>
  <c r="BB105" i="21"/>
  <c r="CR151" i="21"/>
  <c r="CR93" i="21"/>
  <c r="CR95" i="21" s="1"/>
  <c r="CR136" i="21"/>
  <c r="CR130" i="21" s="1"/>
  <c r="CR131" i="21" s="1"/>
  <c r="CQ151" i="21"/>
  <c r="CQ93" i="21"/>
  <c r="CQ95" i="21" s="1"/>
  <c r="CQ136" i="21"/>
  <c r="CQ130" i="21" s="1"/>
  <c r="CQ131" i="21" s="1"/>
  <c r="CK93" i="21"/>
  <c r="CK95" i="21" s="1"/>
  <c r="CK151" i="21"/>
  <c r="BC108" i="21"/>
  <c r="BC110" i="21" s="1"/>
  <c r="BC112" i="21" s="1"/>
  <c r="BC105" i="21"/>
  <c r="CK135" i="21"/>
  <c r="CK136" i="21"/>
  <c r="CK130" i="21" s="1"/>
  <c r="AH102" i="21"/>
  <c r="AH100" i="21"/>
  <c r="AH103" i="21"/>
  <c r="AH108" i="21" s="1"/>
  <c r="AH101" i="21"/>
  <c r="K37" i="22"/>
  <c r="AJ96" i="21"/>
  <c r="AJ70" i="21"/>
  <c r="AJ44" i="21"/>
  <c r="AJ8" i="21"/>
  <c r="AJ3" i="21"/>
  <c r="AK9" i="21"/>
  <c r="AG107" i="21"/>
  <c r="AG110" i="21" s="1"/>
  <c r="AG105" i="21"/>
  <c r="AI95" i="21"/>
  <c r="AI43" i="21"/>
  <c r="AI69" i="21"/>
  <c r="AI89" i="21"/>
  <c r="AI88" i="21"/>
  <c r="AI86" i="21"/>
  <c r="AI85" i="21"/>
  <c r="AI87" i="21"/>
  <c r="AI80" i="21"/>
  <c r="AI83" i="21"/>
  <c r="AI84" i="21"/>
  <c r="AI82" i="21"/>
  <c r="AI81" i="21"/>
  <c r="AI78" i="21"/>
  <c r="AI79" i="21"/>
  <c r="AI77" i="21"/>
  <c r="AI76" i="21"/>
  <c r="AI74" i="21"/>
  <c r="AI75" i="21"/>
  <c r="AI73" i="21"/>
  <c r="AI72" i="21"/>
  <c r="AJ6" i="21"/>
  <c r="AI92" i="21"/>
  <c r="AH91" i="21"/>
  <c r="AH99" i="21"/>
  <c r="AH104" i="21"/>
  <c r="AH109" i="21" s="1"/>
  <c r="AO105" i="18"/>
  <c r="BR99" i="18"/>
  <c r="AO107" i="18"/>
  <c r="AO110" i="18" s="1"/>
  <c r="AP101" i="18"/>
  <c r="BS75" i="18"/>
  <c r="BS74" i="18"/>
  <c r="BS73" i="18"/>
  <c r="BT6" i="18"/>
  <c r="BS83" i="18"/>
  <c r="BS77" i="18"/>
  <c r="BS80" i="18"/>
  <c r="BS72" i="18"/>
  <c r="BS81" i="18"/>
  <c r="BS82" i="18"/>
  <c r="AP99" i="18"/>
  <c r="AP103" i="18"/>
  <c r="AP108" i="18" s="1"/>
  <c r="AP100" i="18"/>
  <c r="BQ105" i="18"/>
  <c r="AQ79" i="18"/>
  <c r="AQ75" i="18"/>
  <c r="BQ107" i="18"/>
  <c r="BQ110" i="18" s="1"/>
  <c r="AQ74" i="18"/>
  <c r="AQ92" i="18"/>
  <c r="BS90" i="18"/>
  <c r="AQ73" i="18"/>
  <c r="BS85" i="18"/>
  <c r="BS78" i="18"/>
  <c r="AR6" i="18"/>
  <c r="AR79" i="18" s="1"/>
  <c r="BS89" i="18"/>
  <c r="AQ77" i="18"/>
  <c r="AQ100" i="18" s="1"/>
  <c r="BS87" i="18"/>
  <c r="BS76" i="18"/>
  <c r="AQ72" i="18"/>
  <c r="AQ86" i="18"/>
  <c r="BS84" i="18"/>
  <c r="AQ84" i="18"/>
  <c r="AQ102" i="18" s="1"/>
  <c r="BS86" i="18"/>
  <c r="AQ85" i="18"/>
  <c r="AQ103" i="18" s="1"/>
  <c r="AQ108" i="18" s="1"/>
  <c r="BS88" i="18"/>
  <c r="BS104" i="18" s="1"/>
  <c r="BS109" i="18" s="1"/>
  <c r="AQ80" i="18"/>
  <c r="AQ101" i="18" s="1"/>
  <c r="BR100" i="18"/>
  <c r="BR107" i="18" s="1"/>
  <c r="BR103" i="18"/>
  <c r="BR108" i="18" s="1"/>
  <c r="AP91" i="18"/>
  <c r="AP104" i="18"/>
  <c r="AP109" i="18" s="1"/>
  <c r="BR91" i="18"/>
  <c r="K24" i="17"/>
  <c r="AR86" i="2"/>
  <c r="AR82" i="2"/>
  <c r="AR85" i="2"/>
  <c r="AR81" i="2"/>
  <c r="AR89" i="2"/>
  <c r="AR80" i="2"/>
  <c r="AR84" i="2"/>
  <c r="AR88" i="2"/>
  <c r="AR83" i="2"/>
  <c r="AR87" i="2"/>
  <c r="AR76" i="2"/>
  <c r="AR75" i="2"/>
  <c r="AR79" i="2"/>
  <c r="AR74" i="2"/>
  <c r="AR73" i="2"/>
  <c r="AR78" i="2"/>
  <c r="AR72" i="2"/>
  <c r="AR77" i="2"/>
  <c r="BJ84" i="2"/>
  <c r="BJ88" i="2"/>
  <c r="BJ83" i="2"/>
  <c r="BJ87" i="2"/>
  <c r="BJ86" i="2"/>
  <c r="BJ82" i="2"/>
  <c r="BJ85" i="2"/>
  <c r="BJ81" i="2"/>
  <c r="BJ89" i="2"/>
  <c r="BJ80" i="2"/>
  <c r="BJ78" i="2"/>
  <c r="BJ72" i="2"/>
  <c r="BJ77" i="2"/>
  <c r="BJ76" i="2"/>
  <c r="BJ75" i="2"/>
  <c r="BJ74" i="2"/>
  <c r="BJ79" i="2"/>
  <c r="BJ73" i="2"/>
  <c r="K85" i="2"/>
  <c r="K81" i="2"/>
  <c r="K89" i="2"/>
  <c r="K80" i="2"/>
  <c r="K84" i="2"/>
  <c r="K88" i="2"/>
  <c r="K87" i="2"/>
  <c r="K83" i="2"/>
  <c r="K86" i="2"/>
  <c r="K82" i="2"/>
  <c r="K74" i="2"/>
  <c r="K79" i="2"/>
  <c r="K73" i="2"/>
  <c r="K78" i="2"/>
  <c r="K72" i="2"/>
  <c r="K77" i="2"/>
  <c r="K76" i="2"/>
  <c r="K75" i="2"/>
  <c r="J11" i="12"/>
  <c r="L11" i="12"/>
  <c r="M11" i="12"/>
  <c r="K11" i="12"/>
  <c r="N11" i="12"/>
  <c r="I11" i="12"/>
  <c r="AO110" i="2"/>
  <c r="H110" i="2"/>
  <c r="T85" i="12"/>
  <c r="T67" i="12"/>
  <c r="S67" i="12"/>
  <c r="R67" i="12"/>
  <c r="S85" i="12"/>
  <c r="R34" i="12"/>
  <c r="R85" i="12"/>
  <c r="T34" i="12"/>
  <c r="S34" i="12"/>
  <c r="AP109" i="2"/>
  <c r="BH108" i="2"/>
  <c r="AP108" i="2"/>
  <c r="I109" i="2"/>
  <c r="I108" i="2"/>
  <c r="AQ102" i="2"/>
  <c r="BS102" i="18"/>
  <c r="AQ103" i="2"/>
  <c r="BD101" i="18"/>
  <c r="BD103" i="18"/>
  <c r="BD108" i="18" s="1"/>
  <c r="AQ104" i="2"/>
  <c r="R45" i="19"/>
  <c r="AQ101" i="2"/>
  <c r="AQ100" i="2"/>
  <c r="AP105" i="2"/>
  <c r="AP107" i="2"/>
  <c r="AQ99" i="2"/>
  <c r="AQ91" i="2"/>
  <c r="BD104" i="18"/>
  <c r="BD109" i="18" s="1"/>
  <c r="AS6" i="2"/>
  <c r="AR92" i="2"/>
  <c r="J102" i="2"/>
  <c r="J104" i="2"/>
  <c r="J101" i="2"/>
  <c r="G36" i="12"/>
  <c r="L104" i="18"/>
  <c r="J99" i="2"/>
  <c r="J110" i="18"/>
  <c r="BD99" i="18"/>
  <c r="BD91" i="18"/>
  <c r="BC105" i="18"/>
  <c r="BC107" i="18"/>
  <c r="BC110" i="18" s="1"/>
  <c r="J91" i="2"/>
  <c r="I107" i="2"/>
  <c r="I105" i="2"/>
  <c r="K95" i="18"/>
  <c r="K69" i="18"/>
  <c r="K43" i="18"/>
  <c r="K105" i="18"/>
  <c r="BE88" i="18"/>
  <c r="BE87" i="18"/>
  <c r="BE86" i="18"/>
  <c r="BE85" i="18"/>
  <c r="BE84" i="18"/>
  <c r="BE75" i="18"/>
  <c r="BE77" i="18"/>
  <c r="BE79" i="18"/>
  <c r="BE72" i="18"/>
  <c r="BE76" i="18"/>
  <c r="BE89" i="18"/>
  <c r="BE78" i="18"/>
  <c r="BE90" i="18"/>
  <c r="BE82" i="18"/>
  <c r="BE81" i="18"/>
  <c r="BE80" i="18"/>
  <c r="BE83" i="18"/>
  <c r="BE102" i="18" s="1"/>
  <c r="BE73" i="18"/>
  <c r="BF6" i="18"/>
  <c r="BE74" i="18"/>
  <c r="BE92" i="18"/>
  <c r="L6" i="2"/>
  <c r="K92" i="2"/>
  <c r="M74" i="18"/>
  <c r="M76" i="18"/>
  <c r="M89" i="18"/>
  <c r="M80" i="18"/>
  <c r="M83" i="18"/>
  <c r="M82" i="18"/>
  <c r="M81" i="18"/>
  <c r="M84" i="18"/>
  <c r="M88" i="18"/>
  <c r="M87" i="18"/>
  <c r="M86" i="18"/>
  <c r="M85" i="18"/>
  <c r="M75" i="18"/>
  <c r="M77" i="18"/>
  <c r="M73" i="18"/>
  <c r="N6" i="18"/>
  <c r="M79" i="18"/>
  <c r="M72" i="18"/>
  <c r="M78" i="18"/>
  <c r="M92" i="18"/>
  <c r="BD100" i="18"/>
  <c r="L100" i="18"/>
  <c r="L102" i="18"/>
  <c r="L96" i="18"/>
  <c r="M9" i="18"/>
  <c r="L44" i="18"/>
  <c r="L70" i="18"/>
  <c r="L8" i="18"/>
  <c r="L101" i="18"/>
  <c r="J95" i="2"/>
  <c r="J69" i="2"/>
  <c r="J43" i="2"/>
  <c r="J103" i="2"/>
  <c r="BT74" i="18"/>
  <c r="BT72" i="18"/>
  <c r="BT89" i="18"/>
  <c r="BT78" i="18"/>
  <c r="BT90" i="18"/>
  <c r="BT82" i="18"/>
  <c r="BT81" i="18"/>
  <c r="BT80" i="18"/>
  <c r="BT83" i="18"/>
  <c r="BT73" i="18"/>
  <c r="BT88" i="18"/>
  <c r="BT87" i="18"/>
  <c r="BT86" i="18"/>
  <c r="BT85" i="18"/>
  <c r="BT84" i="18"/>
  <c r="BT75" i="18"/>
  <c r="BT79" i="18"/>
  <c r="BT76" i="18"/>
  <c r="BT77" i="18"/>
  <c r="BU6" i="18"/>
  <c r="BT92" i="18"/>
  <c r="K96" i="2"/>
  <c r="K70" i="2"/>
  <c r="L9" i="2"/>
  <c r="K3" i="2"/>
  <c r="K8" i="2"/>
  <c r="K44" i="2"/>
  <c r="L103" i="18"/>
  <c r="L108" i="18" s="1"/>
  <c r="L99" i="18"/>
  <c r="L91" i="18"/>
  <c r="M64" i="19"/>
  <c r="R64" i="19" s="1"/>
  <c r="R51" i="19"/>
  <c r="BD102" i="18"/>
  <c r="K107" i="18"/>
  <c r="K109" i="18"/>
  <c r="AQ104" i="18"/>
  <c r="AQ109" i="18" s="1"/>
  <c r="J100" i="2"/>
  <c r="BG110" i="2"/>
  <c r="BJ90" i="2"/>
  <c r="BJ92" i="2"/>
  <c r="BK6" i="2"/>
  <c r="BI100" i="2"/>
  <c r="BI102" i="2"/>
  <c r="BH105" i="2"/>
  <c r="BH107" i="2"/>
  <c r="BI104" i="2"/>
  <c r="BI99" i="2"/>
  <c r="BI91" i="2"/>
  <c r="BH109" i="2"/>
  <c r="BI101" i="2"/>
  <c r="BI103" i="2"/>
  <c r="CZ108" i="18"/>
  <c r="CZ110" i="18" s="1"/>
  <c r="CZ112" i="18" s="1"/>
  <c r="CR108" i="18"/>
  <c r="CR110" i="18" s="1"/>
  <c r="CR112" i="18" s="1"/>
  <c r="CR105" i="18"/>
  <c r="FK136" i="2"/>
  <c r="FK130" i="2" s="1"/>
  <c r="FK131" i="2" s="1"/>
  <c r="FE151" i="2"/>
  <c r="FE93" i="2"/>
  <c r="CS105" i="18"/>
  <c r="CS108" i="18"/>
  <c r="CS110" i="18" s="1"/>
  <c r="CS112" i="18" s="1"/>
  <c r="DV108" i="2"/>
  <c r="DV110" i="2" s="1"/>
  <c r="DV112" i="2" s="1"/>
  <c r="DV105" i="2"/>
  <c r="EL93" i="18"/>
  <c r="EL151" i="18"/>
  <c r="FE135" i="2"/>
  <c r="FE136" i="2"/>
  <c r="FE130" i="2" s="1"/>
  <c r="CK108" i="18"/>
  <c r="EQ151" i="18"/>
  <c r="EQ93" i="18"/>
  <c r="EQ95" i="18" s="1"/>
  <c r="DW105" i="2"/>
  <c r="DW108" i="2"/>
  <c r="DW110" i="2" s="1"/>
  <c r="DW112" i="2" s="1"/>
  <c r="FK151" i="2"/>
  <c r="FK93" i="2"/>
  <c r="FK95" i="2" s="1"/>
  <c r="EQ136" i="18"/>
  <c r="EQ130" i="18" s="1"/>
  <c r="EQ131" i="18" s="1"/>
  <c r="DA108" i="18"/>
  <c r="DA110" i="18" s="1"/>
  <c r="DA112" i="18" s="1"/>
  <c r="DA105" i="18"/>
  <c r="DB108" i="18"/>
  <c r="DB110" i="18" s="1"/>
  <c r="DB112" i="18" s="1"/>
  <c r="EO136" i="18"/>
  <c r="EO130" i="18" s="1"/>
  <c r="EO131" i="18" s="1"/>
  <c r="EN136" i="18"/>
  <c r="EN130" i="18" s="1"/>
  <c r="EN131" i="18" s="1"/>
  <c r="EO151" i="18"/>
  <c r="EO93" i="18"/>
  <c r="EO95" i="18" s="1"/>
  <c r="CZ105" i="18"/>
  <c r="CQ108" i="18"/>
  <c r="CQ110" i="18" s="1"/>
  <c r="CQ112" i="18" s="1"/>
  <c r="CQ105" i="18"/>
  <c r="EN151" i="18"/>
  <c r="EN93" i="18"/>
  <c r="EN95" i="18" s="1"/>
  <c r="FL136" i="2"/>
  <c r="FL130" i="2" s="1"/>
  <c r="FL131" i="2" s="1"/>
  <c r="EM93" i="18"/>
  <c r="EM151" i="18"/>
  <c r="CV108" i="18"/>
  <c r="CV110" i="18" s="1"/>
  <c r="CV112" i="18" s="1"/>
  <c r="CV105" i="18"/>
  <c r="CY108" i="18"/>
  <c r="CY110" i="18" s="1"/>
  <c r="CY112" i="18" s="1"/>
  <c r="CY105" i="18"/>
  <c r="CW105" i="18"/>
  <c r="CW108" i="18"/>
  <c r="CW110" i="18" s="1"/>
  <c r="CW112" i="18" s="1"/>
  <c r="EJ135" i="18"/>
  <c r="EJ136" i="18"/>
  <c r="EJ130" i="18" s="1"/>
  <c r="EP136" i="18"/>
  <c r="EP130" i="18" s="1"/>
  <c r="EP131" i="18" s="1"/>
  <c r="CT105" i="18"/>
  <c r="CT108" i="18"/>
  <c r="CT110" i="18" s="1"/>
  <c r="CT112" i="18" s="1"/>
  <c r="FL151" i="2"/>
  <c r="FL93" i="2"/>
  <c r="FL95" i="2" s="1"/>
  <c r="CX105" i="18"/>
  <c r="CX108" i="18"/>
  <c r="CX110" i="18" s="1"/>
  <c r="CX112" i="18" s="1"/>
  <c r="EP151" i="18"/>
  <c r="EP93" i="18"/>
  <c r="EP95" i="18" s="1"/>
  <c r="DB105" i="18"/>
  <c r="CU105" i="18"/>
  <c r="CU108" i="18"/>
  <c r="CU110" i="18" s="1"/>
  <c r="CU112" i="18" s="1"/>
  <c r="EK93" i="18"/>
  <c r="EK151" i="18"/>
  <c r="ES123" i="18"/>
  <c r="ES141" i="18" s="1"/>
  <c r="EJ151" i="18"/>
  <c r="EJ93" i="18"/>
  <c r="K86" i="12"/>
  <c r="N68" i="12"/>
  <c r="J86" i="12"/>
  <c r="N35" i="12"/>
  <c r="P85" i="12"/>
  <c r="M86" i="12"/>
  <c r="J68" i="12"/>
  <c r="L86" i="12"/>
  <c r="L68" i="12"/>
  <c r="N86" i="12"/>
  <c r="C88" i="12"/>
  <c r="K68" i="12"/>
  <c r="K35" i="12"/>
  <c r="O36" i="22"/>
  <c r="C70" i="12"/>
  <c r="P24" i="17"/>
  <c r="G37" i="12" a="1"/>
  <c r="I86" i="12"/>
  <c r="J35" i="12"/>
  <c r="C37" i="12"/>
  <c r="L35" i="12"/>
  <c r="M35" i="12"/>
  <c r="P67" i="12"/>
  <c r="P36" i="22"/>
  <c r="I35" i="12"/>
  <c r="O24" i="17"/>
  <c r="P34" i="12"/>
  <c r="M68" i="12"/>
  <c r="I68" i="12"/>
  <c r="CQ137" i="21" l="1"/>
  <c r="CK137" i="21"/>
  <c r="CR137" i="21"/>
  <c r="AI100" i="21"/>
  <c r="AI101" i="21"/>
  <c r="AI104" i="21"/>
  <c r="AI109" i="21" s="1"/>
  <c r="AI102" i="21"/>
  <c r="K38" i="22"/>
  <c r="AI99" i="21"/>
  <c r="AI91" i="21"/>
  <c r="AK96" i="21"/>
  <c r="AK70" i="21"/>
  <c r="AK8" i="21"/>
  <c r="AK3" i="21"/>
  <c r="AL9" i="21"/>
  <c r="AK44" i="21"/>
  <c r="AI103" i="21"/>
  <c r="AI108" i="21" s="1"/>
  <c r="AJ95" i="21"/>
  <c r="AJ69" i="21"/>
  <c r="AJ43" i="21"/>
  <c r="AH105" i="21"/>
  <c r="AH107" i="21"/>
  <c r="AH110" i="21" s="1"/>
  <c r="AJ89" i="21"/>
  <c r="AJ88" i="21"/>
  <c r="AJ87" i="21"/>
  <c r="AJ86" i="21"/>
  <c r="AJ85" i="21"/>
  <c r="AJ83" i="21"/>
  <c r="AJ82" i="21"/>
  <c r="AJ84" i="21"/>
  <c r="AJ81" i="21"/>
  <c r="AJ80" i="21"/>
  <c r="AJ79" i="21"/>
  <c r="AJ77" i="21"/>
  <c r="AJ78" i="21"/>
  <c r="AJ73" i="21"/>
  <c r="AJ72" i="21"/>
  <c r="AJ76" i="21"/>
  <c r="AJ74" i="21"/>
  <c r="AJ75" i="21"/>
  <c r="AK6" i="21"/>
  <c r="AJ92" i="21"/>
  <c r="AQ99" i="18"/>
  <c r="BS101" i="18"/>
  <c r="BS100" i="18"/>
  <c r="AP107" i="18"/>
  <c r="AP110" i="18" s="1"/>
  <c r="BS103" i="18"/>
  <c r="BS108" i="18" s="1"/>
  <c r="BS99" i="18"/>
  <c r="AR73" i="18"/>
  <c r="AP105" i="18"/>
  <c r="AR77" i="18"/>
  <c r="AS6" i="18"/>
  <c r="AS75" i="18" s="1"/>
  <c r="AR84" i="18"/>
  <c r="AR85" i="18"/>
  <c r="AR80" i="18"/>
  <c r="AQ91" i="18"/>
  <c r="BR110" i="18"/>
  <c r="AR87" i="18"/>
  <c r="BR105" i="18"/>
  <c r="AR83" i="18"/>
  <c r="BS91" i="18"/>
  <c r="AR72" i="18"/>
  <c r="AR86" i="18"/>
  <c r="AR82" i="18"/>
  <c r="AR88" i="18"/>
  <c r="AR78" i="18"/>
  <c r="AR100" i="18" s="1"/>
  <c r="AR76" i="18"/>
  <c r="AR74" i="18"/>
  <c r="AR81" i="18"/>
  <c r="AR75" i="18"/>
  <c r="AR89" i="18"/>
  <c r="AR92" i="18"/>
  <c r="K25" i="17"/>
  <c r="L89" i="2"/>
  <c r="L84" i="2"/>
  <c r="L88" i="2"/>
  <c r="L87" i="2"/>
  <c r="L83" i="2"/>
  <c r="L86" i="2"/>
  <c r="L82" i="2"/>
  <c r="L85" i="2"/>
  <c r="L81" i="2"/>
  <c r="L79" i="2"/>
  <c r="L73" i="2"/>
  <c r="L78" i="2"/>
  <c r="L72" i="2"/>
  <c r="L77" i="2"/>
  <c r="L80" i="2"/>
  <c r="L76" i="2"/>
  <c r="L75" i="2"/>
  <c r="L74" i="2"/>
  <c r="BT104" i="18"/>
  <c r="BT109" i="18" s="1"/>
  <c r="BK88" i="2"/>
  <c r="BK83" i="2"/>
  <c r="BK87" i="2"/>
  <c r="BK86" i="2"/>
  <c r="BK82" i="2"/>
  <c r="BK85" i="2"/>
  <c r="BK81" i="2"/>
  <c r="BK89" i="2"/>
  <c r="BK80" i="2"/>
  <c r="BK84" i="2"/>
  <c r="BK78" i="2"/>
  <c r="BK72" i="2"/>
  <c r="BK77" i="2"/>
  <c r="BK76" i="2"/>
  <c r="BK75" i="2"/>
  <c r="BK74" i="2"/>
  <c r="BK79" i="2"/>
  <c r="BK73" i="2"/>
  <c r="AS85" i="2"/>
  <c r="AS81" i="2"/>
  <c r="AS89" i="2"/>
  <c r="AS80" i="2"/>
  <c r="AS84" i="2"/>
  <c r="AS88" i="2"/>
  <c r="AS83" i="2"/>
  <c r="AS87" i="2"/>
  <c r="AS86" i="2"/>
  <c r="AS82" i="2"/>
  <c r="AS75" i="2"/>
  <c r="AS79" i="2"/>
  <c r="AS74" i="2"/>
  <c r="AS73" i="2"/>
  <c r="AS78" i="2"/>
  <c r="AS72" i="2"/>
  <c r="AS77" i="2"/>
  <c r="AS76" i="2"/>
  <c r="I110" i="2"/>
  <c r="T68" i="12"/>
  <c r="R68" i="12"/>
  <c r="S35" i="12"/>
  <c r="S68" i="12"/>
  <c r="T86" i="12"/>
  <c r="S86" i="12"/>
  <c r="T35" i="12"/>
  <c r="R86" i="12"/>
  <c r="R35" i="12"/>
  <c r="AQ109" i="2"/>
  <c r="AQ108" i="2"/>
  <c r="J109" i="2"/>
  <c r="BI108" i="2"/>
  <c r="AP110" i="2"/>
  <c r="J108" i="2"/>
  <c r="BT102" i="18"/>
  <c r="AR100" i="2"/>
  <c r="AR102" i="2"/>
  <c r="AR103" i="2"/>
  <c r="AT6" i="2"/>
  <c r="AS92" i="2"/>
  <c r="AQ107" i="2"/>
  <c r="AQ105" i="2"/>
  <c r="AR99" i="2"/>
  <c r="AR91" i="2"/>
  <c r="AR104" i="2"/>
  <c r="BT101" i="18"/>
  <c r="AR101" i="2"/>
  <c r="J107" i="2"/>
  <c r="BT100" i="18"/>
  <c r="G37" i="12"/>
  <c r="L96" i="2"/>
  <c r="L70" i="2"/>
  <c r="L8" i="2"/>
  <c r="L44" i="2"/>
  <c r="L3" i="2"/>
  <c r="M9" i="2"/>
  <c r="M99" i="18"/>
  <c r="M91" i="18"/>
  <c r="BE101" i="18"/>
  <c r="BE103" i="18"/>
  <c r="BE108" i="18" s="1"/>
  <c r="M102" i="18"/>
  <c r="AS88" i="18"/>
  <c r="AS87" i="18"/>
  <c r="AS86" i="18"/>
  <c r="AS85" i="18"/>
  <c r="AS84" i="18"/>
  <c r="AS79" i="18"/>
  <c r="AS72" i="18"/>
  <c r="AS78" i="18"/>
  <c r="AS82" i="18"/>
  <c r="AS81" i="18"/>
  <c r="AS80" i="18"/>
  <c r="AS83" i="18"/>
  <c r="AS73" i="18"/>
  <c r="AS74" i="18"/>
  <c r="AS92" i="18"/>
  <c r="L107" i="18"/>
  <c r="N89" i="18"/>
  <c r="N78" i="18"/>
  <c r="N80" i="18"/>
  <c r="N83" i="18"/>
  <c r="N82" i="18"/>
  <c r="N81" i="18"/>
  <c r="N84" i="18"/>
  <c r="N73" i="18"/>
  <c r="N88" i="18"/>
  <c r="N87" i="18"/>
  <c r="N86" i="18"/>
  <c r="N85" i="18"/>
  <c r="N75" i="18"/>
  <c r="N77" i="18"/>
  <c r="N79" i="18"/>
  <c r="N74" i="18"/>
  <c r="O6" i="18"/>
  <c r="N76" i="18"/>
  <c r="N72" i="18"/>
  <c r="N92" i="18"/>
  <c r="M101" i="18"/>
  <c r="K104" i="2"/>
  <c r="AQ105" i="18"/>
  <c r="AQ107" i="18"/>
  <c r="AQ110" i="18" s="1"/>
  <c r="L95" i="18"/>
  <c r="L43" i="18"/>
  <c r="L69" i="18"/>
  <c r="BE104" i="18"/>
  <c r="BE109" i="18" s="1"/>
  <c r="BU76" i="18"/>
  <c r="BU89" i="18"/>
  <c r="BU78" i="18"/>
  <c r="BU90" i="18"/>
  <c r="BU82" i="18"/>
  <c r="BU81" i="18"/>
  <c r="BU80" i="18"/>
  <c r="BU83" i="18"/>
  <c r="BU88" i="18"/>
  <c r="BU87" i="18"/>
  <c r="BU86" i="18"/>
  <c r="BU85" i="18"/>
  <c r="BU84" i="18"/>
  <c r="BU75" i="18"/>
  <c r="BU77" i="18"/>
  <c r="BU74" i="18"/>
  <c r="BU79" i="18"/>
  <c r="BU73" i="18"/>
  <c r="BU72" i="18"/>
  <c r="BV6" i="18"/>
  <c r="BU92" i="18"/>
  <c r="M100" i="18"/>
  <c r="K103" i="2"/>
  <c r="BD105" i="18"/>
  <c r="BD107" i="18"/>
  <c r="BD110" i="18" s="1"/>
  <c r="M96" i="18"/>
  <c r="M44" i="18"/>
  <c r="M70" i="18"/>
  <c r="M8" i="18"/>
  <c r="N9" i="18"/>
  <c r="M103" i="18"/>
  <c r="K100" i="2"/>
  <c r="K110" i="18"/>
  <c r="L105" i="18"/>
  <c r="K99" i="2"/>
  <c r="K91" i="2"/>
  <c r="BE99" i="18"/>
  <c r="BE91" i="18"/>
  <c r="J105" i="2"/>
  <c r="M104" i="18"/>
  <c r="BF77" i="18"/>
  <c r="BF79" i="18"/>
  <c r="BF76" i="18"/>
  <c r="BF89" i="18"/>
  <c r="BF78" i="18"/>
  <c r="BF90" i="18"/>
  <c r="BF82" i="18"/>
  <c r="BF81" i="18"/>
  <c r="BF80" i="18"/>
  <c r="BF88" i="18"/>
  <c r="BF87" i="18"/>
  <c r="BF86" i="18"/>
  <c r="BF85" i="18"/>
  <c r="BF84" i="18"/>
  <c r="BF75" i="18"/>
  <c r="BF73" i="18"/>
  <c r="BF83" i="18"/>
  <c r="BF72" i="18"/>
  <c r="BF74" i="18"/>
  <c r="BG6" i="18"/>
  <c r="BF92" i="18"/>
  <c r="BE100" i="18"/>
  <c r="L109" i="18"/>
  <c r="K69" i="2"/>
  <c r="K95" i="2"/>
  <c r="K43" i="2"/>
  <c r="BT103" i="18"/>
  <c r="BT108" i="18" s="1"/>
  <c r="BT99" i="18"/>
  <c r="BT91" i="18"/>
  <c r="K102" i="2"/>
  <c r="BS107" i="18"/>
  <c r="BS110" i="18" s="1"/>
  <c r="BS105" i="18"/>
  <c r="M6" i="2"/>
  <c r="L92" i="2"/>
  <c r="K101" i="2"/>
  <c r="BI109" i="2"/>
  <c r="BJ99" i="2"/>
  <c r="BJ91" i="2"/>
  <c r="BJ102" i="2"/>
  <c r="BH110" i="2"/>
  <c r="BJ104" i="2"/>
  <c r="BJ101" i="2"/>
  <c r="BJ103" i="2"/>
  <c r="BK92" i="2"/>
  <c r="BK90" i="2"/>
  <c r="BL6" i="2"/>
  <c r="BJ100" i="2"/>
  <c r="BI105" i="2"/>
  <c r="BI107" i="2"/>
  <c r="EP137" i="18"/>
  <c r="EO137" i="18"/>
  <c r="EQ137" i="18"/>
  <c r="ES93" i="18"/>
  <c r="EN137" i="18"/>
  <c r="FE95" i="2"/>
  <c r="FE137" i="2"/>
  <c r="FK137" i="2"/>
  <c r="EK135" i="18"/>
  <c r="EJ137" i="18"/>
  <c r="FL137" i="2"/>
  <c r="L69" i="12"/>
  <c r="M69" i="12"/>
  <c r="P68" i="12"/>
  <c r="I36" i="12"/>
  <c r="M87" i="12"/>
  <c r="P25" i="17"/>
  <c r="N87" i="12"/>
  <c r="K69" i="12"/>
  <c r="G38" i="12" a="1"/>
  <c r="P37" i="22"/>
  <c r="C71" i="12"/>
  <c r="P86" i="12"/>
  <c r="C38" i="12"/>
  <c r="P35" i="12"/>
  <c r="J87" i="12"/>
  <c r="O25" i="17"/>
  <c r="C89" i="12"/>
  <c r="L36" i="12"/>
  <c r="J36" i="12"/>
  <c r="K36" i="12"/>
  <c r="N36" i="12"/>
  <c r="J69" i="12"/>
  <c r="M36" i="12"/>
  <c r="L87" i="12"/>
  <c r="O37" i="22"/>
  <c r="K87" i="12"/>
  <c r="N69" i="12"/>
  <c r="I87" i="12"/>
  <c r="I69" i="12"/>
  <c r="AJ102" i="21" l="1"/>
  <c r="AJ104" i="21"/>
  <c r="AJ109" i="21" s="1"/>
  <c r="AJ103" i="21"/>
  <c r="AJ108" i="21" s="1"/>
  <c r="K39" i="22"/>
  <c r="AK89" i="21"/>
  <c r="AK88" i="21"/>
  <c r="AK87" i="21"/>
  <c r="AK85" i="21"/>
  <c r="AK86" i="21"/>
  <c r="AK82" i="21"/>
  <c r="AK84" i="21"/>
  <c r="AK81" i="21"/>
  <c r="AK80" i="21"/>
  <c r="AK78" i="21"/>
  <c r="AK83" i="21"/>
  <c r="AK79" i="21"/>
  <c r="AK77" i="21"/>
  <c r="AK76" i="21"/>
  <c r="AK73" i="21"/>
  <c r="AK72" i="21"/>
  <c r="AK74" i="21"/>
  <c r="AK75" i="21"/>
  <c r="AK92" i="21"/>
  <c r="AJ99" i="21"/>
  <c r="AJ91" i="21"/>
  <c r="AL96" i="21"/>
  <c r="AL70" i="21"/>
  <c r="AL44" i="21"/>
  <c r="AL8" i="21"/>
  <c r="AL3" i="21"/>
  <c r="AM9" i="21"/>
  <c r="AK95" i="21"/>
  <c r="AK43" i="21"/>
  <c r="AK69" i="21"/>
  <c r="AJ100" i="21"/>
  <c r="AJ101" i="21"/>
  <c r="AI105" i="21"/>
  <c r="AI107" i="21"/>
  <c r="AI110" i="21" s="1"/>
  <c r="AS89" i="18"/>
  <c r="AS76" i="18"/>
  <c r="AR102" i="18"/>
  <c r="AT6" i="18"/>
  <c r="AS77" i="18"/>
  <c r="AR101" i="18"/>
  <c r="AR103" i="18"/>
  <c r="AR108" i="18" s="1"/>
  <c r="AR104" i="18"/>
  <c r="AR109" i="18" s="1"/>
  <c r="AR99" i="18"/>
  <c r="AR91" i="18"/>
  <c r="K26" i="17"/>
  <c r="AS102" i="18"/>
  <c r="BL83" i="2"/>
  <c r="BL87" i="2"/>
  <c r="BL86" i="2"/>
  <c r="BL82" i="2"/>
  <c r="BL85" i="2"/>
  <c r="BL81" i="2"/>
  <c r="BL89" i="2"/>
  <c r="BL80" i="2"/>
  <c r="BL84" i="2"/>
  <c r="BL88" i="2"/>
  <c r="BL72" i="2"/>
  <c r="BL77" i="2"/>
  <c r="BL76" i="2"/>
  <c r="BL75" i="2"/>
  <c r="BL74" i="2"/>
  <c r="BL79" i="2"/>
  <c r="BL73" i="2"/>
  <c r="BL78" i="2"/>
  <c r="M84" i="2"/>
  <c r="M88" i="2"/>
  <c r="M87" i="2"/>
  <c r="M83" i="2"/>
  <c r="M86" i="2"/>
  <c r="M82" i="2"/>
  <c r="M85" i="2"/>
  <c r="M81" i="2"/>
  <c r="M89" i="2"/>
  <c r="M80" i="2"/>
  <c r="M73" i="2"/>
  <c r="M78" i="2"/>
  <c r="M72" i="2"/>
  <c r="M77" i="2"/>
  <c r="M76" i="2"/>
  <c r="M75" i="2"/>
  <c r="M74" i="2"/>
  <c r="M79" i="2"/>
  <c r="AT85" i="2"/>
  <c r="AT81" i="2"/>
  <c r="AT89" i="2"/>
  <c r="AT80" i="2"/>
  <c r="AT84" i="2"/>
  <c r="AT88" i="2"/>
  <c r="AT83" i="2"/>
  <c r="AT87" i="2"/>
  <c r="AT86" i="2"/>
  <c r="AT82" i="2"/>
  <c r="AT75" i="2"/>
  <c r="AT79" i="2"/>
  <c r="AT74" i="2"/>
  <c r="AT73" i="2"/>
  <c r="AT78" i="2"/>
  <c r="AT72" i="2"/>
  <c r="AT77" i="2"/>
  <c r="AT76" i="2"/>
  <c r="AQ110" i="2"/>
  <c r="S87" i="12"/>
  <c r="R69" i="12"/>
  <c r="T69" i="12"/>
  <c r="S69" i="12"/>
  <c r="R87" i="12"/>
  <c r="S36" i="12"/>
  <c r="R36" i="12"/>
  <c r="T36" i="12"/>
  <c r="T87" i="12"/>
  <c r="AR108" i="2"/>
  <c r="AS102" i="2"/>
  <c r="K108" i="2"/>
  <c r="AR109" i="2"/>
  <c r="K109" i="2"/>
  <c r="J110" i="2"/>
  <c r="BJ108" i="2"/>
  <c r="BF103" i="18"/>
  <c r="BF108" i="18" s="1"/>
  <c r="AS104" i="2"/>
  <c r="AS101" i="18"/>
  <c r="AS103" i="2"/>
  <c r="BU103" i="18"/>
  <c r="BU108" i="18" s="1"/>
  <c r="AS101" i="2"/>
  <c r="BF100" i="18"/>
  <c r="AS91" i="2"/>
  <c r="AS99" i="2"/>
  <c r="AS100" i="2"/>
  <c r="AR107" i="2"/>
  <c r="AR105" i="2"/>
  <c r="AS100" i="18"/>
  <c r="AU6" i="2"/>
  <c r="AT92" i="2"/>
  <c r="BF101" i="18"/>
  <c r="BU100" i="18"/>
  <c r="L100" i="2"/>
  <c r="AS103" i="18"/>
  <c r="AS108" i="18" s="1"/>
  <c r="K107" i="2"/>
  <c r="L101" i="2"/>
  <c r="G38" i="12"/>
  <c r="L99" i="2"/>
  <c r="L91" i="2"/>
  <c r="K105" i="2"/>
  <c r="N96" i="18"/>
  <c r="N70" i="18"/>
  <c r="N8" i="18"/>
  <c r="N44" i="18"/>
  <c r="O9" i="18"/>
  <c r="M95" i="18"/>
  <c r="M43" i="18"/>
  <c r="M69" i="18"/>
  <c r="M107" i="18"/>
  <c r="N104" i="18"/>
  <c r="M109" i="18"/>
  <c r="M96" i="2"/>
  <c r="M44" i="2"/>
  <c r="M3" i="2"/>
  <c r="N9" i="2"/>
  <c r="M70" i="2"/>
  <c r="M8" i="2"/>
  <c r="N99" i="18"/>
  <c r="N91" i="18"/>
  <c r="AS104" i="18"/>
  <c r="AS109" i="18" s="1"/>
  <c r="L103" i="2"/>
  <c r="BF104" i="18"/>
  <c r="BF109" i="18" s="1"/>
  <c r="L102" i="2"/>
  <c r="O76" i="18"/>
  <c r="O89" i="18"/>
  <c r="O78" i="18"/>
  <c r="O80" i="18"/>
  <c r="O83" i="18"/>
  <c r="O82" i="18"/>
  <c r="O81" i="18"/>
  <c r="O84" i="18"/>
  <c r="O73" i="18"/>
  <c r="O88" i="18"/>
  <c r="O87" i="18"/>
  <c r="O86" i="18"/>
  <c r="O85" i="18"/>
  <c r="O75" i="18"/>
  <c r="O77" i="18"/>
  <c r="O79" i="18"/>
  <c r="O74" i="18"/>
  <c r="P6" i="18"/>
  <c r="O72" i="18"/>
  <c r="O92" i="18"/>
  <c r="L69" i="2"/>
  <c r="L43" i="2"/>
  <c r="L95" i="2"/>
  <c r="N6" i="2"/>
  <c r="M92" i="2"/>
  <c r="L104" i="2"/>
  <c r="BG79" i="18"/>
  <c r="BG76" i="18"/>
  <c r="BG89" i="18"/>
  <c r="BG78" i="18"/>
  <c r="BG90" i="18"/>
  <c r="BG82" i="18"/>
  <c r="BG81" i="18"/>
  <c r="BG80" i="18"/>
  <c r="BG83" i="18"/>
  <c r="BG73" i="18"/>
  <c r="BG77" i="18"/>
  <c r="BG72" i="18"/>
  <c r="BG88" i="18"/>
  <c r="BG87" i="18"/>
  <c r="BG86" i="18"/>
  <c r="BG85" i="18"/>
  <c r="BG84" i="18"/>
  <c r="BG75" i="18"/>
  <c r="BG74" i="18"/>
  <c r="BH6" i="18"/>
  <c r="BG92" i="18"/>
  <c r="BU104" i="18"/>
  <c r="BU109" i="18" s="1"/>
  <c r="N102" i="18"/>
  <c r="L110" i="18"/>
  <c r="BT107" i="18"/>
  <c r="BT110" i="18" s="1"/>
  <c r="BT105" i="18"/>
  <c r="BV74" i="18"/>
  <c r="BV89" i="18"/>
  <c r="BV78" i="18"/>
  <c r="BV90" i="18"/>
  <c r="BV82" i="18"/>
  <c r="BV81" i="18"/>
  <c r="BV80" i="18"/>
  <c r="BV83" i="18"/>
  <c r="BV73" i="18"/>
  <c r="BV88" i="18"/>
  <c r="BV87" i="18"/>
  <c r="BV86" i="18"/>
  <c r="BV85" i="18"/>
  <c r="BV84" i="18"/>
  <c r="BV75" i="18"/>
  <c r="BV77" i="18"/>
  <c r="BV79" i="18"/>
  <c r="BV76" i="18"/>
  <c r="BV72" i="18"/>
  <c r="BW6" i="18"/>
  <c r="BV92" i="18"/>
  <c r="BU102" i="18"/>
  <c r="N101" i="18"/>
  <c r="AS99" i="18"/>
  <c r="AS91" i="18"/>
  <c r="BF99" i="18"/>
  <c r="BF91" i="18"/>
  <c r="BU99" i="18"/>
  <c r="BU91" i="18"/>
  <c r="BU101" i="18"/>
  <c r="N100" i="18"/>
  <c r="BF102" i="18"/>
  <c r="BE107" i="18"/>
  <c r="BE110" i="18" s="1"/>
  <c r="BE105" i="18"/>
  <c r="AT77" i="18"/>
  <c r="AT79" i="18"/>
  <c r="AT76" i="18"/>
  <c r="AT89" i="18"/>
  <c r="AT78" i="18"/>
  <c r="AT82" i="18"/>
  <c r="AT81" i="18"/>
  <c r="AT80" i="18"/>
  <c r="AT88" i="18"/>
  <c r="AT87" i="18"/>
  <c r="AT86" i="18"/>
  <c r="AT85" i="18"/>
  <c r="AT84" i="18"/>
  <c r="AT75" i="18"/>
  <c r="AT74" i="18"/>
  <c r="AT72" i="18"/>
  <c r="AT83" i="18"/>
  <c r="AT73" i="18"/>
  <c r="AU6" i="18"/>
  <c r="AT92" i="18"/>
  <c r="AR105" i="18"/>
  <c r="AR107" i="18"/>
  <c r="AR110" i="18" s="1"/>
  <c r="M108" i="18"/>
  <c r="N103" i="18"/>
  <c r="N108" i="18" s="1"/>
  <c r="M105" i="18"/>
  <c r="BJ107" i="2"/>
  <c r="BJ105" i="2"/>
  <c r="BK101" i="2"/>
  <c r="BL92" i="2"/>
  <c r="BL90" i="2"/>
  <c r="BM6" i="2"/>
  <c r="BK103" i="2"/>
  <c r="BK100" i="2"/>
  <c r="BJ109" i="2"/>
  <c r="BK99" i="2"/>
  <c r="BK91" i="2"/>
  <c r="BK102" i="2"/>
  <c r="BK104" i="2"/>
  <c r="BI110" i="2"/>
  <c r="EK136" i="18"/>
  <c r="EK130" i="18" s="1"/>
  <c r="EK131" i="18" s="1"/>
  <c r="EL135" i="18"/>
  <c r="K70" i="12"/>
  <c r="C90" i="12"/>
  <c r="J70" i="12"/>
  <c r="M37" i="12"/>
  <c r="P36" i="12"/>
  <c r="P26" i="17"/>
  <c r="L37" i="12"/>
  <c r="C72" i="12"/>
  <c r="K88" i="12"/>
  <c r="N88" i="12"/>
  <c r="N37" i="12"/>
  <c r="P38" i="22"/>
  <c r="C39" i="12"/>
  <c r="I88" i="12"/>
  <c r="P69" i="12"/>
  <c r="J88" i="12"/>
  <c r="P87" i="12"/>
  <c r="G39" i="12" a="1"/>
  <c r="M70" i="12"/>
  <c r="K37" i="12"/>
  <c r="L70" i="12"/>
  <c r="O26" i="17"/>
  <c r="M88" i="12"/>
  <c r="I37" i="12"/>
  <c r="I70" i="12"/>
  <c r="N70" i="12"/>
  <c r="J37" i="12"/>
  <c r="L88" i="12"/>
  <c r="O38" i="22"/>
  <c r="AK104" i="21" l="1"/>
  <c r="AK109" i="21" s="1"/>
  <c r="AK102" i="21"/>
  <c r="AK100" i="21"/>
  <c r="K40" i="22"/>
  <c r="AL95" i="21"/>
  <c r="AL69" i="21"/>
  <c r="AL43" i="21"/>
  <c r="AK101" i="21"/>
  <c r="AJ105" i="21"/>
  <c r="AJ107" i="21"/>
  <c r="AJ110" i="21" s="1"/>
  <c r="AK99" i="21"/>
  <c r="AK91" i="21"/>
  <c r="AK103" i="21"/>
  <c r="AK108" i="21" s="1"/>
  <c r="AM96" i="21"/>
  <c r="AM70" i="21"/>
  <c r="AM44" i="21"/>
  <c r="AM8" i="21"/>
  <c r="AN9" i="21"/>
  <c r="AM3" i="21"/>
  <c r="K27" i="17"/>
  <c r="AT102" i="2"/>
  <c r="N84" i="2"/>
  <c r="N88" i="2"/>
  <c r="N87" i="2"/>
  <c r="N83" i="2"/>
  <c r="N86" i="2"/>
  <c r="N82" i="2"/>
  <c r="N85" i="2"/>
  <c r="N81" i="2"/>
  <c r="N89" i="2"/>
  <c r="N80" i="2"/>
  <c r="N78" i="2"/>
  <c r="N72" i="2"/>
  <c r="N77" i="2"/>
  <c r="N76" i="2"/>
  <c r="N75" i="2"/>
  <c r="N74" i="2"/>
  <c r="N79" i="2"/>
  <c r="N73" i="2"/>
  <c r="BM83" i="2"/>
  <c r="BM87" i="2"/>
  <c r="BM86" i="2"/>
  <c r="BM82" i="2"/>
  <c r="BM85" i="2"/>
  <c r="BM81" i="2"/>
  <c r="BM89" i="2"/>
  <c r="BM80" i="2"/>
  <c r="BM84" i="2"/>
  <c r="BM88" i="2"/>
  <c r="BM77" i="2"/>
  <c r="BM76" i="2"/>
  <c r="BM75" i="2"/>
  <c r="BM74" i="2"/>
  <c r="BM79" i="2"/>
  <c r="BM73" i="2"/>
  <c r="BM78" i="2"/>
  <c r="BM72" i="2"/>
  <c r="AU85" i="2"/>
  <c r="AU81" i="2"/>
  <c r="AU89" i="2"/>
  <c r="AU80" i="2"/>
  <c r="AU84" i="2"/>
  <c r="AU88" i="2"/>
  <c r="AU83" i="2"/>
  <c r="AU87" i="2"/>
  <c r="AU86" i="2"/>
  <c r="AU82" i="2"/>
  <c r="AU79" i="2"/>
  <c r="AU74" i="2"/>
  <c r="AU73" i="2"/>
  <c r="AU78" i="2"/>
  <c r="AU72" i="2"/>
  <c r="AU77" i="2"/>
  <c r="AU75" i="2"/>
  <c r="AU76" i="2"/>
  <c r="K110" i="2"/>
  <c r="S37" i="12"/>
  <c r="R37" i="12"/>
  <c r="T37" i="12"/>
  <c r="T70" i="12"/>
  <c r="S70" i="12"/>
  <c r="T88" i="12"/>
  <c r="S88" i="12"/>
  <c r="R70" i="12"/>
  <c r="R88" i="12"/>
  <c r="L108" i="2"/>
  <c r="AS108" i="2"/>
  <c r="BK108" i="2"/>
  <c r="L109" i="2"/>
  <c r="AS109" i="2"/>
  <c r="AR110" i="2"/>
  <c r="BG103" i="18"/>
  <c r="BG108" i="18" s="1"/>
  <c r="BG104" i="18"/>
  <c r="BG109" i="18" s="1"/>
  <c r="BV101" i="18"/>
  <c r="BG102" i="18"/>
  <c r="BG101" i="18"/>
  <c r="AT103" i="2"/>
  <c r="AT101" i="2"/>
  <c r="AT100" i="2"/>
  <c r="AT91" i="2"/>
  <c r="AT99" i="2"/>
  <c r="AT102" i="18"/>
  <c r="M103" i="2"/>
  <c r="AS107" i="2"/>
  <c r="AS105" i="2"/>
  <c r="L107" i="2"/>
  <c r="AT104" i="2"/>
  <c r="AV6" i="2"/>
  <c r="AU92" i="2"/>
  <c r="M104" i="2"/>
  <c r="G39" i="12"/>
  <c r="BV104" i="18"/>
  <c r="BV109" i="18" s="1"/>
  <c r="BG99" i="18"/>
  <c r="BG91" i="18"/>
  <c r="O104" i="18"/>
  <c r="N96" i="2"/>
  <c r="N70" i="2"/>
  <c r="N3" i="2"/>
  <c r="N44" i="2"/>
  <c r="N8" i="2"/>
  <c r="O9" i="2"/>
  <c r="O96" i="18"/>
  <c r="O70" i="18"/>
  <c r="O8" i="18"/>
  <c r="P9" i="18"/>
  <c r="O44" i="18"/>
  <c r="AT104" i="18"/>
  <c r="AT109" i="18" s="1"/>
  <c r="BG100" i="18"/>
  <c r="AT101" i="18"/>
  <c r="BW76" i="18"/>
  <c r="BW89" i="18"/>
  <c r="BW78" i="18"/>
  <c r="BW90" i="18"/>
  <c r="BW82" i="18"/>
  <c r="BW81" i="18"/>
  <c r="BW80" i="18"/>
  <c r="BW83" i="18"/>
  <c r="BW73" i="18"/>
  <c r="BW88" i="18"/>
  <c r="BW87" i="18"/>
  <c r="BW86" i="18"/>
  <c r="BW85" i="18"/>
  <c r="BW84" i="18"/>
  <c r="BW75" i="18"/>
  <c r="BW77" i="18"/>
  <c r="BW79" i="18"/>
  <c r="BW74" i="18"/>
  <c r="BW72" i="18"/>
  <c r="BX6" i="18"/>
  <c r="BW92" i="18"/>
  <c r="BV102" i="18"/>
  <c r="O6" i="2"/>
  <c r="N92" i="2"/>
  <c r="N95" i="18"/>
  <c r="N69" i="18"/>
  <c r="N43" i="18"/>
  <c r="BV99" i="18"/>
  <c r="BV91" i="18"/>
  <c r="M99" i="2"/>
  <c r="M91" i="2"/>
  <c r="O99" i="18"/>
  <c r="O91" i="18"/>
  <c r="BH74" i="18"/>
  <c r="BH72" i="18"/>
  <c r="BH89" i="18"/>
  <c r="BH78" i="18"/>
  <c r="BH90" i="18"/>
  <c r="BH82" i="18"/>
  <c r="BH81" i="18"/>
  <c r="BH80" i="18"/>
  <c r="BH83" i="18"/>
  <c r="BH73" i="18"/>
  <c r="BH88" i="18"/>
  <c r="BH87" i="18"/>
  <c r="BH86" i="18"/>
  <c r="BH85" i="18"/>
  <c r="BH84" i="18"/>
  <c r="BH75" i="18"/>
  <c r="BH79" i="18"/>
  <c r="BH76" i="18"/>
  <c r="BH77" i="18"/>
  <c r="BI6" i="18"/>
  <c r="BH92" i="18"/>
  <c r="M100" i="2"/>
  <c r="P89" i="18"/>
  <c r="P78" i="18"/>
  <c r="P80" i="18"/>
  <c r="P83" i="18"/>
  <c r="P82" i="18"/>
  <c r="P81" i="18"/>
  <c r="P84" i="18"/>
  <c r="P88" i="18"/>
  <c r="P87" i="18"/>
  <c r="P86" i="18"/>
  <c r="P85" i="18"/>
  <c r="P75" i="18"/>
  <c r="P77" i="18"/>
  <c r="P79" i="18"/>
  <c r="P74" i="18"/>
  <c r="P76" i="18"/>
  <c r="P73" i="18"/>
  <c r="Q6" i="18"/>
  <c r="P72" i="18"/>
  <c r="P92" i="18"/>
  <c r="O102" i="18"/>
  <c r="AT99" i="18"/>
  <c r="AT91" i="18"/>
  <c r="BU105" i="18"/>
  <c r="BU107" i="18"/>
  <c r="BU110" i="18" s="1"/>
  <c r="BV100" i="18"/>
  <c r="M101" i="2"/>
  <c r="O101" i="18"/>
  <c r="N109" i="18"/>
  <c r="O100" i="18"/>
  <c r="BF105" i="18"/>
  <c r="BF107" i="18"/>
  <c r="BF110" i="18" s="1"/>
  <c r="N105" i="18"/>
  <c r="M110" i="18"/>
  <c r="L105" i="2"/>
  <c r="AT100" i="18"/>
  <c r="BV103" i="18"/>
  <c r="BV108" i="18" s="1"/>
  <c r="M102" i="2"/>
  <c r="O103" i="18"/>
  <c r="O108" i="18" s="1"/>
  <c r="AU79" i="18"/>
  <c r="AU74" i="18"/>
  <c r="AU76" i="18"/>
  <c r="AU89" i="18"/>
  <c r="AU78" i="18"/>
  <c r="AU82" i="18"/>
  <c r="AU81" i="18"/>
  <c r="AU80" i="18"/>
  <c r="AU83" i="18"/>
  <c r="AU73" i="18"/>
  <c r="AU77" i="18"/>
  <c r="AU75" i="18"/>
  <c r="AU88" i="18"/>
  <c r="AU87" i="18"/>
  <c r="AU86" i="18"/>
  <c r="AU85" i="18"/>
  <c r="AU84" i="18"/>
  <c r="AV6" i="18"/>
  <c r="AU72" i="18"/>
  <c r="AU92" i="18"/>
  <c r="AT103" i="18"/>
  <c r="AT108" i="18" s="1"/>
  <c r="AS105" i="18"/>
  <c r="AS107" i="18"/>
  <c r="AS110" i="18" s="1"/>
  <c r="M95" i="2"/>
  <c r="M69" i="2"/>
  <c r="M43" i="2"/>
  <c r="N107" i="18"/>
  <c r="BL104" i="2"/>
  <c r="BL99" i="2"/>
  <c r="BL91" i="2"/>
  <c r="BJ110" i="2"/>
  <c r="BK109" i="2"/>
  <c r="BL101" i="2"/>
  <c r="BK107" i="2"/>
  <c r="BK105" i="2"/>
  <c r="BM92" i="2"/>
  <c r="BM90" i="2"/>
  <c r="BN6" i="2"/>
  <c r="BL103" i="2"/>
  <c r="BL100" i="2"/>
  <c r="BL102" i="2"/>
  <c r="EK137" i="18"/>
  <c r="EL136" i="18"/>
  <c r="EL130" i="18" s="1"/>
  <c r="EL131" i="18" s="1"/>
  <c r="EM135" i="18"/>
  <c r="C40" i="12"/>
  <c r="J89" i="12"/>
  <c r="G40" i="12" a="1"/>
  <c r="N38" i="12"/>
  <c r="J71" i="12"/>
  <c r="I71" i="12"/>
  <c r="L38" i="12"/>
  <c r="O27" i="17"/>
  <c r="M38" i="12"/>
  <c r="J38" i="12"/>
  <c r="P37" i="12"/>
  <c r="O39" i="22"/>
  <c r="P39" i="22"/>
  <c r="P70" i="12"/>
  <c r="P88" i="12"/>
  <c r="I89" i="12"/>
  <c r="K71" i="12"/>
  <c r="N89" i="12"/>
  <c r="K89" i="12"/>
  <c r="P27" i="17"/>
  <c r="L71" i="12"/>
  <c r="C91" i="12"/>
  <c r="I38" i="12"/>
  <c r="L89" i="12"/>
  <c r="N71" i="12"/>
  <c r="C73" i="12"/>
  <c r="M89" i="12"/>
  <c r="K38" i="12"/>
  <c r="M71" i="12"/>
  <c r="K41" i="22" l="1"/>
  <c r="AN96" i="21"/>
  <c r="AN70" i="21"/>
  <c r="AN44" i="21"/>
  <c r="AN8" i="21"/>
  <c r="AN3" i="21"/>
  <c r="AO9" i="21"/>
  <c r="AK105" i="21"/>
  <c r="AK107" i="21"/>
  <c r="AK110" i="21" s="1"/>
  <c r="AM95" i="21"/>
  <c r="AM69" i="21"/>
  <c r="AM43" i="21"/>
  <c r="AU104" i="18"/>
  <c r="AU109" i="18" s="1"/>
  <c r="K28" i="17"/>
  <c r="O88" i="2"/>
  <c r="O87" i="2"/>
  <c r="O83" i="2"/>
  <c r="O86" i="2"/>
  <c r="O82" i="2"/>
  <c r="O85" i="2"/>
  <c r="O81" i="2"/>
  <c r="O89" i="2"/>
  <c r="O84" i="2"/>
  <c r="O78" i="2"/>
  <c r="O72" i="2"/>
  <c r="O77" i="2"/>
  <c r="O76" i="2"/>
  <c r="O80" i="2"/>
  <c r="O75" i="2"/>
  <c r="O74" i="2"/>
  <c r="O79" i="2"/>
  <c r="O73" i="2"/>
  <c r="BN87" i="2"/>
  <c r="BN86" i="2"/>
  <c r="BN82" i="2"/>
  <c r="BN85" i="2"/>
  <c r="BN81" i="2"/>
  <c r="BN89" i="2"/>
  <c r="BN80" i="2"/>
  <c r="BN84" i="2"/>
  <c r="BN88" i="2"/>
  <c r="BN83" i="2"/>
  <c r="BN77" i="2"/>
  <c r="BN76" i="2"/>
  <c r="BN75" i="2"/>
  <c r="BN74" i="2"/>
  <c r="BN79" i="2"/>
  <c r="BN73" i="2"/>
  <c r="BN78" i="2"/>
  <c r="BN72" i="2"/>
  <c r="AV89" i="2"/>
  <c r="AV80" i="2"/>
  <c r="AV84" i="2"/>
  <c r="AV88" i="2"/>
  <c r="AV83" i="2"/>
  <c r="AV87" i="2"/>
  <c r="AV86" i="2"/>
  <c r="AV82" i="2"/>
  <c r="AV85" i="2"/>
  <c r="AV81" i="2"/>
  <c r="AV79" i="2"/>
  <c r="AV74" i="2"/>
  <c r="AV73" i="2"/>
  <c r="AV78" i="2"/>
  <c r="AV72" i="2"/>
  <c r="AV76" i="2"/>
  <c r="AV75" i="2"/>
  <c r="AV77" i="2"/>
  <c r="AS110" i="2"/>
  <c r="AU102" i="18"/>
  <c r="L110" i="2"/>
  <c r="T38" i="12"/>
  <c r="S89" i="12"/>
  <c r="S38" i="12"/>
  <c r="R71" i="12"/>
  <c r="T89" i="12"/>
  <c r="R38" i="12"/>
  <c r="T71" i="12"/>
  <c r="S71" i="12"/>
  <c r="R89" i="12"/>
  <c r="M108" i="2"/>
  <c r="BL108" i="2"/>
  <c r="M109" i="2"/>
  <c r="AT108" i="2"/>
  <c r="AT109" i="2"/>
  <c r="AU104" i="2"/>
  <c r="BW104" i="18"/>
  <c r="BW109" i="18" s="1"/>
  <c r="BW102" i="18"/>
  <c r="BW100" i="18"/>
  <c r="AU102" i="2"/>
  <c r="N101" i="2"/>
  <c r="AU103" i="2"/>
  <c r="BW101" i="18"/>
  <c r="AU101" i="2"/>
  <c r="N100" i="2"/>
  <c r="AU100" i="2"/>
  <c r="BW103" i="18"/>
  <c r="BW108" i="18" s="1"/>
  <c r="AT107" i="2"/>
  <c r="AT105" i="2"/>
  <c r="AU103" i="18"/>
  <c r="AU108" i="18" s="1"/>
  <c r="BH100" i="18"/>
  <c r="AV90" i="2"/>
  <c r="AW6" i="2"/>
  <c r="AV92" i="2"/>
  <c r="AU100" i="18"/>
  <c r="AU99" i="2"/>
  <c r="AU91" i="2"/>
  <c r="N103" i="2"/>
  <c r="M107" i="2"/>
  <c r="G40" i="12"/>
  <c r="N110" i="18"/>
  <c r="AU101" i="18"/>
  <c r="P102" i="18"/>
  <c r="BH103" i="18"/>
  <c r="BH108" i="18" s="1"/>
  <c r="BH99" i="18"/>
  <c r="BH91" i="18"/>
  <c r="N69" i="2"/>
  <c r="N95" i="2"/>
  <c r="N43" i="2"/>
  <c r="P101" i="18"/>
  <c r="BX89" i="18"/>
  <c r="BX78" i="18"/>
  <c r="BX90" i="18"/>
  <c r="BX82" i="18"/>
  <c r="BX81" i="18"/>
  <c r="BX80" i="18"/>
  <c r="BX83" i="18"/>
  <c r="BX88" i="18"/>
  <c r="BX87" i="18"/>
  <c r="BX86" i="18"/>
  <c r="BX85" i="18"/>
  <c r="BX84" i="18"/>
  <c r="BX75" i="18"/>
  <c r="BX77" i="18"/>
  <c r="BX79" i="18"/>
  <c r="BX76" i="18"/>
  <c r="BX72" i="18"/>
  <c r="BY6" i="18"/>
  <c r="BX73" i="18"/>
  <c r="BX74" i="18"/>
  <c r="BX92" i="18"/>
  <c r="AU99" i="18"/>
  <c r="AU91" i="18"/>
  <c r="AV72" i="18"/>
  <c r="AV89" i="18"/>
  <c r="AV78" i="18"/>
  <c r="AV90" i="18"/>
  <c r="AV82" i="18"/>
  <c r="AV81" i="18"/>
  <c r="AV80" i="18"/>
  <c r="AV83" i="18"/>
  <c r="AV73" i="18"/>
  <c r="AV88" i="18"/>
  <c r="AV87" i="18"/>
  <c r="AV86" i="18"/>
  <c r="AV85" i="18"/>
  <c r="AV84" i="18"/>
  <c r="AV75" i="18"/>
  <c r="AV79" i="18"/>
  <c r="AW6" i="18"/>
  <c r="AV76" i="18"/>
  <c r="AV74" i="18"/>
  <c r="AV77" i="18"/>
  <c r="AV92" i="18"/>
  <c r="BW99" i="18"/>
  <c r="BW91" i="18"/>
  <c r="P100" i="18"/>
  <c r="BH104" i="18"/>
  <c r="BH109" i="18" s="1"/>
  <c r="AT107" i="18"/>
  <c r="AT110" i="18" s="1"/>
  <c r="AT105" i="18"/>
  <c r="O105" i="18"/>
  <c r="O107" i="18"/>
  <c r="N104" i="2"/>
  <c r="P103" i="18"/>
  <c r="P108" i="18" s="1"/>
  <c r="BH102" i="18"/>
  <c r="P6" i="2"/>
  <c r="O92" i="2"/>
  <c r="O109" i="18"/>
  <c r="BI76" i="18"/>
  <c r="BI89" i="18"/>
  <c r="BI78" i="18"/>
  <c r="BI90" i="18"/>
  <c r="BI82" i="18"/>
  <c r="BI81" i="18"/>
  <c r="BI80" i="18"/>
  <c r="BI83" i="18"/>
  <c r="BI88" i="18"/>
  <c r="BI87" i="18"/>
  <c r="BI86" i="18"/>
  <c r="BI85" i="18"/>
  <c r="BI84" i="18"/>
  <c r="BI75" i="18"/>
  <c r="BI77" i="18"/>
  <c r="BI73" i="18"/>
  <c r="BI72" i="18"/>
  <c r="BI79" i="18"/>
  <c r="BI74" i="18"/>
  <c r="BJ6" i="18"/>
  <c r="BI92" i="18"/>
  <c r="BH101" i="18"/>
  <c r="M105" i="2"/>
  <c r="N99" i="2"/>
  <c r="N91" i="2"/>
  <c r="N102" i="2"/>
  <c r="P96" i="18"/>
  <c r="P70" i="18"/>
  <c r="P8" i="18"/>
  <c r="Q9" i="18"/>
  <c r="P44" i="18"/>
  <c r="BG107" i="18"/>
  <c r="BG110" i="18" s="1"/>
  <c r="BG105" i="18"/>
  <c r="P104" i="18"/>
  <c r="BV105" i="18"/>
  <c r="BV107" i="18"/>
  <c r="BV110" i="18" s="1"/>
  <c r="O95" i="18"/>
  <c r="O43" i="18"/>
  <c r="O69" i="18"/>
  <c r="P99" i="18"/>
  <c r="P91" i="18"/>
  <c r="Q80" i="18"/>
  <c r="Q83" i="18"/>
  <c r="Q82" i="18"/>
  <c r="Q81" i="18"/>
  <c r="Q84" i="18"/>
  <c r="Q88" i="18"/>
  <c r="Q87" i="18"/>
  <c r="Q86" i="18"/>
  <c r="Q85" i="18"/>
  <c r="Q77" i="18"/>
  <c r="Q79" i="18"/>
  <c r="Q74" i="18"/>
  <c r="Q72" i="18"/>
  <c r="Q89" i="18"/>
  <c r="Q78" i="18"/>
  <c r="Q75" i="18"/>
  <c r="R6" i="18"/>
  <c r="Q76" i="18"/>
  <c r="Q73" i="18"/>
  <c r="Q92" i="18"/>
  <c r="O96" i="2"/>
  <c r="O70" i="2"/>
  <c r="O44" i="2"/>
  <c r="P9" i="2"/>
  <c r="O3" i="2"/>
  <c r="O8" i="2"/>
  <c r="BN92" i="2"/>
  <c r="BN90" i="2"/>
  <c r="BO6" i="2"/>
  <c r="BM101" i="2"/>
  <c r="BM100" i="2"/>
  <c r="BM103" i="2"/>
  <c r="BL105" i="2"/>
  <c r="BL109" i="2"/>
  <c r="BM102" i="2"/>
  <c r="BL107" i="2"/>
  <c r="BM104" i="2"/>
  <c r="BM99" i="2"/>
  <c r="BM91" i="2"/>
  <c r="BK110" i="2"/>
  <c r="EL137" i="18"/>
  <c r="EM136" i="18"/>
  <c r="EM130" i="18" s="1"/>
  <c r="EM131" i="18" s="1"/>
  <c r="K39" i="12"/>
  <c r="P40" i="22"/>
  <c r="K72" i="12"/>
  <c r="N72" i="12"/>
  <c r="P38" i="12"/>
  <c r="J72" i="12"/>
  <c r="I72" i="12"/>
  <c r="C74" i="12"/>
  <c r="P71" i="12"/>
  <c r="G41" i="12" a="1"/>
  <c r="C92" i="12"/>
  <c r="O28" i="17"/>
  <c r="M90" i="12"/>
  <c r="P89" i="12"/>
  <c r="I39" i="12"/>
  <c r="L72" i="12"/>
  <c r="N39" i="12"/>
  <c r="O40" i="22"/>
  <c r="L39" i="12"/>
  <c r="J90" i="12"/>
  <c r="P28" i="17"/>
  <c r="M39" i="12"/>
  <c r="M72" i="12"/>
  <c r="C41" i="12"/>
  <c r="L90" i="12"/>
  <c r="J39" i="12"/>
  <c r="K90" i="12"/>
  <c r="I90" i="12"/>
  <c r="N90" i="12"/>
  <c r="K42" i="22" l="1"/>
  <c r="AN95" i="21"/>
  <c r="AN69" i="21"/>
  <c r="AN43" i="21"/>
  <c r="AO96" i="21"/>
  <c r="AO44" i="21"/>
  <c r="AO70" i="21"/>
  <c r="AO3" i="21"/>
  <c r="AP9" i="21"/>
  <c r="AO8" i="21"/>
  <c r="K29" i="17"/>
  <c r="BO86" i="2"/>
  <c r="BO82" i="2"/>
  <c r="BO85" i="2"/>
  <c r="BO81" i="2"/>
  <c r="BO89" i="2"/>
  <c r="BO80" i="2"/>
  <c r="BO84" i="2"/>
  <c r="BO88" i="2"/>
  <c r="BO83" i="2"/>
  <c r="BO87" i="2"/>
  <c r="BO76" i="2"/>
  <c r="BO75" i="2"/>
  <c r="BO74" i="2"/>
  <c r="BO79" i="2"/>
  <c r="BO73" i="2"/>
  <c r="BO78" i="2"/>
  <c r="BO72" i="2"/>
  <c r="BO77" i="2"/>
  <c r="P87" i="2"/>
  <c r="P83" i="2"/>
  <c r="P86" i="2"/>
  <c r="P82" i="2"/>
  <c r="P85" i="2"/>
  <c r="P81" i="2"/>
  <c r="P89" i="2"/>
  <c r="P80" i="2"/>
  <c r="P84" i="2"/>
  <c r="P88" i="2"/>
  <c r="P72" i="2"/>
  <c r="P77" i="2"/>
  <c r="P76" i="2"/>
  <c r="P75" i="2"/>
  <c r="P74" i="2"/>
  <c r="P79" i="2"/>
  <c r="P73" i="2"/>
  <c r="P78" i="2"/>
  <c r="AW80" i="2"/>
  <c r="AW84" i="2"/>
  <c r="AW88" i="2"/>
  <c r="AW83" i="2"/>
  <c r="AW87" i="2"/>
  <c r="AW86" i="2"/>
  <c r="AW82" i="2"/>
  <c r="AW85" i="2"/>
  <c r="AW81" i="2"/>
  <c r="AW89" i="2"/>
  <c r="AW73" i="2"/>
  <c r="AW78" i="2"/>
  <c r="AW72" i="2"/>
  <c r="AW77" i="2"/>
  <c r="AW76" i="2"/>
  <c r="AW75" i="2"/>
  <c r="AW79" i="2"/>
  <c r="AW74" i="2"/>
  <c r="AT110" i="2"/>
  <c r="M110" i="2"/>
  <c r="R39" i="12"/>
  <c r="T72" i="12"/>
  <c r="T39" i="12"/>
  <c r="S72" i="12"/>
  <c r="T90" i="12"/>
  <c r="S90" i="12"/>
  <c r="R72" i="12"/>
  <c r="S39" i="12"/>
  <c r="R90" i="12"/>
  <c r="AU108" i="2"/>
  <c r="N108" i="2"/>
  <c r="BM108" i="2"/>
  <c r="AU109" i="2"/>
  <c r="N109" i="2"/>
  <c r="BX101" i="18"/>
  <c r="AV101" i="2"/>
  <c r="AV101" i="18"/>
  <c r="BX100" i="18"/>
  <c r="BI102" i="18"/>
  <c r="AV102" i="2"/>
  <c r="O100" i="2"/>
  <c r="AV103" i="2"/>
  <c r="O101" i="2"/>
  <c r="BX103" i="18"/>
  <c r="BX108" i="18" s="1"/>
  <c r="AU105" i="2"/>
  <c r="AU107" i="2"/>
  <c r="AV104" i="18"/>
  <c r="AV109" i="18" s="1"/>
  <c r="BX104" i="18"/>
  <c r="BX109" i="18" s="1"/>
  <c r="AV100" i="2"/>
  <c r="BX102" i="18"/>
  <c r="O104" i="2"/>
  <c r="AV100" i="18"/>
  <c r="AV102" i="18"/>
  <c r="AX6" i="2"/>
  <c r="AW92" i="2"/>
  <c r="AW90" i="2"/>
  <c r="AV91" i="2"/>
  <c r="AV99" i="2"/>
  <c r="AV104" i="2"/>
  <c r="G41" i="12"/>
  <c r="Q100" i="18"/>
  <c r="P105" i="18"/>
  <c r="P107" i="18"/>
  <c r="BJ74" i="18"/>
  <c r="BJ89" i="18"/>
  <c r="BJ78" i="18"/>
  <c r="BJ90" i="18"/>
  <c r="BJ82" i="18"/>
  <c r="BJ81" i="18"/>
  <c r="BJ80" i="18"/>
  <c r="BJ83" i="18"/>
  <c r="BJ73" i="18"/>
  <c r="BJ88" i="18"/>
  <c r="BJ87" i="18"/>
  <c r="BJ86" i="18"/>
  <c r="BJ85" i="18"/>
  <c r="BJ84" i="18"/>
  <c r="BJ75" i="18"/>
  <c r="BJ77" i="18"/>
  <c r="BJ79" i="18"/>
  <c r="BJ72" i="18"/>
  <c r="BJ76" i="18"/>
  <c r="BK6" i="18"/>
  <c r="BJ92" i="18"/>
  <c r="O103" i="2"/>
  <c r="O110" i="18"/>
  <c r="BW105" i="18"/>
  <c r="BW107" i="18"/>
  <c r="BW110" i="18" s="1"/>
  <c r="P95" i="18"/>
  <c r="P69" i="18"/>
  <c r="P43" i="18"/>
  <c r="Q96" i="18"/>
  <c r="Q70" i="18"/>
  <c r="Q8" i="18"/>
  <c r="R9" i="18"/>
  <c r="Q44" i="18"/>
  <c r="BI101" i="18"/>
  <c r="Q6" i="2"/>
  <c r="P92" i="2"/>
  <c r="BH107" i="18"/>
  <c r="BH110" i="18" s="1"/>
  <c r="BH105" i="18"/>
  <c r="R82" i="18"/>
  <c r="R81" i="18"/>
  <c r="R84" i="18"/>
  <c r="R73" i="18"/>
  <c r="R88" i="18"/>
  <c r="R87" i="18"/>
  <c r="R86" i="18"/>
  <c r="R85" i="18"/>
  <c r="R77" i="18"/>
  <c r="R79" i="18"/>
  <c r="R76" i="18"/>
  <c r="R80" i="18"/>
  <c r="R74" i="18"/>
  <c r="R72" i="18"/>
  <c r="R78" i="18"/>
  <c r="R75" i="18"/>
  <c r="S6" i="18"/>
  <c r="R89" i="18"/>
  <c r="R83" i="18"/>
  <c r="R92" i="18"/>
  <c r="BI99" i="18"/>
  <c r="BI91" i="18"/>
  <c r="BX99" i="18"/>
  <c r="BX91" i="18"/>
  <c r="O102" i="2"/>
  <c r="Q104" i="18"/>
  <c r="BI100" i="18"/>
  <c r="AW74" i="18"/>
  <c r="AW76" i="18"/>
  <c r="AW89" i="18"/>
  <c r="AW78" i="18"/>
  <c r="AW90" i="18"/>
  <c r="AW82" i="18"/>
  <c r="AW81" i="18"/>
  <c r="AW80" i="18"/>
  <c r="AW83" i="18"/>
  <c r="AW88" i="18"/>
  <c r="AW87" i="18"/>
  <c r="AW86" i="18"/>
  <c r="AW85" i="18"/>
  <c r="AW84" i="18"/>
  <c r="AW75" i="18"/>
  <c r="AW77" i="18"/>
  <c r="AW79" i="18"/>
  <c r="AX6" i="18"/>
  <c r="AW73" i="18"/>
  <c r="AW72" i="18"/>
  <c r="AW92" i="18"/>
  <c r="Q102" i="18"/>
  <c r="O95" i="2"/>
  <c r="O69" i="2"/>
  <c r="O43" i="2"/>
  <c r="Q99" i="18"/>
  <c r="Q91" i="18"/>
  <c r="Q101" i="18"/>
  <c r="P109" i="18"/>
  <c r="N105" i="2"/>
  <c r="N107" i="2"/>
  <c r="O99" i="2"/>
  <c r="O91" i="2"/>
  <c r="P96" i="2"/>
  <c r="P70" i="2"/>
  <c r="P44" i="2"/>
  <c r="Q9" i="2"/>
  <c r="P3" i="2"/>
  <c r="P8" i="2"/>
  <c r="BI103" i="18"/>
  <c r="BI108" i="18" s="1"/>
  <c r="BY90" i="18"/>
  <c r="BY82" i="18"/>
  <c r="BY81" i="18"/>
  <c r="BY80" i="18"/>
  <c r="BY83" i="18"/>
  <c r="BY88" i="18"/>
  <c r="BY87" i="18"/>
  <c r="BY86" i="18"/>
  <c r="BY85" i="18"/>
  <c r="BY84" i="18"/>
  <c r="BY77" i="18"/>
  <c r="BY79" i="18"/>
  <c r="BY74" i="18"/>
  <c r="BY72" i="18"/>
  <c r="BY89" i="18"/>
  <c r="BY78" i="18"/>
  <c r="BY75" i="18"/>
  <c r="BZ6" i="18"/>
  <c r="BY73" i="18"/>
  <c r="BY76" i="18"/>
  <c r="BY92" i="18"/>
  <c r="AV103" i="18"/>
  <c r="AV108" i="18" s="1"/>
  <c r="AV99" i="18"/>
  <c r="AV91" i="18"/>
  <c r="AU107" i="18"/>
  <c r="AU110" i="18" s="1"/>
  <c r="AU105" i="18"/>
  <c r="Q103" i="18"/>
  <c r="Q108" i="18" s="1"/>
  <c r="BI104" i="18"/>
  <c r="BI109" i="18" s="1"/>
  <c r="BN102" i="2"/>
  <c r="BN104" i="2"/>
  <c r="BN99" i="2"/>
  <c r="BN91" i="2"/>
  <c r="BM109" i="2"/>
  <c r="BL110" i="2"/>
  <c r="BO92" i="2"/>
  <c r="BO90" i="2"/>
  <c r="BP6" i="2"/>
  <c r="BN100" i="2"/>
  <c r="BN101" i="2"/>
  <c r="BN103" i="2"/>
  <c r="BM105" i="2"/>
  <c r="BM107" i="2"/>
  <c r="EM137" i="18"/>
  <c r="O41" i="22"/>
  <c r="M91" i="12"/>
  <c r="N91" i="12"/>
  <c r="N40" i="12"/>
  <c r="I40" i="12"/>
  <c r="M40" i="12"/>
  <c r="P90" i="12"/>
  <c r="L73" i="12"/>
  <c r="K91" i="12"/>
  <c r="O29" i="17"/>
  <c r="K73" i="12"/>
  <c r="P39" i="12"/>
  <c r="I73" i="12"/>
  <c r="J91" i="12"/>
  <c r="C93" i="12"/>
  <c r="I91" i="12"/>
  <c r="L40" i="12"/>
  <c r="P72" i="12"/>
  <c r="L91" i="12"/>
  <c r="J40" i="12"/>
  <c r="G42" i="12" a="1"/>
  <c r="J73" i="12"/>
  <c r="C75" i="12"/>
  <c r="M73" i="12"/>
  <c r="K40" i="12"/>
  <c r="P41" i="22"/>
  <c r="P29" i="17"/>
  <c r="C42" i="12"/>
  <c r="N73" i="12"/>
  <c r="K43" i="22" l="1"/>
  <c r="AP96" i="21"/>
  <c r="AP44" i="21"/>
  <c r="AP3" i="21"/>
  <c r="AP70" i="21"/>
  <c r="AQ9" i="21"/>
  <c r="AP8" i="21"/>
  <c r="AO95" i="21"/>
  <c r="AO69" i="21"/>
  <c r="AO43" i="21"/>
  <c r="K30" i="17"/>
  <c r="BP86" i="2"/>
  <c r="BP82" i="2"/>
  <c r="BP85" i="2"/>
  <c r="BP81" i="2"/>
  <c r="BP89" i="2"/>
  <c r="BP80" i="2"/>
  <c r="BP84" i="2"/>
  <c r="BP88" i="2"/>
  <c r="BP83" i="2"/>
  <c r="BP87" i="2"/>
  <c r="BP76" i="2"/>
  <c r="BP75" i="2"/>
  <c r="BP74" i="2"/>
  <c r="BP79" i="2"/>
  <c r="BP73" i="2"/>
  <c r="BP78" i="2"/>
  <c r="BP72" i="2"/>
  <c r="BP77" i="2"/>
  <c r="AX84" i="2"/>
  <c r="AX88" i="2"/>
  <c r="AX83" i="2"/>
  <c r="AX87" i="2"/>
  <c r="AX86" i="2"/>
  <c r="AX82" i="2"/>
  <c r="AX85" i="2"/>
  <c r="AX81" i="2"/>
  <c r="AX89" i="2"/>
  <c r="AX80" i="2"/>
  <c r="AX78" i="2"/>
  <c r="AX72" i="2"/>
  <c r="AX76" i="2"/>
  <c r="AX75" i="2"/>
  <c r="AX79" i="2"/>
  <c r="AX74" i="2"/>
  <c r="AX73" i="2"/>
  <c r="AX77" i="2"/>
  <c r="Q87" i="2"/>
  <c r="Q83" i="2"/>
  <c r="Q86" i="2"/>
  <c r="Q82" i="2"/>
  <c r="Q85" i="2"/>
  <c r="Q81" i="2"/>
  <c r="Q89" i="2"/>
  <c r="Q80" i="2"/>
  <c r="Q84" i="2"/>
  <c r="Q88" i="2"/>
  <c r="Q77" i="2"/>
  <c r="Q76" i="2"/>
  <c r="Q75" i="2"/>
  <c r="Q74" i="2"/>
  <c r="Q79" i="2"/>
  <c r="Q73" i="2"/>
  <c r="Q78" i="2"/>
  <c r="Q72" i="2"/>
  <c r="N110" i="2"/>
  <c r="R91" i="12"/>
  <c r="T40" i="12"/>
  <c r="S40" i="12"/>
  <c r="T73" i="12"/>
  <c r="S91" i="12"/>
  <c r="R40" i="12"/>
  <c r="R73" i="12"/>
  <c r="S73" i="12"/>
  <c r="T91" i="12"/>
  <c r="O108" i="2"/>
  <c r="AV108" i="2"/>
  <c r="AV109" i="2"/>
  <c r="O109" i="2"/>
  <c r="BN108" i="2"/>
  <c r="BJ103" i="18"/>
  <c r="BJ108" i="18" s="1"/>
  <c r="AU110" i="2"/>
  <c r="BJ104" i="18"/>
  <c r="BJ109" i="18" s="1"/>
  <c r="AW104" i="18"/>
  <c r="AW109" i="18" s="1"/>
  <c r="BY102" i="18"/>
  <c r="AW101" i="18"/>
  <c r="P104" i="2"/>
  <c r="AW102" i="2"/>
  <c r="P102" i="2"/>
  <c r="AW102" i="18"/>
  <c r="AV105" i="2"/>
  <c r="AV107" i="2"/>
  <c r="AW100" i="2"/>
  <c r="AW99" i="2"/>
  <c r="AW91" i="2"/>
  <c r="AW104" i="2"/>
  <c r="P100" i="2"/>
  <c r="AW103" i="2"/>
  <c r="AW103" i="18"/>
  <c r="AW108" i="18" s="1"/>
  <c r="AW101" i="2"/>
  <c r="AX90" i="2"/>
  <c r="AY6" i="2"/>
  <c r="AX92" i="2"/>
  <c r="G42" i="12"/>
  <c r="BI105" i="18"/>
  <c r="BI107" i="18"/>
  <c r="BI110" i="18" s="1"/>
  <c r="BJ99" i="18"/>
  <c r="BJ91" i="18"/>
  <c r="R100" i="18"/>
  <c r="R6" i="2"/>
  <c r="Q92" i="2"/>
  <c r="AV105" i="18"/>
  <c r="AV107" i="18"/>
  <c r="AV110" i="18" s="1"/>
  <c r="BZ90" i="18"/>
  <c r="BZ82" i="18"/>
  <c r="BZ81" i="18"/>
  <c r="BZ80" i="18"/>
  <c r="BZ83" i="18"/>
  <c r="BZ73" i="18"/>
  <c r="BZ88" i="18"/>
  <c r="BZ87" i="18"/>
  <c r="BZ86" i="18"/>
  <c r="BZ85" i="18"/>
  <c r="BZ84" i="18"/>
  <c r="BZ77" i="18"/>
  <c r="BZ79" i="18"/>
  <c r="BZ74" i="18"/>
  <c r="BZ76" i="18"/>
  <c r="BZ78" i="18"/>
  <c r="BZ75" i="18"/>
  <c r="BZ89" i="18"/>
  <c r="CA6" i="18"/>
  <c r="BZ72" i="18"/>
  <c r="BZ92" i="18"/>
  <c r="BY104" i="18"/>
  <c r="BY109" i="18" s="1"/>
  <c r="P95" i="2"/>
  <c r="P69" i="2"/>
  <c r="P43" i="2"/>
  <c r="R103" i="18"/>
  <c r="R108" i="18" s="1"/>
  <c r="P99" i="2"/>
  <c r="P91" i="2"/>
  <c r="BJ100" i="18"/>
  <c r="R102" i="18"/>
  <c r="BY101" i="18"/>
  <c r="Q96" i="2"/>
  <c r="Q70" i="2"/>
  <c r="R9" i="2"/>
  <c r="Q3" i="2"/>
  <c r="Q8" i="2"/>
  <c r="Q44" i="2"/>
  <c r="AW99" i="18"/>
  <c r="AW91" i="18"/>
  <c r="Q109" i="18"/>
  <c r="S83" i="18"/>
  <c r="S84" i="18"/>
  <c r="S88" i="18"/>
  <c r="S87" i="18"/>
  <c r="S86" i="18"/>
  <c r="S85" i="18"/>
  <c r="S75" i="18"/>
  <c r="S79" i="18"/>
  <c r="S74" i="18"/>
  <c r="S76" i="18"/>
  <c r="S89" i="18"/>
  <c r="S78" i="18"/>
  <c r="S82" i="18"/>
  <c r="S81" i="18"/>
  <c r="S77" i="18"/>
  <c r="S72" i="18"/>
  <c r="S80" i="18"/>
  <c r="S73" i="18"/>
  <c r="T6" i="18"/>
  <c r="S92" i="18"/>
  <c r="R104" i="18"/>
  <c r="P101" i="2"/>
  <c r="BY99" i="18"/>
  <c r="BY91" i="18"/>
  <c r="P110" i="18"/>
  <c r="AX89" i="18"/>
  <c r="AX78" i="18"/>
  <c r="AX90" i="18"/>
  <c r="AX82" i="18"/>
  <c r="AX81" i="18"/>
  <c r="AX80" i="18"/>
  <c r="AX83" i="18"/>
  <c r="AX73" i="18"/>
  <c r="AX88" i="18"/>
  <c r="AX87" i="18"/>
  <c r="AX86" i="18"/>
  <c r="AX85" i="18"/>
  <c r="AX84" i="18"/>
  <c r="AX75" i="18"/>
  <c r="AX77" i="18"/>
  <c r="AX79" i="18"/>
  <c r="AX74" i="18"/>
  <c r="AX76" i="18"/>
  <c r="AX72" i="18"/>
  <c r="AX92" i="18"/>
  <c r="R91" i="18"/>
  <c r="R99" i="18"/>
  <c r="BY100" i="18"/>
  <c r="AW100" i="18"/>
  <c r="P103" i="2"/>
  <c r="R96" i="18"/>
  <c r="R70" i="18"/>
  <c r="S9" i="18"/>
  <c r="R44" i="18"/>
  <c r="R8" i="18"/>
  <c r="O107" i="2"/>
  <c r="O105" i="2"/>
  <c r="BX105" i="18"/>
  <c r="BX107" i="18"/>
  <c r="BX110" i="18" s="1"/>
  <c r="R101" i="18"/>
  <c r="Q95" i="18"/>
  <c r="Q69" i="18"/>
  <c r="Q43" i="18"/>
  <c r="BK76" i="18"/>
  <c r="BK89" i="18"/>
  <c r="BK78" i="18"/>
  <c r="BK90" i="18"/>
  <c r="BK82" i="18"/>
  <c r="BK81" i="18"/>
  <c r="BK80" i="18"/>
  <c r="BK83" i="18"/>
  <c r="BK73" i="18"/>
  <c r="BK88" i="18"/>
  <c r="BK87" i="18"/>
  <c r="BK86" i="18"/>
  <c r="BK85" i="18"/>
  <c r="BK84" i="18"/>
  <c r="BK75" i="18"/>
  <c r="BK77" i="18"/>
  <c r="BK79" i="18"/>
  <c r="BK74" i="18"/>
  <c r="BK72" i="18"/>
  <c r="BL6" i="18"/>
  <c r="BK92" i="18"/>
  <c r="BJ102" i="18"/>
  <c r="Q105" i="18"/>
  <c r="Q107" i="18"/>
  <c r="BY103" i="18"/>
  <c r="BY108" i="18" s="1"/>
  <c r="BJ101" i="18"/>
  <c r="BO101" i="2"/>
  <c r="BM110" i="2"/>
  <c r="BO103" i="2"/>
  <c r="BO102" i="2"/>
  <c r="BP92" i="2"/>
  <c r="BP90" i="2"/>
  <c r="BQ6" i="2"/>
  <c r="BO104" i="2"/>
  <c r="BN105" i="2"/>
  <c r="BN109" i="2"/>
  <c r="BO100" i="2"/>
  <c r="BO99" i="2"/>
  <c r="BO91" i="2"/>
  <c r="BN107" i="2"/>
  <c r="EJ79" i="18"/>
  <c r="C76" i="12"/>
  <c r="M41" i="12"/>
  <c r="I92" i="12"/>
  <c r="N92" i="12"/>
  <c r="C43" i="12"/>
  <c r="J92" i="12"/>
  <c r="K41" i="12"/>
  <c r="J74" i="12"/>
  <c r="P73" i="12"/>
  <c r="EJ83" i="18"/>
  <c r="EJ85" i="18"/>
  <c r="EJ82" i="18"/>
  <c r="O30" i="17"/>
  <c r="P42" i="22"/>
  <c r="EJ75" i="18"/>
  <c r="EJ72" i="18"/>
  <c r="EJ80" i="18"/>
  <c r="L92" i="12"/>
  <c r="EJ84" i="18"/>
  <c r="I74" i="12"/>
  <c r="EJ87" i="18"/>
  <c r="K92" i="12"/>
  <c r="EJ89" i="18"/>
  <c r="M92" i="12"/>
  <c r="K74" i="12"/>
  <c r="P30" i="17"/>
  <c r="L41" i="12"/>
  <c r="N74" i="12"/>
  <c r="L74" i="12"/>
  <c r="P40" i="12"/>
  <c r="C94" i="12"/>
  <c r="P91" i="12"/>
  <c r="EJ77" i="18"/>
  <c r="EJ86" i="18"/>
  <c r="EJ74" i="18"/>
  <c r="M74" i="12"/>
  <c r="I41" i="12"/>
  <c r="O42" i="22"/>
  <c r="EJ78" i="18"/>
  <c r="J41" i="12"/>
  <c r="EJ81" i="18"/>
  <c r="EJ76" i="18"/>
  <c r="G43" i="12" a="1"/>
  <c r="EJ73" i="18"/>
  <c r="N41" i="12"/>
  <c r="EJ88" i="18"/>
  <c r="K44" i="22" l="1"/>
  <c r="AP95" i="21"/>
  <c r="AP69" i="21"/>
  <c r="AP43" i="21"/>
  <c r="AQ96" i="21"/>
  <c r="AQ44" i="21"/>
  <c r="AQ70" i="21"/>
  <c r="AR9" i="21"/>
  <c r="AQ8" i="21"/>
  <c r="AQ3" i="21"/>
  <c r="BK104" i="18"/>
  <c r="BK109" i="18" s="1"/>
  <c r="K31" i="17"/>
  <c r="BQ85" i="2"/>
  <c r="BQ81" i="2"/>
  <c r="BQ89" i="2"/>
  <c r="BQ80" i="2"/>
  <c r="BQ84" i="2"/>
  <c r="BQ88" i="2"/>
  <c r="BQ83" i="2"/>
  <c r="BQ87" i="2"/>
  <c r="BQ86" i="2"/>
  <c r="BQ82" i="2"/>
  <c r="BQ75" i="2"/>
  <c r="BQ74" i="2"/>
  <c r="BQ79" i="2"/>
  <c r="BQ73" i="2"/>
  <c r="BQ78" i="2"/>
  <c r="BQ72" i="2"/>
  <c r="BQ77" i="2"/>
  <c r="BQ76" i="2"/>
  <c r="AY88" i="2"/>
  <c r="AY83" i="2"/>
  <c r="AY87" i="2"/>
  <c r="AY86" i="2"/>
  <c r="AY82" i="2"/>
  <c r="AY85" i="2"/>
  <c r="AY81" i="2"/>
  <c r="AY89" i="2"/>
  <c r="AY80" i="2"/>
  <c r="AY84" i="2"/>
  <c r="AY78" i="2"/>
  <c r="AY72" i="2"/>
  <c r="AY77" i="2"/>
  <c r="AY76" i="2"/>
  <c r="AY75" i="2"/>
  <c r="AY79" i="2"/>
  <c r="AY74" i="2"/>
  <c r="AY73" i="2"/>
  <c r="R86" i="2"/>
  <c r="R82" i="2"/>
  <c r="R85" i="2"/>
  <c r="R81" i="2"/>
  <c r="R89" i="2"/>
  <c r="R84" i="2"/>
  <c r="R88" i="2"/>
  <c r="R87" i="2"/>
  <c r="R83" i="2"/>
  <c r="R75" i="2"/>
  <c r="R74" i="2"/>
  <c r="R79" i="2"/>
  <c r="R73" i="2"/>
  <c r="R78" i="2"/>
  <c r="R72" i="2"/>
  <c r="R77" i="2"/>
  <c r="R76" i="2"/>
  <c r="R80" i="2"/>
  <c r="O110" i="2"/>
  <c r="T92" i="12"/>
  <c r="S41" i="12"/>
  <c r="S92" i="12"/>
  <c r="S74" i="12"/>
  <c r="T74" i="12"/>
  <c r="R92" i="12"/>
  <c r="T41" i="12"/>
  <c r="R74" i="12"/>
  <c r="R41" i="12"/>
  <c r="BO108" i="2"/>
  <c r="P109" i="2"/>
  <c r="AW108" i="2"/>
  <c r="AW109" i="2"/>
  <c r="P108" i="2"/>
  <c r="AV110" i="2"/>
  <c r="BK101" i="18"/>
  <c r="AX100" i="2"/>
  <c r="Q104" i="2"/>
  <c r="Q100" i="2"/>
  <c r="Q103" i="2"/>
  <c r="AX104" i="2"/>
  <c r="AX91" i="2"/>
  <c r="AX99" i="2"/>
  <c r="AY90" i="2"/>
  <c r="AZ6" i="2"/>
  <c r="AY92" i="2"/>
  <c r="BK102" i="18"/>
  <c r="AX103" i="2"/>
  <c r="BZ102" i="18"/>
  <c r="AW105" i="2"/>
  <c r="AW107" i="2"/>
  <c r="Q102" i="2"/>
  <c r="AX102" i="2"/>
  <c r="AX101" i="2"/>
  <c r="G43" i="12"/>
  <c r="AX101" i="18"/>
  <c r="Q95" i="2"/>
  <c r="Q69" i="2"/>
  <c r="Q43" i="2"/>
  <c r="BZ101" i="18"/>
  <c r="T84" i="18"/>
  <c r="T88" i="18"/>
  <c r="T87" i="18"/>
  <c r="T86" i="18"/>
  <c r="T85" i="18"/>
  <c r="T77" i="18"/>
  <c r="T79" i="18"/>
  <c r="T74" i="18"/>
  <c r="T72" i="18"/>
  <c r="T76" i="18"/>
  <c r="T89" i="18"/>
  <c r="T78" i="18"/>
  <c r="T80" i="18"/>
  <c r="T83" i="18"/>
  <c r="T82" i="18"/>
  <c r="T81" i="18"/>
  <c r="T73" i="18"/>
  <c r="U6" i="18"/>
  <c r="T75" i="18"/>
  <c r="T92" i="18"/>
  <c r="BL89" i="18"/>
  <c r="BL78" i="18"/>
  <c r="BL90" i="18"/>
  <c r="BL82" i="18"/>
  <c r="BL81" i="18"/>
  <c r="BL80" i="18"/>
  <c r="BL83" i="18"/>
  <c r="BL88" i="18"/>
  <c r="BL87" i="18"/>
  <c r="BL86" i="18"/>
  <c r="BL85" i="18"/>
  <c r="BL84" i="18"/>
  <c r="BL75" i="18"/>
  <c r="BL77" i="18"/>
  <c r="BL79" i="18"/>
  <c r="BL76" i="18"/>
  <c r="BL72" i="18"/>
  <c r="BL74" i="18"/>
  <c r="BL73" i="18"/>
  <c r="BL92" i="18"/>
  <c r="S103" i="18"/>
  <c r="S108" i="18" s="1"/>
  <c r="R96" i="2"/>
  <c r="R70" i="2"/>
  <c r="S9" i="2"/>
  <c r="R3" i="2"/>
  <c r="R8" i="2"/>
  <c r="R44" i="2"/>
  <c r="P107" i="2"/>
  <c r="P105" i="2"/>
  <c r="Q99" i="2"/>
  <c r="Q91" i="2"/>
  <c r="BK99" i="18"/>
  <c r="BK91" i="18"/>
  <c r="AX100" i="18"/>
  <c r="S101" i="18"/>
  <c r="Q101" i="2"/>
  <c r="R107" i="18"/>
  <c r="R105" i="18"/>
  <c r="S99" i="18"/>
  <c r="S91" i="18"/>
  <c r="BZ100" i="18"/>
  <c r="BJ105" i="18"/>
  <c r="BJ107" i="18"/>
  <c r="BJ110" i="18" s="1"/>
  <c r="S100" i="18"/>
  <c r="S104" i="18"/>
  <c r="BK100" i="18"/>
  <c r="AX103" i="18"/>
  <c r="AX108" i="18" s="1"/>
  <c r="BZ103" i="18"/>
  <c r="BZ108" i="18" s="1"/>
  <c r="R95" i="18"/>
  <c r="R69" i="18"/>
  <c r="R43" i="18"/>
  <c r="S102" i="18"/>
  <c r="BZ99" i="18"/>
  <c r="BZ91" i="18"/>
  <c r="BK103" i="18"/>
  <c r="BK108" i="18" s="1"/>
  <c r="S96" i="18"/>
  <c r="T9" i="18"/>
  <c r="S44" i="18"/>
  <c r="S70" i="18"/>
  <c r="S8" i="18"/>
  <c r="AX104" i="18"/>
  <c r="BY105" i="18"/>
  <c r="BY107" i="18"/>
  <c r="BY110" i="18" s="1"/>
  <c r="CA83" i="18"/>
  <c r="CA88" i="18"/>
  <c r="CA87" i="18"/>
  <c r="CA86" i="18"/>
  <c r="CA85" i="18"/>
  <c r="CA84" i="18"/>
  <c r="CA75" i="18"/>
  <c r="CA79" i="18"/>
  <c r="CA76" i="18"/>
  <c r="CA89" i="18"/>
  <c r="CA78" i="18"/>
  <c r="CA90" i="18"/>
  <c r="CA82" i="18"/>
  <c r="CA81" i="18"/>
  <c r="CA80" i="18"/>
  <c r="CB6" i="18"/>
  <c r="CA72" i="18"/>
  <c r="CA77" i="18"/>
  <c r="CA73" i="18"/>
  <c r="CA74" i="18"/>
  <c r="CA92" i="18"/>
  <c r="BZ104" i="18"/>
  <c r="BZ109" i="18" s="1"/>
  <c r="S6" i="2"/>
  <c r="R92" i="2"/>
  <c r="Q110" i="18"/>
  <c r="AW105" i="18"/>
  <c r="AW107" i="18"/>
  <c r="AW110" i="18" s="1"/>
  <c r="AX99" i="18"/>
  <c r="AX91" i="18"/>
  <c r="AX102" i="18"/>
  <c r="R109" i="18"/>
  <c r="BP101" i="2"/>
  <c r="BP103" i="2"/>
  <c r="BO109" i="2"/>
  <c r="BQ92" i="2"/>
  <c r="BQ90" i="2"/>
  <c r="BR6" i="2"/>
  <c r="BP100" i="2"/>
  <c r="BP102" i="2"/>
  <c r="BP104" i="2"/>
  <c r="BP99" i="2"/>
  <c r="BP91" i="2"/>
  <c r="BN110" i="2"/>
  <c r="BO105" i="2"/>
  <c r="BO107" i="2"/>
  <c r="EJ99" i="18"/>
  <c r="N75" i="12"/>
  <c r="I75" i="12"/>
  <c r="C77" i="12"/>
  <c r="I42" i="12"/>
  <c r="EJ100" i="18"/>
  <c r="K75" i="12"/>
  <c r="EJ101" i="18"/>
  <c r="P43" i="22"/>
  <c r="L75" i="12"/>
  <c r="I93" i="12"/>
  <c r="M75" i="12"/>
  <c r="G44" i="12" a="1"/>
  <c r="O31" i="17"/>
  <c r="P31" i="17"/>
  <c r="L42" i="12"/>
  <c r="P41" i="12"/>
  <c r="M42" i="12"/>
  <c r="J42" i="12"/>
  <c r="EJ104" i="18"/>
  <c r="C44" i="12"/>
  <c r="M93" i="12"/>
  <c r="EJ108" i="18"/>
  <c r="K42" i="12"/>
  <c r="J75" i="12"/>
  <c r="C95" i="12"/>
  <c r="P92" i="12"/>
  <c r="N42" i="12"/>
  <c r="J93" i="12"/>
  <c r="N93" i="12"/>
  <c r="EJ91" i="18"/>
  <c r="P74" i="12"/>
  <c r="O43" i="22"/>
  <c r="K93" i="12"/>
  <c r="L93" i="12"/>
  <c r="K45" i="22" l="1"/>
  <c r="AQ95" i="21"/>
  <c r="AQ69" i="21"/>
  <c r="AQ43" i="21"/>
  <c r="AR96" i="21"/>
  <c r="AR70" i="21"/>
  <c r="AR44" i="21"/>
  <c r="AS9" i="21"/>
  <c r="AR8" i="21"/>
  <c r="AR3" i="21"/>
  <c r="K32" i="17"/>
  <c r="S86" i="2"/>
  <c r="S82" i="2"/>
  <c r="S85" i="2"/>
  <c r="S81" i="2"/>
  <c r="S89" i="2"/>
  <c r="S84" i="2"/>
  <c r="S88" i="2"/>
  <c r="S87" i="2"/>
  <c r="S83" i="2"/>
  <c r="S76" i="2"/>
  <c r="S75" i="2"/>
  <c r="S74" i="2"/>
  <c r="S79" i="2"/>
  <c r="S73" i="2"/>
  <c r="S78" i="2"/>
  <c r="S72" i="2"/>
  <c r="S77" i="2"/>
  <c r="S80" i="2"/>
  <c r="BR85" i="2"/>
  <c r="BR81" i="2"/>
  <c r="BR89" i="2"/>
  <c r="BR80" i="2"/>
  <c r="BR84" i="2"/>
  <c r="BR88" i="2"/>
  <c r="BR83" i="2"/>
  <c r="BR87" i="2"/>
  <c r="BR86" i="2"/>
  <c r="BR82" i="2"/>
  <c r="BR75" i="2"/>
  <c r="BR74" i="2"/>
  <c r="BR79" i="2"/>
  <c r="BR73" i="2"/>
  <c r="BR78" i="2"/>
  <c r="BR72" i="2"/>
  <c r="BR77" i="2"/>
  <c r="BR76" i="2"/>
  <c r="AZ83" i="2"/>
  <c r="AZ87" i="2"/>
  <c r="AZ86" i="2"/>
  <c r="AZ82" i="2"/>
  <c r="AZ85" i="2"/>
  <c r="AZ81" i="2"/>
  <c r="AZ89" i="2"/>
  <c r="AZ80" i="2"/>
  <c r="AZ84" i="2"/>
  <c r="AZ88" i="2"/>
  <c r="AZ72" i="2"/>
  <c r="AZ77" i="2"/>
  <c r="AZ76" i="2"/>
  <c r="AZ79" i="2"/>
  <c r="AZ74" i="2"/>
  <c r="AZ73" i="2"/>
  <c r="AZ78" i="2"/>
  <c r="AZ75" i="2"/>
  <c r="P110" i="2"/>
  <c r="R75" i="12"/>
  <c r="T75" i="12"/>
  <c r="S93" i="12"/>
  <c r="T42" i="12"/>
  <c r="R42" i="12"/>
  <c r="T93" i="12"/>
  <c r="S75" i="12"/>
  <c r="R93" i="12"/>
  <c r="S42" i="12"/>
  <c r="AX108" i="2"/>
  <c r="AX109" i="2"/>
  <c r="Q108" i="2"/>
  <c r="Q109" i="2"/>
  <c r="BP108" i="2"/>
  <c r="AY100" i="2"/>
  <c r="AW110" i="2"/>
  <c r="R104" i="2"/>
  <c r="AY104" i="2"/>
  <c r="AY103" i="2"/>
  <c r="BA6" i="2"/>
  <c r="AZ90" i="2"/>
  <c r="AZ92" i="2"/>
  <c r="AY101" i="2"/>
  <c r="CA100" i="18"/>
  <c r="AY99" i="2"/>
  <c r="AY91" i="2"/>
  <c r="CA101" i="18"/>
  <c r="R103" i="2"/>
  <c r="CA104" i="18"/>
  <c r="CA109" i="18" s="1"/>
  <c r="AY102" i="2"/>
  <c r="AX105" i="2"/>
  <c r="AX107" i="2"/>
  <c r="R102" i="2"/>
  <c r="EJ95" i="18"/>
  <c r="EJ102" i="18"/>
  <c r="G44" i="12"/>
  <c r="Q107" i="2"/>
  <c r="Q105" i="2"/>
  <c r="BL102" i="18"/>
  <c r="S105" i="18"/>
  <c r="S107" i="18"/>
  <c r="BL101" i="18"/>
  <c r="T70" i="18"/>
  <c r="T96" i="18"/>
  <c r="U9" i="18"/>
  <c r="T44" i="18"/>
  <c r="T8" i="18"/>
  <c r="BL99" i="18"/>
  <c r="BL91" i="18"/>
  <c r="T102" i="18"/>
  <c r="T104" i="18"/>
  <c r="CA99" i="18"/>
  <c r="CA91" i="18"/>
  <c r="CA103" i="18"/>
  <c r="CA108" i="18" s="1"/>
  <c r="R110" i="18"/>
  <c r="T101" i="18"/>
  <c r="R91" i="2"/>
  <c r="R101" i="2"/>
  <c r="CB83" i="18"/>
  <c r="CB73" i="18"/>
  <c r="CB88" i="18"/>
  <c r="CB87" i="18"/>
  <c r="CB86" i="18"/>
  <c r="CB85" i="18"/>
  <c r="CB84" i="18"/>
  <c r="CB77" i="18"/>
  <c r="CB79" i="18"/>
  <c r="CB74" i="18"/>
  <c r="CB72" i="18"/>
  <c r="CB76" i="18"/>
  <c r="CB89" i="18"/>
  <c r="CC6" i="18"/>
  <c r="CB82" i="18"/>
  <c r="CB81" i="18"/>
  <c r="CB80" i="18"/>
  <c r="CB90" i="18"/>
  <c r="CB78" i="18"/>
  <c r="CB75" i="18"/>
  <c r="CB92" i="18"/>
  <c r="T6" i="2"/>
  <c r="S92" i="2"/>
  <c r="R95" i="2"/>
  <c r="R69" i="2"/>
  <c r="R43" i="2"/>
  <c r="BL100" i="18"/>
  <c r="BZ105" i="18"/>
  <c r="BZ107" i="18"/>
  <c r="BZ110" i="18" s="1"/>
  <c r="CA102" i="18"/>
  <c r="S109" i="18"/>
  <c r="S96" i="2"/>
  <c r="S70" i="2"/>
  <c r="T9" i="2"/>
  <c r="S3" i="2"/>
  <c r="S44" i="2"/>
  <c r="S8" i="2"/>
  <c r="T99" i="18"/>
  <c r="T91" i="18"/>
  <c r="AX105" i="18"/>
  <c r="AX107" i="18"/>
  <c r="R100" i="2"/>
  <c r="BL103" i="18"/>
  <c r="BL108" i="18" s="1"/>
  <c r="BK105" i="18"/>
  <c r="BK107" i="18"/>
  <c r="BK110" i="18" s="1"/>
  <c r="R99" i="2"/>
  <c r="AX109" i="18"/>
  <c r="U88" i="18"/>
  <c r="U87" i="18"/>
  <c r="U86" i="18"/>
  <c r="U85" i="18"/>
  <c r="U75" i="18"/>
  <c r="U77" i="18"/>
  <c r="U79" i="18"/>
  <c r="U72" i="18"/>
  <c r="U76" i="18"/>
  <c r="U89" i="18"/>
  <c r="U78" i="18"/>
  <c r="U80" i="18"/>
  <c r="U82" i="18"/>
  <c r="U81" i="18"/>
  <c r="U73" i="18"/>
  <c r="U74" i="18"/>
  <c r="V6" i="18"/>
  <c r="U84" i="18"/>
  <c r="U83" i="18"/>
  <c r="U92" i="18"/>
  <c r="T100" i="18"/>
  <c r="S95" i="18"/>
  <c r="S69" i="18"/>
  <c r="S43" i="18"/>
  <c r="BL104" i="18"/>
  <c r="T103" i="18"/>
  <c r="T108" i="18" s="1"/>
  <c r="BQ104" i="2"/>
  <c r="BQ99" i="2"/>
  <c r="BQ91" i="2"/>
  <c r="BQ101" i="2"/>
  <c r="BP107" i="2"/>
  <c r="BQ103" i="2"/>
  <c r="BO110" i="2"/>
  <c r="BP109" i="2"/>
  <c r="BR92" i="2"/>
  <c r="BR90" i="2"/>
  <c r="BS6" i="2"/>
  <c r="BP105" i="2"/>
  <c r="BQ100" i="2"/>
  <c r="BQ102" i="2"/>
  <c r="P32" i="17"/>
  <c r="EL85" i="18"/>
  <c r="EL73" i="18"/>
  <c r="C45" i="12"/>
  <c r="EL86" i="18"/>
  <c r="N43" i="12"/>
  <c r="I94" i="12"/>
  <c r="L76" i="12"/>
  <c r="EL77" i="18"/>
  <c r="P75" i="12"/>
  <c r="EL82" i="18"/>
  <c r="M76" i="12"/>
  <c r="K94" i="12"/>
  <c r="N76" i="12"/>
  <c r="J43" i="12"/>
  <c r="K76" i="12"/>
  <c r="L94" i="12"/>
  <c r="C96" i="12"/>
  <c r="M43" i="12"/>
  <c r="G45" i="12" a="1"/>
  <c r="J94" i="12"/>
  <c r="O32" i="17"/>
  <c r="EL89" i="18"/>
  <c r="EL78" i="18"/>
  <c r="P93" i="12"/>
  <c r="EL81" i="18"/>
  <c r="EL75" i="18"/>
  <c r="I76" i="12"/>
  <c r="EJ109" i="18"/>
  <c r="L43" i="12"/>
  <c r="M94" i="12"/>
  <c r="EJ107" i="18"/>
  <c r="C78" i="12"/>
  <c r="EL83" i="18"/>
  <c r="EL87" i="18"/>
  <c r="EL80" i="18"/>
  <c r="EL88" i="18"/>
  <c r="P44" i="22"/>
  <c r="N94" i="12"/>
  <c r="J76" i="12"/>
  <c r="EJ105" i="18"/>
  <c r="EL84" i="18"/>
  <c r="O44" i="22"/>
  <c r="EL74" i="18"/>
  <c r="K43" i="12"/>
  <c r="EL79" i="18"/>
  <c r="P42" i="12"/>
  <c r="EL76" i="18"/>
  <c r="EL72" i="18"/>
  <c r="I43" i="12"/>
  <c r="K46" i="22" l="1"/>
  <c r="AR95" i="21"/>
  <c r="AR69" i="21"/>
  <c r="AR43" i="21"/>
  <c r="AS96" i="21"/>
  <c r="AS70" i="21"/>
  <c r="AS44" i="21"/>
  <c r="AT9" i="21"/>
  <c r="AS8" i="21"/>
  <c r="AS3" i="21"/>
  <c r="K33" i="17"/>
  <c r="BS85" i="2"/>
  <c r="BS81" i="2"/>
  <c r="BS89" i="2"/>
  <c r="BS80" i="2"/>
  <c r="BS84" i="2"/>
  <c r="BS88" i="2"/>
  <c r="BS83" i="2"/>
  <c r="BS87" i="2"/>
  <c r="BS86" i="2"/>
  <c r="BS82" i="2"/>
  <c r="BS74" i="2"/>
  <c r="BS79" i="2"/>
  <c r="BS73" i="2"/>
  <c r="BS78" i="2"/>
  <c r="BS72" i="2"/>
  <c r="BS77" i="2"/>
  <c r="BS75" i="2"/>
  <c r="BS76" i="2"/>
  <c r="T86" i="2"/>
  <c r="T82" i="2"/>
  <c r="T85" i="2"/>
  <c r="T81" i="2"/>
  <c r="T89" i="2"/>
  <c r="T84" i="2"/>
  <c r="T88" i="2"/>
  <c r="T87" i="2"/>
  <c r="T76" i="2"/>
  <c r="T75" i="2"/>
  <c r="T74" i="2"/>
  <c r="T79" i="2"/>
  <c r="T80" i="2"/>
  <c r="T73" i="2"/>
  <c r="T78" i="2"/>
  <c r="T72" i="2"/>
  <c r="T77" i="2"/>
  <c r="T83" i="2"/>
  <c r="BA83" i="2"/>
  <c r="BA87" i="2"/>
  <c r="BA86" i="2"/>
  <c r="BA82" i="2"/>
  <c r="BA85" i="2"/>
  <c r="BA81" i="2"/>
  <c r="BA89" i="2"/>
  <c r="BA80" i="2"/>
  <c r="BA84" i="2"/>
  <c r="BA88" i="2"/>
  <c r="BA77" i="2"/>
  <c r="BA76" i="2"/>
  <c r="BA75" i="2"/>
  <c r="BA79" i="2"/>
  <c r="BA74" i="2"/>
  <c r="BA73" i="2"/>
  <c r="BA78" i="2"/>
  <c r="BA72" i="2"/>
  <c r="AX110" i="2"/>
  <c r="T43" i="12"/>
  <c r="S76" i="12"/>
  <c r="R43" i="12"/>
  <c r="S94" i="12"/>
  <c r="R76" i="12"/>
  <c r="T76" i="12"/>
  <c r="T94" i="12"/>
  <c r="S43" i="12"/>
  <c r="R94" i="12"/>
  <c r="R108" i="2"/>
  <c r="Q110" i="2"/>
  <c r="AY108" i="2"/>
  <c r="AY109" i="2"/>
  <c r="BQ108" i="2"/>
  <c r="R109" i="2"/>
  <c r="AZ101" i="2"/>
  <c r="AZ103" i="2"/>
  <c r="S104" i="2"/>
  <c r="S103" i="2"/>
  <c r="AZ104" i="2"/>
  <c r="AY107" i="2"/>
  <c r="AY105" i="2"/>
  <c r="S100" i="2"/>
  <c r="AZ102" i="2"/>
  <c r="AZ99" i="2"/>
  <c r="AZ91" i="2"/>
  <c r="BB6" i="2"/>
  <c r="BA92" i="2"/>
  <c r="BA90" i="2"/>
  <c r="AZ100" i="2"/>
  <c r="G45" i="12"/>
  <c r="EJ106" i="18"/>
  <c r="U100" i="18"/>
  <c r="S110" i="18"/>
  <c r="U103" i="18"/>
  <c r="U108" i="18" s="1"/>
  <c r="CB101" i="18"/>
  <c r="T109" i="18"/>
  <c r="AX110" i="18"/>
  <c r="U6" i="2"/>
  <c r="T92" i="2"/>
  <c r="T107" i="18"/>
  <c r="T105" i="18"/>
  <c r="CB104" i="18"/>
  <c r="CA105" i="18"/>
  <c r="CA107" i="18"/>
  <c r="CA110" i="18" s="1"/>
  <c r="BL109" i="18"/>
  <c r="U104" i="18"/>
  <c r="S95" i="2"/>
  <c r="S69" i="2"/>
  <c r="S43" i="2"/>
  <c r="CC88" i="18"/>
  <c r="CC87" i="18"/>
  <c r="CC86" i="18"/>
  <c r="CC85" i="18"/>
  <c r="CC84" i="18"/>
  <c r="CC75" i="18"/>
  <c r="CC77" i="18"/>
  <c r="CC79" i="18"/>
  <c r="CC74" i="18"/>
  <c r="CC72" i="18"/>
  <c r="CC76" i="18"/>
  <c r="CC89" i="18"/>
  <c r="CC78" i="18"/>
  <c r="CC90" i="18"/>
  <c r="CC82" i="18"/>
  <c r="CC81" i="18"/>
  <c r="CC80" i="18"/>
  <c r="CC83" i="18"/>
  <c r="CC73" i="18"/>
  <c r="CD6" i="18"/>
  <c r="CC92" i="18"/>
  <c r="BL105" i="18"/>
  <c r="BL107" i="18"/>
  <c r="CB103" i="18"/>
  <c r="CB108" i="18" s="1"/>
  <c r="U101" i="18"/>
  <c r="CB102" i="18"/>
  <c r="T95" i="18"/>
  <c r="T69" i="18"/>
  <c r="T43" i="18"/>
  <c r="V77" i="18"/>
  <c r="V79" i="18"/>
  <c r="V76" i="18"/>
  <c r="V89" i="18"/>
  <c r="V78" i="18"/>
  <c r="V80" i="18"/>
  <c r="V82" i="18"/>
  <c r="V81" i="18"/>
  <c r="V88" i="18"/>
  <c r="V87" i="18"/>
  <c r="V86" i="18"/>
  <c r="V85" i="18"/>
  <c r="V84" i="18"/>
  <c r="V75" i="18"/>
  <c r="V72" i="18"/>
  <c r="W6" i="18"/>
  <c r="V73" i="18"/>
  <c r="V83" i="18"/>
  <c r="V74" i="18"/>
  <c r="V92" i="18"/>
  <c r="S102" i="2"/>
  <c r="R107" i="2"/>
  <c r="R105" i="2"/>
  <c r="T96" i="2"/>
  <c r="T3" i="2"/>
  <c r="U9" i="2"/>
  <c r="T70" i="2"/>
  <c r="T8" i="2"/>
  <c r="T44" i="2"/>
  <c r="S91" i="2"/>
  <c r="S99" i="2"/>
  <c r="CB99" i="18"/>
  <c r="CB91" i="18"/>
  <c r="U96" i="18"/>
  <c r="V9" i="18"/>
  <c r="U44" i="18"/>
  <c r="U8" i="18"/>
  <c r="U70" i="18"/>
  <c r="S101" i="2"/>
  <c r="U99" i="18"/>
  <c r="U91" i="18"/>
  <c r="U102" i="18"/>
  <c r="U113" i="18"/>
  <c r="CB100" i="18"/>
  <c r="BR99" i="2"/>
  <c r="BR91" i="2"/>
  <c r="BR101" i="2"/>
  <c r="BQ105" i="2"/>
  <c r="BR103" i="2"/>
  <c r="BP110" i="2"/>
  <c r="BR102" i="2"/>
  <c r="BR104" i="2"/>
  <c r="BS92" i="2"/>
  <c r="BS90" i="2"/>
  <c r="BT6" i="2"/>
  <c r="BR100" i="2"/>
  <c r="BQ107" i="2"/>
  <c r="BQ109" i="2"/>
  <c r="M95" i="12"/>
  <c r="K44" i="12"/>
  <c r="I77" i="12"/>
  <c r="J44" i="12"/>
  <c r="P45" i="22"/>
  <c r="L44" i="12"/>
  <c r="EL99" i="18"/>
  <c r="P43" i="12"/>
  <c r="C97" i="12"/>
  <c r="EJ110" i="18"/>
  <c r="EL91" i="18"/>
  <c r="I95" i="12"/>
  <c r="EL104" i="18"/>
  <c r="C46" i="12"/>
  <c r="P76" i="12"/>
  <c r="G46" i="12" a="1"/>
  <c r="C79" i="12"/>
  <c r="EL101" i="18"/>
  <c r="O45" i="22"/>
  <c r="M77" i="12"/>
  <c r="EL108" i="18"/>
  <c r="N77" i="12"/>
  <c r="L95" i="12"/>
  <c r="I44" i="12"/>
  <c r="K77" i="12"/>
  <c r="K95" i="12"/>
  <c r="N44" i="12"/>
  <c r="N95" i="12"/>
  <c r="O33" i="17"/>
  <c r="P94" i="12"/>
  <c r="J95" i="12"/>
  <c r="J77" i="12"/>
  <c r="M44" i="12"/>
  <c r="L77" i="12"/>
  <c r="EL100" i="18"/>
  <c r="P33" i="17"/>
  <c r="K47" i="22" l="1"/>
  <c r="AT96" i="21"/>
  <c r="AT44" i="21"/>
  <c r="AT70" i="21"/>
  <c r="AT8" i="21"/>
  <c r="AT3" i="21"/>
  <c r="AU9" i="21"/>
  <c r="AS95" i="21"/>
  <c r="AS69" i="21"/>
  <c r="AS43" i="21"/>
  <c r="T104" i="2"/>
  <c r="T109" i="2" s="1"/>
  <c r="K34" i="17"/>
  <c r="U85" i="2"/>
  <c r="U81" i="2"/>
  <c r="U89" i="2"/>
  <c r="U80" i="2"/>
  <c r="U84" i="2"/>
  <c r="U88" i="2"/>
  <c r="U87" i="2"/>
  <c r="U83" i="2"/>
  <c r="U86" i="2"/>
  <c r="U82" i="2"/>
  <c r="U75" i="2"/>
  <c r="U74" i="2"/>
  <c r="U79" i="2"/>
  <c r="U73" i="2"/>
  <c r="U78" i="2"/>
  <c r="U72" i="2"/>
  <c r="U77" i="2"/>
  <c r="U76" i="2"/>
  <c r="BB86" i="2"/>
  <c r="BB82" i="2"/>
  <c r="BB85" i="2"/>
  <c r="BB81" i="2"/>
  <c r="BB89" i="2"/>
  <c r="BB80" i="2"/>
  <c r="BB84" i="2"/>
  <c r="BB88" i="2"/>
  <c r="BB83" i="2"/>
  <c r="BB77" i="2"/>
  <c r="BB76" i="2"/>
  <c r="BB75" i="2"/>
  <c r="BB74" i="2"/>
  <c r="BB73" i="2"/>
  <c r="BB78" i="2"/>
  <c r="BB72" i="2"/>
  <c r="BB79" i="2"/>
  <c r="BB87" i="2"/>
  <c r="BT89" i="2"/>
  <c r="BT80" i="2"/>
  <c r="BT84" i="2"/>
  <c r="BT88" i="2"/>
  <c r="BT83" i="2"/>
  <c r="BT87" i="2"/>
  <c r="BT86" i="2"/>
  <c r="BT82" i="2"/>
  <c r="BT85" i="2"/>
  <c r="BT81" i="2"/>
  <c r="BT74" i="2"/>
  <c r="BT79" i="2"/>
  <c r="BT73" i="2"/>
  <c r="BT78" i="2"/>
  <c r="BT72" i="2"/>
  <c r="BT77" i="2"/>
  <c r="BT76" i="2"/>
  <c r="BT75" i="2"/>
  <c r="K6" i="12"/>
  <c r="J6" i="12"/>
  <c r="M6" i="12"/>
  <c r="L6" i="12"/>
  <c r="N6" i="12"/>
  <c r="I6" i="12"/>
  <c r="R110" i="2"/>
  <c r="T77" i="12"/>
  <c r="R95" i="12"/>
  <c r="S44" i="12"/>
  <c r="S6" i="12" s="1"/>
  <c r="W6" i="12" s="1"/>
  <c r="R44" i="12"/>
  <c r="R6" i="12" s="1"/>
  <c r="V6" i="12" s="1"/>
  <c r="R77" i="12"/>
  <c r="S77" i="12"/>
  <c r="S95" i="12"/>
  <c r="T95" i="12"/>
  <c r="T44" i="12"/>
  <c r="T6" i="12" s="1"/>
  <c r="X6" i="12" s="1"/>
  <c r="AZ108" i="2"/>
  <c r="S109" i="2"/>
  <c r="AY110" i="2"/>
  <c r="BR108" i="2"/>
  <c r="AZ109" i="2"/>
  <c r="S108" i="2"/>
  <c r="BA101" i="2"/>
  <c r="BA103" i="2"/>
  <c r="BA100" i="2"/>
  <c r="T101" i="2"/>
  <c r="BA104" i="2"/>
  <c r="AZ107" i="2"/>
  <c r="AZ105" i="2"/>
  <c r="BA102" i="2"/>
  <c r="BA99" i="2"/>
  <c r="BA91" i="2"/>
  <c r="BB90" i="2"/>
  <c r="BC6" i="2"/>
  <c r="BB92" i="2"/>
  <c r="T102" i="2"/>
  <c r="T103" i="2"/>
  <c r="G46" i="12"/>
  <c r="EJ112" i="18"/>
  <c r="EL95" i="18"/>
  <c r="EL102" i="18"/>
  <c r="U105" i="18"/>
  <c r="V102" i="18"/>
  <c r="V101" i="18"/>
  <c r="CC104" i="18"/>
  <c r="T95" i="2"/>
  <c r="T43" i="2"/>
  <c r="T69" i="2"/>
  <c r="W79" i="18"/>
  <c r="W74" i="18"/>
  <c r="W76" i="18"/>
  <c r="W89" i="18"/>
  <c r="W78" i="18"/>
  <c r="W80" i="18"/>
  <c r="W82" i="18"/>
  <c r="W81" i="18"/>
  <c r="W83" i="18"/>
  <c r="W73" i="18"/>
  <c r="W77" i="18"/>
  <c r="W72" i="18"/>
  <c r="X6" i="18"/>
  <c r="W88" i="18"/>
  <c r="W87" i="18"/>
  <c r="W86" i="18"/>
  <c r="W85" i="18"/>
  <c r="W84" i="18"/>
  <c r="W75" i="18"/>
  <c r="W92" i="18"/>
  <c r="BL110" i="18"/>
  <c r="V6" i="2"/>
  <c r="U92" i="2"/>
  <c r="U96" i="2"/>
  <c r="U44" i="2"/>
  <c r="V9" i="2"/>
  <c r="U3" i="2"/>
  <c r="U70" i="2"/>
  <c r="U8" i="2"/>
  <c r="V99" i="18"/>
  <c r="V91" i="18"/>
  <c r="CC99" i="18"/>
  <c r="CC91" i="18"/>
  <c r="U95" i="18"/>
  <c r="U69" i="18"/>
  <c r="U43" i="18"/>
  <c r="U109" i="18"/>
  <c r="V100" i="18"/>
  <c r="CD77" i="18"/>
  <c r="CD79" i="18"/>
  <c r="CD76" i="18"/>
  <c r="CD89" i="18"/>
  <c r="CD78" i="18"/>
  <c r="CD90" i="18"/>
  <c r="CD82" i="18"/>
  <c r="CD81" i="18"/>
  <c r="CD80" i="18"/>
  <c r="CD88" i="18"/>
  <c r="CD87" i="18"/>
  <c r="CD86" i="18"/>
  <c r="CD85" i="18"/>
  <c r="CD84" i="18"/>
  <c r="CD75" i="18"/>
  <c r="CD83" i="18"/>
  <c r="CD72" i="18"/>
  <c r="CD73" i="18"/>
  <c r="CD74" i="18"/>
  <c r="CE6" i="18"/>
  <c r="CD92" i="18"/>
  <c r="V96" i="18"/>
  <c r="W9" i="18"/>
  <c r="V44" i="18"/>
  <c r="V8" i="18"/>
  <c r="V70" i="18"/>
  <c r="V103" i="18"/>
  <c r="V108" i="18" s="1"/>
  <c r="CC100" i="18"/>
  <c r="CC102" i="18"/>
  <c r="T100" i="2"/>
  <c r="CC101" i="18"/>
  <c r="CB109" i="18"/>
  <c r="CB107" i="18"/>
  <c r="U107" i="18"/>
  <c r="CB105" i="18"/>
  <c r="V104" i="18"/>
  <c r="CC103" i="18"/>
  <c r="CC108" i="18" s="1"/>
  <c r="S107" i="2"/>
  <c r="S105" i="2"/>
  <c r="T110" i="18"/>
  <c r="T91" i="2"/>
  <c r="T99" i="2"/>
  <c r="BS99" i="2"/>
  <c r="BS91" i="2"/>
  <c r="BR109" i="2"/>
  <c r="BR105" i="2"/>
  <c r="BS101" i="2"/>
  <c r="BQ110" i="2"/>
  <c r="BS103" i="2"/>
  <c r="BT92" i="2"/>
  <c r="BT90" i="2"/>
  <c r="BU6" i="2"/>
  <c r="BS102" i="2"/>
  <c r="BS100" i="2"/>
  <c r="BS104" i="2"/>
  <c r="BR107" i="2"/>
  <c r="K78" i="12"/>
  <c r="O34" i="17"/>
  <c r="G47" i="12" a="1"/>
  <c r="L45" i="12"/>
  <c r="J45" i="12"/>
  <c r="EL107" i="18"/>
  <c r="O46" i="22"/>
  <c r="N45" i="12"/>
  <c r="N78" i="12"/>
  <c r="P95" i="12"/>
  <c r="K96" i="12"/>
  <c r="M96" i="12"/>
  <c r="L96" i="12"/>
  <c r="K45" i="12"/>
  <c r="C98" i="12"/>
  <c r="P46" i="22"/>
  <c r="C80" i="12"/>
  <c r="I45" i="12"/>
  <c r="J96" i="12"/>
  <c r="N96" i="12"/>
  <c r="M45" i="12"/>
  <c r="P34" i="17"/>
  <c r="EL105" i="18"/>
  <c r="M78" i="12"/>
  <c r="P44" i="12"/>
  <c r="EL109" i="18"/>
  <c r="C47" i="12"/>
  <c r="J78" i="12"/>
  <c r="I96" i="12"/>
  <c r="L78" i="12"/>
  <c r="I78" i="12"/>
  <c r="P77" i="12"/>
  <c r="K48" i="22" l="1"/>
  <c r="AU96" i="21"/>
  <c r="AU70" i="21"/>
  <c r="AU44" i="21"/>
  <c r="AU8" i="21"/>
  <c r="AU3" i="21"/>
  <c r="AV9" i="21"/>
  <c r="AT95" i="21"/>
  <c r="AT69" i="21"/>
  <c r="AT43" i="21"/>
  <c r="K35" i="17"/>
  <c r="BU80" i="2"/>
  <c r="BU84" i="2"/>
  <c r="BU88" i="2"/>
  <c r="BU83" i="2"/>
  <c r="BU87" i="2"/>
  <c r="BU86" i="2"/>
  <c r="BU82" i="2"/>
  <c r="BU85" i="2"/>
  <c r="BU81" i="2"/>
  <c r="BU89" i="2"/>
  <c r="BU79" i="2"/>
  <c r="BU78" i="2"/>
  <c r="BU77" i="2"/>
  <c r="BU76" i="2"/>
  <c r="BU75" i="2"/>
  <c r="BU74" i="2"/>
  <c r="BU73" i="2"/>
  <c r="BU72" i="2"/>
  <c r="V85" i="2"/>
  <c r="V81" i="2"/>
  <c r="V89" i="2"/>
  <c r="V80" i="2"/>
  <c r="V84" i="2"/>
  <c r="V88" i="2"/>
  <c r="V87" i="2"/>
  <c r="V83" i="2"/>
  <c r="V86" i="2"/>
  <c r="V82" i="2"/>
  <c r="V75" i="2"/>
  <c r="V74" i="2"/>
  <c r="V79" i="2"/>
  <c r="V73" i="2"/>
  <c r="V78" i="2"/>
  <c r="V72" i="2"/>
  <c r="V77" i="2"/>
  <c r="V76" i="2"/>
  <c r="BC86" i="2"/>
  <c r="BC82" i="2"/>
  <c r="BC85" i="2"/>
  <c r="BC81" i="2"/>
  <c r="BC89" i="2"/>
  <c r="BC80" i="2"/>
  <c r="BC84" i="2"/>
  <c r="BC88" i="2"/>
  <c r="BC83" i="2"/>
  <c r="BC87" i="2"/>
  <c r="BC76" i="2"/>
  <c r="BC75" i="2"/>
  <c r="BC74" i="2"/>
  <c r="BC79" i="2"/>
  <c r="BC73" i="2"/>
  <c r="BC78" i="2"/>
  <c r="BC72" i="2"/>
  <c r="BC77" i="2"/>
  <c r="AZ110" i="2"/>
  <c r="T45" i="12"/>
  <c r="R78" i="12"/>
  <c r="S45" i="12"/>
  <c r="S78" i="12"/>
  <c r="R45" i="12"/>
  <c r="P6" i="12"/>
  <c r="T96" i="12"/>
  <c r="R96" i="12"/>
  <c r="S96" i="12"/>
  <c r="T78" i="12"/>
  <c r="T108" i="2"/>
  <c r="S110" i="2"/>
  <c r="BA109" i="2"/>
  <c r="BS108" i="2"/>
  <c r="BA108" i="2"/>
  <c r="U102" i="2"/>
  <c r="BB104" i="2"/>
  <c r="BB103" i="2"/>
  <c r="U101" i="2"/>
  <c r="BB100" i="2"/>
  <c r="BB99" i="2"/>
  <c r="BB91" i="2"/>
  <c r="BA107" i="2"/>
  <c r="BA105" i="2"/>
  <c r="BC90" i="2"/>
  <c r="BC92" i="2"/>
  <c r="BB102" i="2"/>
  <c r="BB101" i="2"/>
  <c r="G47" i="12"/>
  <c r="EL106" i="18"/>
  <c r="CD103" i="18"/>
  <c r="CD108" i="18" s="1"/>
  <c r="CD100" i="18"/>
  <c r="CB110" i="18"/>
  <c r="W102" i="18"/>
  <c r="T107" i="2"/>
  <c r="T105" i="2"/>
  <c r="U110" i="18"/>
  <c r="W96" i="18"/>
  <c r="X9" i="18"/>
  <c r="W44" i="18"/>
  <c r="W8" i="18"/>
  <c r="W70" i="18"/>
  <c r="V96" i="2"/>
  <c r="V70" i="2"/>
  <c r="W9" i="2"/>
  <c r="V3" i="2"/>
  <c r="V8" i="2"/>
  <c r="V44" i="2"/>
  <c r="CD104" i="18"/>
  <c r="U91" i="2"/>
  <c r="U99" i="2"/>
  <c r="CC109" i="18"/>
  <c r="CD101" i="18"/>
  <c r="W101" i="18"/>
  <c r="CE79" i="18"/>
  <c r="CE76" i="18"/>
  <c r="CE89" i="18"/>
  <c r="CE78" i="18"/>
  <c r="CE90" i="18"/>
  <c r="CE82" i="18"/>
  <c r="CE81" i="18"/>
  <c r="CE80" i="18"/>
  <c r="CE83" i="18"/>
  <c r="CE73" i="18"/>
  <c r="CE77" i="18"/>
  <c r="CE72" i="18"/>
  <c r="CE88" i="18"/>
  <c r="CE87" i="18"/>
  <c r="CE86" i="18"/>
  <c r="CE85" i="18"/>
  <c r="CE84" i="18"/>
  <c r="CE74" i="18"/>
  <c r="CF6" i="18"/>
  <c r="CE75" i="18"/>
  <c r="CE92" i="18"/>
  <c r="W103" i="18"/>
  <c r="W108" i="18" s="1"/>
  <c r="W6" i="2"/>
  <c r="V92" i="2"/>
  <c r="CD99" i="18"/>
  <c r="CD91" i="18"/>
  <c r="CC105" i="18"/>
  <c r="CC107" i="18"/>
  <c r="W104" i="18"/>
  <c r="CD102" i="18"/>
  <c r="U100" i="2"/>
  <c r="X72" i="18"/>
  <c r="X89" i="18"/>
  <c r="X78" i="18"/>
  <c r="X80" i="18"/>
  <c r="X82" i="18"/>
  <c r="X81" i="18"/>
  <c r="X83" i="18"/>
  <c r="X73" i="18"/>
  <c r="X88" i="18"/>
  <c r="X87" i="18"/>
  <c r="X86" i="18"/>
  <c r="X85" i="18"/>
  <c r="X84" i="18"/>
  <c r="X75" i="18"/>
  <c r="X79" i="18"/>
  <c r="X77" i="18"/>
  <c r="X76" i="18"/>
  <c r="Y6" i="18"/>
  <c r="X74" i="18"/>
  <c r="X92" i="18"/>
  <c r="V109" i="18"/>
  <c r="V95" i="18"/>
  <c r="V69" i="18"/>
  <c r="V43" i="18"/>
  <c r="V107" i="18"/>
  <c r="V105" i="18"/>
  <c r="U104" i="2"/>
  <c r="W99" i="18"/>
  <c r="W91" i="18"/>
  <c r="U95" i="2"/>
  <c r="U43" i="2"/>
  <c r="U69" i="2"/>
  <c r="U103" i="2"/>
  <c r="W100" i="18"/>
  <c r="BT104" i="2"/>
  <c r="BT99" i="2"/>
  <c r="BT91" i="2"/>
  <c r="BS107" i="2"/>
  <c r="BT101" i="2"/>
  <c r="BR110" i="2"/>
  <c r="BT103" i="2"/>
  <c r="BS109" i="2"/>
  <c r="BU90" i="2"/>
  <c r="BV6" i="2"/>
  <c r="BU92" i="2"/>
  <c r="BT100" i="2"/>
  <c r="BT102" i="2"/>
  <c r="BS105" i="2"/>
  <c r="O47" i="22"/>
  <c r="O35" i="17"/>
  <c r="C48" i="12"/>
  <c r="N46" i="12"/>
  <c r="C99" i="12"/>
  <c r="L97" i="12"/>
  <c r="I46" i="12"/>
  <c r="P45" i="12"/>
  <c r="J79" i="12"/>
  <c r="K46" i="12"/>
  <c r="I79" i="12"/>
  <c r="K97" i="12"/>
  <c r="EL110" i="18"/>
  <c r="L79" i="12"/>
  <c r="M79" i="12"/>
  <c r="I97" i="12"/>
  <c r="J97" i="12"/>
  <c r="K79" i="12"/>
  <c r="M97" i="12"/>
  <c r="G48" i="12" a="1"/>
  <c r="J46" i="12"/>
  <c r="P96" i="12"/>
  <c r="P78" i="12"/>
  <c r="L46" i="12"/>
  <c r="P47" i="22"/>
  <c r="N97" i="12"/>
  <c r="N79" i="12"/>
  <c r="P35" i="17"/>
  <c r="M46" i="12"/>
  <c r="K49" i="22" l="1"/>
  <c r="AV96" i="21"/>
  <c r="AV70" i="21"/>
  <c r="AV44" i="21"/>
  <c r="AV8" i="21"/>
  <c r="AV3" i="21"/>
  <c r="AW9" i="21"/>
  <c r="AU95" i="21"/>
  <c r="AU69" i="21"/>
  <c r="AU43" i="21"/>
  <c r="K36" i="17"/>
  <c r="BV84" i="2"/>
  <c r="BV88" i="2"/>
  <c r="BV79" i="2"/>
  <c r="BV83" i="2"/>
  <c r="BV87" i="2"/>
  <c r="BV86" i="2"/>
  <c r="BV82" i="2"/>
  <c r="BV85" i="2"/>
  <c r="BV81" i="2"/>
  <c r="BV89" i="2"/>
  <c r="BV80" i="2"/>
  <c r="BV73" i="2"/>
  <c r="BV78" i="2"/>
  <c r="BV72" i="2"/>
  <c r="BV77" i="2"/>
  <c r="BV76" i="2"/>
  <c r="BV75" i="2"/>
  <c r="BV74" i="2"/>
  <c r="W85" i="2"/>
  <c r="W81" i="2"/>
  <c r="W89" i="2"/>
  <c r="W80" i="2"/>
  <c r="W84" i="2"/>
  <c r="W88" i="2"/>
  <c r="W87" i="2"/>
  <c r="W83" i="2"/>
  <c r="W86" i="2"/>
  <c r="W82" i="2"/>
  <c r="W74" i="2"/>
  <c r="W79" i="2"/>
  <c r="W73" i="2"/>
  <c r="W78" i="2"/>
  <c r="W72" i="2"/>
  <c r="W77" i="2"/>
  <c r="W76" i="2"/>
  <c r="W75" i="2"/>
  <c r="BA110" i="2"/>
  <c r="T110" i="2"/>
  <c r="V104" i="2"/>
  <c r="V109" i="2" s="1"/>
  <c r="R46" i="12"/>
  <c r="T46" i="12"/>
  <c r="S79" i="12"/>
  <c r="R79" i="12"/>
  <c r="S97" i="12"/>
  <c r="T97" i="12"/>
  <c r="T79" i="12"/>
  <c r="S46" i="12"/>
  <c r="R97" i="12"/>
  <c r="U108" i="2"/>
  <c r="BT108" i="2"/>
  <c r="BB108" i="2"/>
  <c r="BB109" i="2"/>
  <c r="U109" i="2"/>
  <c r="BC100" i="2"/>
  <c r="BC99" i="2"/>
  <c r="BC91" i="2"/>
  <c r="V103" i="2"/>
  <c r="BC104" i="2"/>
  <c r="BC101" i="2"/>
  <c r="BC102" i="2"/>
  <c r="V100" i="2"/>
  <c r="BC103" i="2"/>
  <c r="BB105" i="2"/>
  <c r="BB107" i="2"/>
  <c r="G48" i="12"/>
  <c r="EL112" i="18"/>
  <c r="V110" i="18"/>
  <c r="X99" i="18"/>
  <c r="X91" i="18"/>
  <c r="CE103" i="18"/>
  <c r="CE108" i="18" s="1"/>
  <c r="X103" i="18"/>
  <c r="X108" i="18" s="1"/>
  <c r="V95" i="2"/>
  <c r="V43" i="2"/>
  <c r="V69" i="2"/>
  <c r="W109" i="18"/>
  <c r="CE104" i="18"/>
  <c r="W70" i="2"/>
  <c r="W96" i="2"/>
  <c r="X9" i="2"/>
  <c r="W3" i="2"/>
  <c r="W8" i="2"/>
  <c r="W44" i="2"/>
  <c r="X104" i="18"/>
  <c r="CC110" i="18"/>
  <c r="CE91" i="18"/>
  <c r="CE99" i="18"/>
  <c r="V99" i="2"/>
  <c r="V91" i="2"/>
  <c r="CE100" i="18"/>
  <c r="X102" i="18"/>
  <c r="V101" i="2"/>
  <c r="Y74" i="18"/>
  <c r="Y76" i="18"/>
  <c r="Y89" i="18"/>
  <c r="Y80" i="18"/>
  <c r="Y82" i="18"/>
  <c r="Y81" i="18"/>
  <c r="Y83" i="18"/>
  <c r="Y88" i="18"/>
  <c r="Y87" i="18"/>
  <c r="Y86" i="18"/>
  <c r="Y85" i="18"/>
  <c r="Y84" i="18"/>
  <c r="Y75" i="18"/>
  <c r="Y77" i="18"/>
  <c r="Y72" i="18"/>
  <c r="Z6" i="18"/>
  <c r="Y79" i="18"/>
  <c r="Y73" i="18"/>
  <c r="Y78" i="18"/>
  <c r="Y92" i="18"/>
  <c r="CD105" i="18"/>
  <c r="CD107" i="18"/>
  <c r="CE102" i="18"/>
  <c r="U105" i="2"/>
  <c r="U107" i="2"/>
  <c r="W95" i="18"/>
  <c r="W69" i="18"/>
  <c r="W43" i="18"/>
  <c r="V102" i="2"/>
  <c r="CE101" i="18"/>
  <c r="W105" i="18"/>
  <c r="W107" i="18"/>
  <c r="X100" i="18"/>
  <c r="X101" i="18"/>
  <c r="X6" i="2"/>
  <c r="W92" i="2"/>
  <c r="CF74" i="18"/>
  <c r="CF72" i="18"/>
  <c r="CF89" i="18"/>
  <c r="CF78" i="18"/>
  <c r="CF90" i="18"/>
  <c r="CF82" i="18"/>
  <c r="CF81" i="18"/>
  <c r="CF80" i="18"/>
  <c r="CF83" i="18"/>
  <c r="CF73" i="18"/>
  <c r="CF88" i="18"/>
  <c r="CF87" i="18"/>
  <c r="CF86" i="18"/>
  <c r="CF85" i="18"/>
  <c r="CF84" i="18"/>
  <c r="CF75" i="18"/>
  <c r="CF79" i="18"/>
  <c r="CF77" i="18"/>
  <c r="CG6" i="18"/>
  <c r="CF76" i="18"/>
  <c r="CF92" i="18"/>
  <c r="CD109" i="18"/>
  <c r="X96" i="18"/>
  <c r="Y9" i="18"/>
  <c r="X44" i="18"/>
  <c r="X8" i="18"/>
  <c r="X70" i="18"/>
  <c r="BV92" i="2"/>
  <c r="BV90" i="2"/>
  <c r="BW6" i="2"/>
  <c r="BU102" i="2"/>
  <c r="BU104" i="2"/>
  <c r="BU91" i="2"/>
  <c r="BU99" i="2"/>
  <c r="BT105" i="2"/>
  <c r="BU100" i="2"/>
  <c r="BU101" i="2"/>
  <c r="BU103" i="2"/>
  <c r="BS110" i="2"/>
  <c r="BT107" i="2"/>
  <c r="BT109" i="2"/>
  <c r="I98" i="12"/>
  <c r="P46" i="12"/>
  <c r="K80" i="12"/>
  <c r="N98" i="12"/>
  <c r="J98" i="12"/>
  <c r="C100" i="12"/>
  <c r="C49" i="12"/>
  <c r="L98" i="12"/>
  <c r="P79" i="12"/>
  <c r="I47" i="12"/>
  <c r="O48" i="22"/>
  <c r="P36" i="17"/>
  <c r="P97" i="12"/>
  <c r="J47" i="12"/>
  <c r="M98" i="12"/>
  <c r="G49" i="12" a="1"/>
  <c r="N80" i="12"/>
  <c r="L47" i="12"/>
  <c r="M47" i="12"/>
  <c r="O36" i="17"/>
  <c r="P48" i="22"/>
  <c r="K47" i="12"/>
  <c r="I80" i="12"/>
  <c r="K98" i="12"/>
  <c r="M80" i="12"/>
  <c r="J80" i="12"/>
  <c r="N47" i="12"/>
  <c r="L80" i="12"/>
  <c r="K50" i="22" l="1"/>
  <c r="AW96" i="21"/>
  <c r="AW70" i="21"/>
  <c r="AW8" i="21"/>
  <c r="AW3" i="21"/>
  <c r="AX9" i="21"/>
  <c r="AW44" i="21"/>
  <c r="AV95" i="21"/>
  <c r="AV69" i="21"/>
  <c r="AV43" i="21"/>
  <c r="K37" i="17"/>
  <c r="BW88" i="2"/>
  <c r="BW87" i="2"/>
  <c r="BW86" i="2"/>
  <c r="BW82" i="2"/>
  <c r="BW85" i="2"/>
  <c r="BW81" i="2"/>
  <c r="BW89" i="2"/>
  <c r="BW80" i="2"/>
  <c r="BW84" i="2"/>
  <c r="BW78" i="2"/>
  <c r="BW72" i="2"/>
  <c r="BW77" i="2"/>
  <c r="BW76" i="2"/>
  <c r="BW75" i="2"/>
  <c r="BW74" i="2"/>
  <c r="BW79" i="2"/>
  <c r="BW73" i="2"/>
  <c r="BW83" i="2"/>
  <c r="X89" i="2"/>
  <c r="X80" i="2"/>
  <c r="X84" i="2"/>
  <c r="X88" i="2"/>
  <c r="X87" i="2"/>
  <c r="X83" i="2"/>
  <c r="X86" i="2"/>
  <c r="X82" i="2"/>
  <c r="X85" i="2"/>
  <c r="X81" i="2"/>
  <c r="X79" i="2"/>
  <c r="X73" i="2"/>
  <c r="X78" i="2"/>
  <c r="X72" i="2"/>
  <c r="X77" i="2"/>
  <c r="X76" i="2"/>
  <c r="X75" i="2"/>
  <c r="X74" i="2"/>
  <c r="U110" i="2"/>
  <c r="T98" i="12"/>
  <c r="T47" i="12"/>
  <c r="R80" i="12"/>
  <c r="S47" i="12"/>
  <c r="R98" i="12"/>
  <c r="R47" i="12"/>
  <c r="S80" i="12"/>
  <c r="T80" i="12"/>
  <c r="S98" i="12"/>
  <c r="BC109" i="2"/>
  <c r="BU108" i="2"/>
  <c r="V108" i="2"/>
  <c r="BB110" i="2"/>
  <c r="BC108" i="2"/>
  <c r="W102" i="2"/>
  <c r="BC107" i="2"/>
  <c r="BC105" i="2"/>
  <c r="G49" i="12"/>
  <c r="CE109" i="18"/>
  <c r="CF99" i="18"/>
  <c r="CF91" i="18"/>
  <c r="W110" i="18"/>
  <c r="Y104" i="18"/>
  <c r="V105" i="2"/>
  <c r="V107" i="2"/>
  <c r="CF103" i="18"/>
  <c r="CF108" i="18" s="1"/>
  <c r="W91" i="2"/>
  <c r="W99" i="2"/>
  <c r="Y102" i="18"/>
  <c r="CE105" i="18"/>
  <c r="CE107" i="18"/>
  <c r="Y96" i="18"/>
  <c r="Y44" i="18"/>
  <c r="Y8" i="18"/>
  <c r="Y70" i="18"/>
  <c r="Z9" i="18"/>
  <c r="W101" i="2"/>
  <c r="CF104" i="18"/>
  <c r="Y6" i="2"/>
  <c r="X92" i="2"/>
  <c r="X95" i="18"/>
  <c r="X69" i="18"/>
  <c r="X43" i="18"/>
  <c r="Z89" i="18"/>
  <c r="Z78" i="18"/>
  <c r="Z82" i="18"/>
  <c r="Z81" i="18"/>
  <c r="Z83" i="18"/>
  <c r="Z73" i="18"/>
  <c r="Z88" i="18"/>
  <c r="Z87" i="18"/>
  <c r="Z86" i="18"/>
  <c r="Z85" i="18"/>
  <c r="Z84" i="18"/>
  <c r="Z75" i="18"/>
  <c r="Z77" i="18"/>
  <c r="Z79" i="18"/>
  <c r="Z74" i="18"/>
  <c r="Z72" i="18"/>
  <c r="Z76" i="18"/>
  <c r="AA6" i="18"/>
  <c r="Z80" i="18"/>
  <c r="Z92" i="18"/>
  <c r="Y101" i="18"/>
  <c r="X109" i="18"/>
  <c r="CF102" i="18"/>
  <c r="Y99" i="18"/>
  <c r="Y91" i="18"/>
  <c r="CF101" i="18"/>
  <c r="Y100" i="18"/>
  <c r="W69" i="2"/>
  <c r="W95" i="2"/>
  <c r="W43" i="2"/>
  <c r="CG76" i="18"/>
  <c r="CG89" i="18"/>
  <c r="CG78" i="18"/>
  <c r="CG90" i="18"/>
  <c r="CG82" i="18"/>
  <c r="CG81" i="18"/>
  <c r="CG80" i="18"/>
  <c r="CG83" i="18"/>
  <c r="CG88" i="18"/>
  <c r="CG87" i="18"/>
  <c r="CG86" i="18"/>
  <c r="CG85" i="18"/>
  <c r="CG84" i="18"/>
  <c r="CG75" i="18"/>
  <c r="CG77" i="18"/>
  <c r="CG79" i="18"/>
  <c r="CG73" i="18"/>
  <c r="CG74" i="18"/>
  <c r="CH6" i="18"/>
  <c r="CG72" i="18"/>
  <c r="CG92" i="18"/>
  <c r="W104" i="2"/>
  <c r="X105" i="18"/>
  <c r="X107" i="18"/>
  <c r="CF100" i="18"/>
  <c r="X70" i="2"/>
  <c r="X96" i="2"/>
  <c r="X8" i="2"/>
  <c r="X3" i="2"/>
  <c r="X44" i="2"/>
  <c r="Y9" i="2"/>
  <c r="W100" i="2"/>
  <c r="W103" i="2"/>
  <c r="Y103" i="18"/>
  <c r="Y108" i="18" s="1"/>
  <c r="CD110" i="18"/>
  <c r="BU109" i="2"/>
  <c r="BV101" i="2"/>
  <c r="BV103" i="2"/>
  <c r="BT110" i="2"/>
  <c r="BW92" i="2"/>
  <c r="BW90" i="2"/>
  <c r="BX6" i="2"/>
  <c r="BV100" i="2"/>
  <c r="BV102" i="2"/>
  <c r="BV99" i="2"/>
  <c r="BV91" i="2"/>
  <c r="BV104" i="2"/>
  <c r="BU107" i="2"/>
  <c r="BU105" i="2"/>
  <c r="P47" i="12"/>
  <c r="M48" i="12"/>
  <c r="P98" i="12"/>
  <c r="M99" i="12"/>
  <c r="C50" i="12"/>
  <c r="I99" i="12"/>
  <c r="G50" i="12" a="1"/>
  <c r="K48" i="12"/>
  <c r="J48" i="12"/>
  <c r="C101" i="12"/>
  <c r="N48" i="12"/>
  <c r="L48" i="12"/>
  <c r="L99" i="12"/>
  <c r="N99" i="12"/>
  <c r="O49" i="22"/>
  <c r="P49" i="22"/>
  <c r="O37" i="17"/>
  <c r="P80" i="12"/>
  <c r="P37" i="17"/>
  <c r="I48" i="12"/>
  <c r="K99" i="12"/>
  <c r="J99" i="12"/>
  <c r="K51" i="22" l="1"/>
  <c r="AX96" i="21"/>
  <c r="AX70" i="21"/>
  <c r="AX44" i="21"/>
  <c r="AX8" i="21"/>
  <c r="AX3" i="21"/>
  <c r="AY9" i="21"/>
  <c r="AW95" i="21"/>
  <c r="AW69" i="21"/>
  <c r="AW43" i="21"/>
  <c r="K38" i="17"/>
  <c r="BX83" i="2"/>
  <c r="BX87" i="2"/>
  <c r="BX86" i="2"/>
  <c r="BX82" i="2"/>
  <c r="BX85" i="2"/>
  <c r="BX81" i="2"/>
  <c r="BX89" i="2"/>
  <c r="BX80" i="2"/>
  <c r="BX84" i="2"/>
  <c r="BX88" i="2"/>
  <c r="BX79" i="2"/>
  <c r="BX72" i="2"/>
  <c r="BX77" i="2"/>
  <c r="BX76" i="2"/>
  <c r="BX75" i="2"/>
  <c r="BX74" i="2"/>
  <c r="BX73" i="2"/>
  <c r="BX78" i="2"/>
  <c r="Y80" i="2"/>
  <c r="Y84" i="2"/>
  <c r="Y88" i="2"/>
  <c r="Y83" i="2"/>
  <c r="Y86" i="2"/>
  <c r="Y82" i="2"/>
  <c r="Y85" i="2"/>
  <c r="Y81" i="2"/>
  <c r="Y89" i="2"/>
  <c r="Y73" i="2"/>
  <c r="Y78" i="2"/>
  <c r="Y72" i="2"/>
  <c r="Y77" i="2"/>
  <c r="Y76" i="2"/>
  <c r="Y75" i="2"/>
  <c r="Y74" i="2"/>
  <c r="Y79" i="2"/>
  <c r="Y87" i="2"/>
  <c r="R99" i="12"/>
  <c r="S99" i="12"/>
  <c r="T99" i="12"/>
  <c r="T48" i="12"/>
  <c r="R48" i="12"/>
  <c r="S48" i="12"/>
  <c r="BV108" i="2"/>
  <c r="W109" i="2"/>
  <c r="W108" i="2"/>
  <c r="BC110" i="2"/>
  <c r="X100" i="2"/>
  <c r="V110" i="2"/>
  <c r="X103" i="2"/>
  <c r="G50" i="12"/>
  <c r="Z99" i="18"/>
  <c r="Z91" i="18"/>
  <c r="CG99" i="18"/>
  <c r="CG91" i="18"/>
  <c r="CG102" i="18"/>
  <c r="X104" i="2"/>
  <c r="Y96" i="2"/>
  <c r="Y44" i="2"/>
  <c r="Y70" i="2"/>
  <c r="Z9" i="2"/>
  <c r="Y3" i="2"/>
  <c r="Y8" i="2"/>
  <c r="CH74" i="18"/>
  <c r="CH89" i="18"/>
  <c r="CH78" i="18"/>
  <c r="CH90" i="18"/>
  <c r="CH82" i="18"/>
  <c r="CH81" i="18"/>
  <c r="CH80" i="18"/>
  <c r="CH83" i="18"/>
  <c r="CH73" i="18"/>
  <c r="CH88" i="18"/>
  <c r="CH87" i="18"/>
  <c r="CH86" i="18"/>
  <c r="CH85" i="18"/>
  <c r="CH84" i="18"/>
  <c r="CH75" i="18"/>
  <c r="CH77" i="18"/>
  <c r="CH79" i="18"/>
  <c r="CI6" i="18"/>
  <c r="CH76" i="18"/>
  <c r="CH72" i="18"/>
  <c r="CH92" i="18"/>
  <c r="CG101" i="18"/>
  <c r="Z100" i="18"/>
  <c r="CF109" i="18"/>
  <c r="Y105" i="18"/>
  <c r="Y107" i="18"/>
  <c r="Z96" i="18"/>
  <c r="Z8" i="18"/>
  <c r="Z70" i="18"/>
  <c r="Z44" i="18"/>
  <c r="AA9" i="18"/>
  <c r="Z103" i="18"/>
  <c r="Z108" i="18" s="1"/>
  <c r="Y109" i="18"/>
  <c r="CG100" i="18"/>
  <c r="Y95" i="18"/>
  <c r="Y69" i="18"/>
  <c r="Y43" i="18"/>
  <c r="X69" i="2"/>
  <c r="X43" i="2"/>
  <c r="X95" i="2"/>
  <c r="Z6" i="2"/>
  <c r="Y92" i="2"/>
  <c r="X99" i="2"/>
  <c r="X91" i="2"/>
  <c r="CG104" i="18"/>
  <c r="Z101" i="18"/>
  <c r="Z104" i="18"/>
  <c r="X102" i="2"/>
  <c r="CF107" i="18"/>
  <c r="CF105" i="18"/>
  <c r="X110" i="18"/>
  <c r="CG103" i="18"/>
  <c r="CG108" i="18" s="1"/>
  <c r="AA76" i="18"/>
  <c r="AA89" i="18"/>
  <c r="AA78" i="18"/>
  <c r="AA82" i="18"/>
  <c r="AA81" i="18"/>
  <c r="AA80" i="18"/>
  <c r="AA83" i="18"/>
  <c r="AA73" i="18"/>
  <c r="AA88" i="18"/>
  <c r="AA87" i="18"/>
  <c r="AA86" i="18"/>
  <c r="AA85" i="18"/>
  <c r="AA84" i="18"/>
  <c r="AA75" i="18"/>
  <c r="AA77" i="18"/>
  <c r="AA79" i="18"/>
  <c r="AA72" i="18"/>
  <c r="AB6" i="18"/>
  <c r="AA74" i="18"/>
  <c r="AA92" i="18"/>
  <c r="CE110" i="18"/>
  <c r="W105" i="2"/>
  <c r="W107" i="2"/>
  <c r="Z102" i="18"/>
  <c r="X101" i="2"/>
  <c r="BW101" i="2"/>
  <c r="BX92" i="2"/>
  <c r="BX90" i="2"/>
  <c r="BY6" i="2"/>
  <c r="BW103" i="2"/>
  <c r="BW100" i="2"/>
  <c r="BW99" i="2"/>
  <c r="BW91" i="2"/>
  <c r="BV109" i="2"/>
  <c r="BW102" i="2"/>
  <c r="BW104" i="2"/>
  <c r="BV105" i="2"/>
  <c r="BU110" i="2"/>
  <c r="BV107" i="2"/>
  <c r="M100" i="12"/>
  <c r="P50" i="22"/>
  <c r="J49" i="12"/>
  <c r="L100" i="12"/>
  <c r="I49" i="12"/>
  <c r="C51" i="12"/>
  <c r="I100" i="12"/>
  <c r="N100" i="12"/>
  <c r="P48" i="12"/>
  <c r="J100" i="12"/>
  <c r="O38" i="17"/>
  <c r="P99" i="12"/>
  <c r="L49" i="12"/>
  <c r="M49" i="12"/>
  <c r="P38" i="17"/>
  <c r="K49" i="12"/>
  <c r="K100" i="12"/>
  <c r="C102" i="12"/>
  <c r="N49" i="12"/>
  <c r="G51" i="12" a="1"/>
  <c r="O50" i="22"/>
  <c r="K52" i="22" l="1"/>
  <c r="AY96" i="21"/>
  <c r="AY70" i="21"/>
  <c r="AY44" i="21"/>
  <c r="AY8" i="21"/>
  <c r="AZ9" i="21"/>
  <c r="BA9" i="21" s="1"/>
  <c r="AY3" i="21"/>
  <c r="AX95" i="21"/>
  <c r="AX69" i="21"/>
  <c r="AX43" i="21"/>
  <c r="K39" i="17"/>
  <c r="Z84" i="2"/>
  <c r="Z88" i="2"/>
  <c r="Z83" i="2"/>
  <c r="Z87" i="2"/>
  <c r="Z86" i="2"/>
  <c r="Z82" i="2"/>
  <c r="Z85" i="2"/>
  <c r="Z81" i="2"/>
  <c r="Z89" i="2"/>
  <c r="Z80" i="2"/>
  <c r="Z78" i="2"/>
  <c r="Z72" i="2"/>
  <c r="Z77" i="2"/>
  <c r="Z76" i="2"/>
  <c r="Z75" i="2"/>
  <c r="Z74" i="2"/>
  <c r="Z79" i="2"/>
  <c r="Z73" i="2"/>
  <c r="BY83" i="2"/>
  <c r="BY87" i="2"/>
  <c r="BY86" i="2"/>
  <c r="BY82" i="2"/>
  <c r="BY85" i="2"/>
  <c r="BY81" i="2"/>
  <c r="BY89" i="2"/>
  <c r="BY80" i="2"/>
  <c r="BY84" i="2"/>
  <c r="BY88" i="2"/>
  <c r="BY79" i="2"/>
  <c r="BY77" i="2"/>
  <c r="BY75" i="2"/>
  <c r="BY74" i="2"/>
  <c r="BY73" i="2"/>
  <c r="BY78" i="2"/>
  <c r="BY72" i="2"/>
  <c r="BY76" i="2"/>
  <c r="N9" i="12"/>
  <c r="L9" i="12"/>
  <c r="K9" i="12"/>
  <c r="M9" i="12"/>
  <c r="J9" i="12"/>
  <c r="I9" i="12"/>
  <c r="W110" i="2"/>
  <c r="T100" i="12"/>
  <c r="T9" i="12" s="1"/>
  <c r="X9" i="12" s="1"/>
  <c r="S49" i="12"/>
  <c r="R49" i="12"/>
  <c r="S100" i="12"/>
  <c r="S9" i="12" s="1"/>
  <c r="W9" i="12" s="1"/>
  <c r="R100" i="12"/>
  <c r="R9" i="12" s="1"/>
  <c r="V9" i="12" s="1"/>
  <c r="T49" i="12"/>
  <c r="BW108" i="2"/>
  <c r="X109" i="2"/>
  <c r="X108" i="2"/>
  <c r="G51" i="12"/>
  <c r="AA103" i="18"/>
  <c r="AA108" i="18" s="1"/>
  <c r="Y99" i="2"/>
  <c r="Y91" i="2"/>
  <c r="CH104" i="18"/>
  <c r="Z70" i="2"/>
  <c r="Z96" i="2"/>
  <c r="AA9" i="2"/>
  <c r="Z3" i="2"/>
  <c r="Z44" i="2"/>
  <c r="Z8" i="2"/>
  <c r="Y102" i="2"/>
  <c r="CH99" i="18"/>
  <c r="CH91" i="18"/>
  <c r="CH102" i="18"/>
  <c r="AA104" i="18"/>
  <c r="CF110" i="18"/>
  <c r="Y101" i="2"/>
  <c r="AA96" i="18"/>
  <c r="AA8" i="18"/>
  <c r="AA70" i="18"/>
  <c r="AB9" i="18"/>
  <c r="AA44" i="18"/>
  <c r="CH101" i="18"/>
  <c r="AA102" i="18"/>
  <c r="Z109" i="18"/>
  <c r="Y104" i="2"/>
  <c r="CI76" i="18"/>
  <c r="CI89" i="18"/>
  <c r="CI78" i="18"/>
  <c r="CI90" i="18"/>
  <c r="CI82" i="18"/>
  <c r="CI81" i="18"/>
  <c r="CI80" i="18"/>
  <c r="CI83" i="18"/>
  <c r="CI73" i="18"/>
  <c r="CI88" i="18"/>
  <c r="CI87" i="18"/>
  <c r="CI86" i="18"/>
  <c r="CI85" i="18"/>
  <c r="CI84" i="18"/>
  <c r="CI75" i="18"/>
  <c r="CI77" i="18"/>
  <c r="CI79" i="18"/>
  <c r="CI74" i="18"/>
  <c r="CI72" i="18"/>
  <c r="CJ6" i="18"/>
  <c r="CI92" i="18"/>
  <c r="AB89" i="18"/>
  <c r="AB78" i="18"/>
  <c r="AB82" i="18"/>
  <c r="AB81" i="18"/>
  <c r="AB80" i="18"/>
  <c r="AB83" i="18"/>
  <c r="AB88" i="18"/>
  <c r="AB87" i="18"/>
  <c r="AB86" i="18"/>
  <c r="AB85" i="18"/>
  <c r="AB84" i="18"/>
  <c r="AB75" i="18"/>
  <c r="AB77" i="18"/>
  <c r="AB79" i="18"/>
  <c r="AB74" i="18"/>
  <c r="AB76" i="18"/>
  <c r="AC6" i="18"/>
  <c r="AB73" i="18"/>
  <c r="AB72" i="18"/>
  <c r="AB92" i="18"/>
  <c r="AA101" i="18"/>
  <c r="Z95" i="18"/>
  <c r="Z69" i="18"/>
  <c r="Z43" i="18"/>
  <c r="CH100" i="18"/>
  <c r="AA99" i="18"/>
  <c r="AA91" i="18"/>
  <c r="CG109" i="18"/>
  <c r="CG107" i="18"/>
  <c r="CG105" i="18"/>
  <c r="AA6" i="2"/>
  <c r="Z92" i="2"/>
  <c r="Y100" i="2"/>
  <c r="Y110" i="18"/>
  <c r="AA100" i="18"/>
  <c r="X107" i="2"/>
  <c r="X105" i="2"/>
  <c r="CH103" i="18"/>
  <c r="CH108" i="18" s="1"/>
  <c r="Z105" i="18"/>
  <c r="Z107" i="18"/>
  <c r="Y103" i="2"/>
  <c r="Y95" i="2"/>
  <c r="Y69" i="2"/>
  <c r="Y43" i="2"/>
  <c r="BW107" i="2"/>
  <c r="BX104" i="2"/>
  <c r="BX99" i="2"/>
  <c r="BX91" i="2"/>
  <c r="BW109" i="2"/>
  <c r="BY92" i="2"/>
  <c r="BY90" i="2"/>
  <c r="BZ6" i="2"/>
  <c r="BX101" i="2"/>
  <c r="BX103" i="2"/>
  <c r="BX100" i="2"/>
  <c r="BV110" i="2"/>
  <c r="BW105" i="2"/>
  <c r="BX102" i="2"/>
  <c r="N50" i="12"/>
  <c r="G52" i="12" a="1"/>
  <c r="P51" i="22"/>
  <c r="N101" i="12"/>
  <c r="K50" i="12"/>
  <c r="I50" i="12"/>
  <c r="K101" i="12"/>
  <c r="L101" i="12"/>
  <c r="I101" i="12"/>
  <c r="C103" i="12"/>
  <c r="O39" i="17"/>
  <c r="L50" i="12"/>
  <c r="O51" i="22"/>
  <c r="P49" i="12"/>
  <c r="C52" i="12"/>
  <c r="P39" i="17"/>
  <c r="M50" i="12"/>
  <c r="J101" i="12"/>
  <c r="J50" i="12"/>
  <c r="M101" i="12"/>
  <c r="P100" i="12"/>
  <c r="BA3" i="21" l="1"/>
  <c r="BA96" i="21"/>
  <c r="BA44" i="21"/>
  <c r="BA70" i="21"/>
  <c r="BA8" i="21"/>
  <c r="K53" i="22"/>
  <c r="AZ96" i="21"/>
  <c r="AZ70" i="21"/>
  <c r="AZ44" i="21"/>
  <c r="AZ8" i="21"/>
  <c r="AZ3" i="21"/>
  <c r="AY95" i="21"/>
  <c r="AY69" i="21"/>
  <c r="AY43" i="21"/>
  <c r="Z103" i="2"/>
  <c r="Z108" i="2" s="1"/>
  <c r="K40" i="17"/>
  <c r="AA88" i="2"/>
  <c r="AA83" i="2"/>
  <c r="AA87" i="2"/>
  <c r="AA86" i="2"/>
  <c r="AA82" i="2"/>
  <c r="AA85" i="2"/>
  <c r="AA81" i="2"/>
  <c r="AA89" i="2"/>
  <c r="AA80" i="2"/>
  <c r="AA84" i="2"/>
  <c r="AA78" i="2"/>
  <c r="AA72" i="2"/>
  <c r="AA77" i="2"/>
  <c r="AA76" i="2"/>
  <c r="AA75" i="2"/>
  <c r="AA74" i="2"/>
  <c r="AA79" i="2"/>
  <c r="AA73" i="2"/>
  <c r="BZ87" i="2"/>
  <c r="BZ86" i="2"/>
  <c r="BZ82" i="2"/>
  <c r="BZ85" i="2"/>
  <c r="BZ81" i="2"/>
  <c r="BZ89" i="2"/>
  <c r="BZ80" i="2"/>
  <c r="BZ84" i="2"/>
  <c r="BZ88" i="2"/>
  <c r="BZ83" i="2"/>
  <c r="BZ77" i="2"/>
  <c r="BZ76" i="2"/>
  <c r="BZ75" i="2"/>
  <c r="BZ74" i="2"/>
  <c r="BZ73" i="2"/>
  <c r="BZ78" i="2"/>
  <c r="BZ79" i="2"/>
  <c r="BZ72" i="2"/>
  <c r="P9" i="12"/>
  <c r="X110" i="2"/>
  <c r="S50" i="12"/>
  <c r="T50" i="12"/>
  <c r="S101" i="12"/>
  <c r="T101" i="12"/>
  <c r="R50" i="12"/>
  <c r="R101" i="12"/>
  <c r="Y109" i="2"/>
  <c r="Y108" i="2"/>
  <c r="BX108" i="2"/>
  <c r="Z104" i="2"/>
  <c r="Z101" i="2"/>
  <c r="G52" i="12"/>
  <c r="CJ89" i="18"/>
  <c r="CJ78" i="18"/>
  <c r="CJ90" i="18"/>
  <c r="DC90" i="18" s="1"/>
  <c r="CJ82" i="18"/>
  <c r="CJ81" i="18"/>
  <c r="CJ80" i="18"/>
  <c r="CJ83" i="18"/>
  <c r="CJ88" i="18"/>
  <c r="CJ87" i="18"/>
  <c r="CJ86" i="18"/>
  <c r="CJ85" i="18"/>
  <c r="CJ84" i="18"/>
  <c r="CJ75" i="18"/>
  <c r="CJ77" i="18"/>
  <c r="CJ79" i="18"/>
  <c r="CJ76" i="18"/>
  <c r="CJ73" i="18"/>
  <c r="CK6" i="18"/>
  <c r="CJ74" i="18"/>
  <c r="CJ72" i="18"/>
  <c r="CJ92" i="18"/>
  <c r="CI102" i="18"/>
  <c r="Z69" i="2"/>
  <c r="Z95" i="2"/>
  <c r="Z43" i="2"/>
  <c r="Z110" i="18"/>
  <c r="AB103" i="18"/>
  <c r="AB108" i="18" s="1"/>
  <c r="CI99" i="18"/>
  <c r="CI91" i="18"/>
  <c r="CI101" i="18"/>
  <c r="AB96" i="18"/>
  <c r="AB70" i="18"/>
  <c r="AB8" i="18"/>
  <c r="AC9" i="18"/>
  <c r="AB44" i="18"/>
  <c r="Z102" i="2"/>
  <c r="AA95" i="18"/>
  <c r="AA69" i="18"/>
  <c r="AA43" i="18"/>
  <c r="AA96" i="2"/>
  <c r="AA70" i="2"/>
  <c r="AA8" i="2"/>
  <c r="AA44" i="2"/>
  <c r="AB9" i="2"/>
  <c r="AA3" i="2"/>
  <c r="AB99" i="18"/>
  <c r="AB91" i="18"/>
  <c r="AB104" i="18"/>
  <c r="CI100" i="18"/>
  <c r="AB102" i="18"/>
  <c r="CG110" i="18"/>
  <c r="AC82" i="18"/>
  <c r="AC81" i="18"/>
  <c r="AC80" i="18"/>
  <c r="AC83" i="18"/>
  <c r="AC88" i="18"/>
  <c r="AC87" i="18"/>
  <c r="AC86" i="18"/>
  <c r="AC85" i="18"/>
  <c r="AC84" i="18"/>
  <c r="AC77" i="18"/>
  <c r="AC79" i="18"/>
  <c r="AC74" i="18"/>
  <c r="AC72" i="18"/>
  <c r="AC89" i="18"/>
  <c r="AC78" i="18"/>
  <c r="AD6" i="18"/>
  <c r="AC76" i="18"/>
  <c r="AC73" i="18"/>
  <c r="AC75" i="18"/>
  <c r="AC92" i="18"/>
  <c r="AB101" i="18"/>
  <c r="CH109" i="18"/>
  <c r="CI103" i="18"/>
  <c r="CI108" i="18" s="1"/>
  <c r="AA109" i="18"/>
  <c r="Z100" i="2"/>
  <c r="Y107" i="2"/>
  <c r="Y105" i="2"/>
  <c r="Z99" i="2"/>
  <c r="Z91" i="2"/>
  <c r="AA105" i="18"/>
  <c r="AA107" i="18"/>
  <c r="AB6" i="2"/>
  <c r="AA92" i="2"/>
  <c r="AB100" i="18"/>
  <c r="CI104" i="18"/>
  <c r="CH105" i="18"/>
  <c r="CH107" i="18"/>
  <c r="BZ92" i="2"/>
  <c r="BZ90" i="2"/>
  <c r="CA6" i="2"/>
  <c r="BY101" i="2"/>
  <c r="BY103" i="2"/>
  <c r="BY100" i="2"/>
  <c r="BX105" i="2"/>
  <c r="BY102" i="2"/>
  <c r="BY104" i="2"/>
  <c r="BX107" i="2"/>
  <c r="BY99" i="2"/>
  <c r="BY91" i="2"/>
  <c r="BX109" i="2"/>
  <c r="BW110" i="2"/>
  <c r="EM87" i="18"/>
  <c r="EM82" i="18"/>
  <c r="K102" i="12"/>
  <c r="O52" i="22"/>
  <c r="N102" i="12"/>
  <c r="M51" i="12"/>
  <c r="L51" i="12"/>
  <c r="M102" i="12"/>
  <c r="J102" i="12"/>
  <c r="EM84" i="18"/>
  <c r="I102" i="12"/>
  <c r="O40" i="17"/>
  <c r="K51" i="12"/>
  <c r="I51" i="12"/>
  <c r="EM81" i="18"/>
  <c r="L102" i="12"/>
  <c r="EM80" i="18"/>
  <c r="P40" i="17"/>
  <c r="EM86" i="18"/>
  <c r="P52" i="22"/>
  <c r="P50" i="12"/>
  <c r="G53" i="12" a="1"/>
  <c r="C104" i="12"/>
  <c r="P101" i="12"/>
  <c r="EM85" i="18"/>
  <c r="N51" i="12"/>
  <c r="C53" i="12"/>
  <c r="EM83" i="18"/>
  <c r="J51" i="12"/>
  <c r="BA69" i="21" l="1"/>
  <c r="BA95" i="21"/>
  <c r="BA43" i="21"/>
  <c r="K54" i="22"/>
  <c r="AZ95" i="21"/>
  <c r="AZ69" i="21"/>
  <c r="AZ43" i="21"/>
  <c r="K41" i="17"/>
  <c r="CA86" i="2"/>
  <c r="CA82" i="2"/>
  <c r="CA85" i="2"/>
  <c r="CA81" i="2"/>
  <c r="CA89" i="2"/>
  <c r="CA80" i="2"/>
  <c r="CA84" i="2"/>
  <c r="CA88" i="2"/>
  <c r="CA79" i="2"/>
  <c r="CA83" i="2"/>
  <c r="CA87" i="2"/>
  <c r="CA76" i="2"/>
  <c r="CA75" i="2"/>
  <c r="CA74" i="2"/>
  <c r="CA73" i="2"/>
  <c r="CA78" i="2"/>
  <c r="CA72" i="2"/>
  <c r="CA77" i="2"/>
  <c r="AB83" i="2"/>
  <c r="AB87" i="2"/>
  <c r="AB86" i="2"/>
  <c r="AB82" i="2"/>
  <c r="AB85" i="2"/>
  <c r="AB81" i="2"/>
  <c r="AB89" i="2"/>
  <c r="AB84" i="2"/>
  <c r="AB88" i="2"/>
  <c r="AB72" i="2"/>
  <c r="AB80" i="2"/>
  <c r="AB76" i="2"/>
  <c r="AB75" i="2"/>
  <c r="AB74" i="2"/>
  <c r="AB79" i="2"/>
  <c r="AB73" i="2"/>
  <c r="AB78" i="2"/>
  <c r="AB77" i="2"/>
  <c r="AA102" i="2"/>
  <c r="Y110" i="2"/>
  <c r="R51" i="12"/>
  <c r="R102" i="12"/>
  <c r="S51" i="12"/>
  <c r="T102" i="12"/>
  <c r="S102" i="12"/>
  <c r="T51" i="12"/>
  <c r="BY108" i="2"/>
  <c r="Z109" i="2"/>
  <c r="AA100" i="2"/>
  <c r="AA104" i="2"/>
  <c r="G53" i="12"/>
  <c r="AC103" i="18"/>
  <c r="AC108" i="18" s="1"/>
  <c r="CJ103" i="18"/>
  <c r="CH110" i="18"/>
  <c r="AA110" i="18"/>
  <c r="AB105" i="18"/>
  <c r="AB107" i="18"/>
  <c r="AC96" i="18"/>
  <c r="AC70" i="18"/>
  <c r="AC8" i="18"/>
  <c r="AD9" i="18"/>
  <c r="AC44" i="18"/>
  <c r="AB95" i="18"/>
  <c r="AB69" i="18"/>
  <c r="AB43" i="18"/>
  <c r="CI109" i="18"/>
  <c r="AC104" i="18"/>
  <c r="AB96" i="2"/>
  <c r="AB70" i="2"/>
  <c r="AB44" i="2"/>
  <c r="AC9" i="2"/>
  <c r="AB3" i="2"/>
  <c r="AB8" i="2"/>
  <c r="CJ99" i="18"/>
  <c r="CJ91" i="18"/>
  <c r="CJ104" i="18"/>
  <c r="Z107" i="2"/>
  <c r="Z105" i="2"/>
  <c r="AD82" i="18"/>
  <c r="AD81" i="18"/>
  <c r="AD80" i="18"/>
  <c r="AD83" i="18"/>
  <c r="AD73" i="18"/>
  <c r="AD88" i="18"/>
  <c r="AD87" i="18"/>
  <c r="AD86" i="18"/>
  <c r="AD85" i="18"/>
  <c r="AD84" i="18"/>
  <c r="AD77" i="18"/>
  <c r="AD79" i="18"/>
  <c r="AD76" i="18"/>
  <c r="AD78" i="18"/>
  <c r="AD75" i="18"/>
  <c r="AD74" i="18"/>
  <c r="AD89" i="18"/>
  <c r="AE6" i="18"/>
  <c r="AD72" i="18"/>
  <c r="AD92" i="18"/>
  <c r="AC102" i="18"/>
  <c r="CJ102" i="18"/>
  <c r="AA103" i="2"/>
  <c r="AC101" i="18"/>
  <c r="AA95" i="2"/>
  <c r="AA69" i="2"/>
  <c r="AA43" i="2"/>
  <c r="CK78" i="18"/>
  <c r="CK88" i="18"/>
  <c r="CK75" i="18"/>
  <c r="CK77" i="18"/>
  <c r="CK79" i="18"/>
  <c r="CK74" i="18"/>
  <c r="CK89" i="18"/>
  <c r="CL6" i="18"/>
  <c r="CK76" i="18"/>
  <c r="CK73" i="18"/>
  <c r="CK72" i="18"/>
  <c r="CK92" i="18"/>
  <c r="CJ101" i="18"/>
  <c r="AA99" i="2"/>
  <c r="AA91" i="2"/>
  <c r="AC6" i="2"/>
  <c r="AB92" i="2"/>
  <c r="AC99" i="18"/>
  <c r="AC91" i="18"/>
  <c r="CI105" i="18"/>
  <c r="CI107" i="18"/>
  <c r="CJ100" i="18"/>
  <c r="AA101" i="2"/>
  <c r="AC100" i="18"/>
  <c r="AB109" i="18"/>
  <c r="BZ102" i="2"/>
  <c r="BZ99" i="2"/>
  <c r="BZ91" i="2"/>
  <c r="BZ104" i="2"/>
  <c r="BY107" i="2"/>
  <c r="BY105" i="2"/>
  <c r="BX110" i="2"/>
  <c r="CA92" i="2"/>
  <c r="CA90" i="2"/>
  <c r="CB6" i="2"/>
  <c r="BZ100" i="2"/>
  <c r="BZ101" i="2"/>
  <c r="BY109" i="2"/>
  <c r="BZ103" i="2"/>
  <c r="N103" i="12"/>
  <c r="J103" i="12"/>
  <c r="J52" i="12"/>
  <c r="M103" i="12"/>
  <c r="EM101" i="18"/>
  <c r="P53" i="22"/>
  <c r="C54" i="12"/>
  <c r="L103" i="12"/>
  <c r="M52" i="12"/>
  <c r="N52" i="12"/>
  <c r="C105" i="12"/>
  <c r="I103" i="12"/>
  <c r="K103" i="12"/>
  <c r="P102" i="12"/>
  <c r="K52" i="12"/>
  <c r="I52" i="12"/>
  <c r="O41" i="17"/>
  <c r="O53" i="22"/>
  <c r="P51" i="12"/>
  <c r="P41" i="17"/>
  <c r="G54" i="12" a="1"/>
  <c r="L52" i="12"/>
  <c r="K55" i="22" l="1"/>
  <c r="K42" i="17"/>
  <c r="AC83" i="2"/>
  <c r="AC87" i="2"/>
  <c r="AC86" i="2"/>
  <c r="AC82" i="2"/>
  <c r="AC85" i="2"/>
  <c r="AC81" i="2"/>
  <c r="AC89" i="2"/>
  <c r="AC80" i="2"/>
  <c r="AC84" i="2"/>
  <c r="AC88" i="2"/>
  <c r="AC77" i="2"/>
  <c r="AC76" i="2"/>
  <c r="AC79" i="2"/>
  <c r="AC73" i="2"/>
  <c r="AC78" i="2"/>
  <c r="AC75" i="2"/>
  <c r="AC72" i="2"/>
  <c r="AC74" i="2"/>
  <c r="CB86" i="2"/>
  <c r="CB82" i="2"/>
  <c r="CB85" i="2"/>
  <c r="CB81" i="2"/>
  <c r="CB89" i="2"/>
  <c r="CB80" i="2"/>
  <c r="CB84" i="2"/>
  <c r="CB88" i="2"/>
  <c r="CB79" i="2"/>
  <c r="CB83" i="2"/>
  <c r="CB87" i="2"/>
  <c r="CB76" i="2"/>
  <c r="CB75" i="2"/>
  <c r="CB74" i="2"/>
  <c r="CB73" i="2"/>
  <c r="CB78" i="2"/>
  <c r="CB72" i="2"/>
  <c r="CB77" i="2"/>
  <c r="N7" i="12"/>
  <c r="M7" i="12"/>
  <c r="J7" i="12"/>
  <c r="K7" i="12"/>
  <c r="L7" i="12"/>
  <c r="I7" i="12"/>
  <c r="Z110" i="2"/>
  <c r="R103" i="12"/>
  <c r="S103" i="12"/>
  <c r="T52" i="12"/>
  <c r="T7" i="12" s="1"/>
  <c r="X7" i="12" s="1"/>
  <c r="S52" i="12"/>
  <c r="S7" i="12" s="1"/>
  <c r="W7" i="12" s="1"/>
  <c r="T103" i="12"/>
  <c r="R52" i="12"/>
  <c r="R7" i="12" s="1"/>
  <c r="V7" i="12" s="1"/>
  <c r="AA108" i="2"/>
  <c r="AA109" i="2"/>
  <c r="BZ108" i="2"/>
  <c r="AB103" i="2"/>
  <c r="AB104" i="2"/>
  <c r="AB100" i="2"/>
  <c r="G54" i="12"/>
  <c r="AC96" i="2"/>
  <c r="AC70" i="2"/>
  <c r="AC44" i="2"/>
  <c r="AD9" i="2"/>
  <c r="AC3" i="2"/>
  <c r="AC8" i="2"/>
  <c r="AD96" i="18"/>
  <c r="AD70" i="18"/>
  <c r="AE9" i="18"/>
  <c r="AD44" i="18"/>
  <c r="AD8" i="18"/>
  <c r="AD102" i="18"/>
  <c r="AC95" i="18"/>
  <c r="AC69" i="18"/>
  <c r="AC43" i="18"/>
  <c r="AB91" i="2"/>
  <c r="AB99" i="2"/>
  <c r="CK99" i="18"/>
  <c r="CK91" i="18"/>
  <c r="AD101" i="18"/>
  <c r="AD6" i="2"/>
  <c r="AC92" i="2"/>
  <c r="AC109" i="18"/>
  <c r="AB110" i="18"/>
  <c r="AB101" i="2"/>
  <c r="CL73" i="18"/>
  <c r="CL88" i="18"/>
  <c r="CL77" i="18"/>
  <c r="CL79" i="18"/>
  <c r="CL74" i="18"/>
  <c r="CL72" i="18"/>
  <c r="CL76" i="18"/>
  <c r="CL78" i="18"/>
  <c r="CL89" i="18"/>
  <c r="CM6" i="18"/>
  <c r="CL75" i="18"/>
  <c r="CL92" i="18"/>
  <c r="CK104" i="18"/>
  <c r="AD100" i="18"/>
  <c r="CJ109" i="18"/>
  <c r="CI110" i="18"/>
  <c r="AD103" i="18"/>
  <c r="AD108" i="18" s="1"/>
  <c r="AB102" i="2"/>
  <c r="CK100" i="18"/>
  <c r="CJ105" i="18"/>
  <c r="CJ107" i="18"/>
  <c r="CJ108" i="18"/>
  <c r="AA107" i="2"/>
  <c r="AA105" i="2"/>
  <c r="AD99" i="18"/>
  <c r="AD91" i="18"/>
  <c r="AB95" i="2"/>
  <c r="AB69" i="2"/>
  <c r="AB43" i="2"/>
  <c r="AC105" i="18"/>
  <c r="AC107" i="18"/>
  <c r="AE83" i="18"/>
  <c r="AE88" i="18"/>
  <c r="AE87" i="18"/>
  <c r="AE86" i="18"/>
  <c r="AE85" i="18"/>
  <c r="AE84" i="18"/>
  <c r="AE75" i="18"/>
  <c r="AE79" i="18"/>
  <c r="AE74" i="18"/>
  <c r="AE76" i="18"/>
  <c r="AE89" i="18"/>
  <c r="AE78" i="18"/>
  <c r="AE82" i="18"/>
  <c r="AE81" i="18"/>
  <c r="AE80" i="18"/>
  <c r="AE77" i="18"/>
  <c r="AE73" i="18"/>
  <c r="AE72" i="18"/>
  <c r="AF6" i="18"/>
  <c r="AE92" i="18"/>
  <c r="AD104" i="18"/>
  <c r="CA101" i="2"/>
  <c r="CA103" i="2"/>
  <c r="CA102" i="2"/>
  <c r="BY110" i="2"/>
  <c r="CA104" i="2"/>
  <c r="BZ109" i="2"/>
  <c r="CB90" i="2"/>
  <c r="CC6" i="2"/>
  <c r="CB92" i="2"/>
  <c r="CA100" i="2"/>
  <c r="BZ107" i="2"/>
  <c r="BZ105" i="2"/>
  <c r="CA99" i="2"/>
  <c r="CA91" i="2"/>
  <c r="K53" i="12"/>
  <c r="G55" i="12" a="1"/>
  <c r="K104" i="12"/>
  <c r="P42" i="17"/>
  <c r="C55" i="12"/>
  <c r="P54" i="22"/>
  <c r="C106" i="12"/>
  <c r="P103" i="12"/>
  <c r="M104" i="12"/>
  <c r="J53" i="12"/>
  <c r="L104" i="12"/>
  <c r="L53" i="12"/>
  <c r="I104" i="12"/>
  <c r="J104" i="12"/>
  <c r="M53" i="12"/>
  <c r="N104" i="12"/>
  <c r="N53" i="12"/>
  <c r="O54" i="22"/>
  <c r="EM108" i="18"/>
  <c r="P52" i="12"/>
  <c r="I53" i="12"/>
  <c r="O42" i="17"/>
  <c r="K56" i="22" l="1"/>
  <c r="K43" i="17"/>
  <c r="CC85" i="2"/>
  <c r="CC81" i="2"/>
  <c r="CC89" i="2"/>
  <c r="CC80" i="2"/>
  <c r="CC84" i="2"/>
  <c r="CC88" i="2"/>
  <c r="CC83" i="2"/>
  <c r="CC87" i="2"/>
  <c r="CC86" i="2"/>
  <c r="CC82" i="2"/>
  <c r="CC75" i="2"/>
  <c r="CC74" i="2"/>
  <c r="CC73" i="2"/>
  <c r="CC78" i="2"/>
  <c r="CC72" i="2"/>
  <c r="CC79" i="2"/>
  <c r="CC77" i="2"/>
  <c r="CC76" i="2"/>
  <c r="AD87" i="2"/>
  <c r="AD86" i="2"/>
  <c r="AD82" i="2"/>
  <c r="AD85" i="2"/>
  <c r="AD81" i="2"/>
  <c r="AD89" i="2"/>
  <c r="AD84" i="2"/>
  <c r="AD88" i="2"/>
  <c r="AD83" i="2"/>
  <c r="AD77" i="2"/>
  <c r="AD76" i="2"/>
  <c r="AD75" i="2"/>
  <c r="AD79" i="2"/>
  <c r="AD74" i="2"/>
  <c r="AD73" i="2"/>
  <c r="AD78" i="2"/>
  <c r="AD72" i="2"/>
  <c r="AD80" i="2"/>
  <c r="T53" i="12"/>
  <c r="S104" i="12"/>
  <c r="P7" i="12"/>
  <c r="P22" i="12" s="1"/>
  <c r="T104" i="12"/>
  <c r="R104" i="12"/>
  <c r="R53" i="12"/>
  <c r="S53" i="12"/>
  <c r="AB109" i="2"/>
  <c r="AB108" i="2"/>
  <c r="CA108" i="2"/>
  <c r="AA110" i="2"/>
  <c r="AC104" i="2"/>
  <c r="AC103" i="2"/>
  <c r="AC100" i="2"/>
  <c r="G55" i="12"/>
  <c r="AE104" i="18"/>
  <c r="CL104" i="18"/>
  <c r="AE96" i="18"/>
  <c r="AE70" i="18"/>
  <c r="AF9" i="18"/>
  <c r="AE44" i="18"/>
  <c r="AE8" i="18"/>
  <c r="CK109" i="18"/>
  <c r="AE102" i="18"/>
  <c r="AC110" i="18"/>
  <c r="CJ110" i="18"/>
  <c r="CK105" i="18"/>
  <c r="CK107" i="18"/>
  <c r="AC95" i="2"/>
  <c r="AC69" i="2"/>
  <c r="AC43" i="2"/>
  <c r="CM88" i="18"/>
  <c r="CM75" i="18"/>
  <c r="CM79" i="18"/>
  <c r="CM74" i="18"/>
  <c r="CM76" i="18"/>
  <c r="CM89" i="18"/>
  <c r="CM77" i="18"/>
  <c r="CN6" i="18"/>
  <c r="CM72" i="18"/>
  <c r="CM78" i="18"/>
  <c r="CM73" i="18"/>
  <c r="CM92" i="18"/>
  <c r="AB107" i="2"/>
  <c r="AB105" i="2"/>
  <c r="AD109" i="18"/>
  <c r="AD96" i="2"/>
  <c r="AD44" i="2"/>
  <c r="AD70" i="2"/>
  <c r="AE9" i="2"/>
  <c r="AD3" i="2"/>
  <c r="AD8" i="2"/>
  <c r="AF83" i="18"/>
  <c r="AF88" i="18"/>
  <c r="AF87" i="18"/>
  <c r="AF86" i="18"/>
  <c r="AF85" i="18"/>
  <c r="AF84" i="18"/>
  <c r="AF77" i="18"/>
  <c r="AF79" i="18"/>
  <c r="AF74" i="18"/>
  <c r="AF72" i="18"/>
  <c r="AF76" i="18"/>
  <c r="AF89" i="18"/>
  <c r="AF78" i="18"/>
  <c r="AF73" i="18"/>
  <c r="AF75" i="18"/>
  <c r="AF82" i="18"/>
  <c r="AF81" i="18"/>
  <c r="AF80" i="18"/>
  <c r="AG6" i="18"/>
  <c r="AF92" i="18"/>
  <c r="AE99" i="18"/>
  <c r="AE91" i="18"/>
  <c r="CL99" i="18"/>
  <c r="CL91" i="18"/>
  <c r="AC91" i="2"/>
  <c r="AC99" i="2"/>
  <c r="AE103" i="18"/>
  <c r="AE108" i="18" s="1"/>
  <c r="AD105" i="18"/>
  <c r="AD107" i="18"/>
  <c r="AE6" i="2"/>
  <c r="AD92" i="2"/>
  <c r="AE100" i="18"/>
  <c r="AC102" i="2"/>
  <c r="AD95" i="18"/>
  <c r="AD69" i="18"/>
  <c r="AD43" i="18"/>
  <c r="AE101" i="18"/>
  <c r="CL100" i="18"/>
  <c r="AC101" i="2"/>
  <c r="CA107" i="2"/>
  <c r="CB101" i="2"/>
  <c r="CB103" i="2"/>
  <c r="CA109" i="2"/>
  <c r="CA105" i="2"/>
  <c r="CB102" i="2"/>
  <c r="CB100" i="2"/>
  <c r="CB104" i="2"/>
  <c r="CB99" i="2"/>
  <c r="CB91" i="2"/>
  <c r="BZ110" i="2"/>
  <c r="CC90" i="2"/>
  <c r="CD6" i="2"/>
  <c r="CC92" i="2"/>
  <c r="O55" i="22"/>
  <c r="J105" i="12"/>
  <c r="K54" i="12"/>
  <c r="P104" i="12"/>
  <c r="C56" i="12"/>
  <c r="N54" i="12"/>
  <c r="O43" i="17"/>
  <c r="G56" i="12" a="1"/>
  <c r="K105" i="12"/>
  <c r="C107" i="12"/>
  <c r="L54" i="12"/>
  <c r="P53" i="12"/>
  <c r="N105" i="12"/>
  <c r="I105" i="12"/>
  <c r="P55" i="22"/>
  <c r="M105" i="12"/>
  <c r="J54" i="12"/>
  <c r="I54" i="12"/>
  <c r="M54" i="12"/>
  <c r="P43" i="17"/>
  <c r="L105" i="12"/>
  <c r="K57" i="22" l="1"/>
  <c r="K44" i="17"/>
  <c r="AE86" i="2"/>
  <c r="AE82" i="2"/>
  <c r="AE85" i="2"/>
  <c r="AE81" i="2"/>
  <c r="AE89" i="2"/>
  <c r="AE80" i="2"/>
  <c r="AE84" i="2"/>
  <c r="AE88" i="2"/>
  <c r="AE83" i="2"/>
  <c r="AE87" i="2"/>
  <c r="AE76" i="2"/>
  <c r="AE75" i="2"/>
  <c r="AE79" i="2"/>
  <c r="AE74" i="2"/>
  <c r="AE73" i="2"/>
  <c r="AE78" i="2"/>
  <c r="AE72" i="2"/>
  <c r="AE77" i="2"/>
  <c r="CD85" i="2"/>
  <c r="CD81" i="2"/>
  <c r="CD89" i="2"/>
  <c r="CD80" i="2"/>
  <c r="CD84" i="2"/>
  <c r="CD88" i="2"/>
  <c r="CD83" i="2"/>
  <c r="CD87" i="2"/>
  <c r="CD86" i="2"/>
  <c r="CD82" i="2"/>
  <c r="CD75" i="2"/>
  <c r="CD74" i="2"/>
  <c r="CD73" i="2"/>
  <c r="CD78" i="2"/>
  <c r="CD72" i="2"/>
  <c r="CD79" i="2"/>
  <c r="CD77" i="2"/>
  <c r="CD76" i="2"/>
  <c r="AB110" i="2"/>
  <c r="R105" i="12"/>
  <c r="S105" i="12"/>
  <c r="S54" i="12"/>
  <c r="R54" i="12"/>
  <c r="T105" i="12"/>
  <c r="T54" i="12"/>
  <c r="CB108" i="2"/>
  <c r="AC108" i="2"/>
  <c r="AC109" i="2"/>
  <c r="AD101" i="2"/>
  <c r="AD104" i="2"/>
  <c r="AD100" i="2"/>
  <c r="G56" i="12"/>
  <c r="AF102" i="18"/>
  <c r="AD95" i="2"/>
  <c r="AD69" i="2"/>
  <c r="AD43" i="2"/>
  <c r="CM99" i="18"/>
  <c r="CM91" i="18"/>
  <c r="CK110" i="18"/>
  <c r="CL107" i="18"/>
  <c r="CL105" i="18"/>
  <c r="AF6" i="2"/>
  <c r="AE92" i="2"/>
  <c r="CN73" i="18"/>
  <c r="CN88" i="18"/>
  <c r="CN77" i="18"/>
  <c r="CN79" i="18"/>
  <c r="CN74" i="18"/>
  <c r="CN72" i="18"/>
  <c r="CN76" i="18"/>
  <c r="CN89" i="18"/>
  <c r="CN78" i="18"/>
  <c r="CO6" i="18"/>
  <c r="CN75" i="18"/>
  <c r="CN92" i="18"/>
  <c r="CL109" i="18"/>
  <c r="AD103" i="2"/>
  <c r="AF99" i="18"/>
  <c r="AF91" i="18"/>
  <c r="AE96" i="2"/>
  <c r="AE70" i="2"/>
  <c r="AF9" i="2"/>
  <c r="AE3" i="2"/>
  <c r="AE8" i="2"/>
  <c r="AE44" i="2"/>
  <c r="CM100" i="18"/>
  <c r="AE105" i="18"/>
  <c r="AE107" i="18"/>
  <c r="AE109" i="18"/>
  <c r="AD102" i="2"/>
  <c r="AG88" i="18"/>
  <c r="AG87" i="18"/>
  <c r="AG86" i="18"/>
  <c r="AG85" i="18"/>
  <c r="AG84" i="18"/>
  <c r="AG75" i="18"/>
  <c r="AG77" i="18"/>
  <c r="AG79" i="18"/>
  <c r="AG72" i="18"/>
  <c r="AG76" i="18"/>
  <c r="AG89" i="18"/>
  <c r="AG78" i="18"/>
  <c r="AG82" i="18"/>
  <c r="AG81" i="18"/>
  <c r="AG80" i="18"/>
  <c r="AG83" i="18"/>
  <c r="AG73" i="18"/>
  <c r="AG74" i="18"/>
  <c r="AH6" i="18"/>
  <c r="AG92" i="18"/>
  <c r="AF100" i="18"/>
  <c r="AD110" i="18"/>
  <c r="AF101" i="18"/>
  <c r="AF103" i="18"/>
  <c r="AF108" i="18" s="1"/>
  <c r="AD99" i="2"/>
  <c r="AD91" i="2"/>
  <c r="CM104" i="18"/>
  <c r="AE95" i="18"/>
  <c r="AE69" i="18"/>
  <c r="AE43" i="18"/>
  <c r="AC105" i="2"/>
  <c r="AC107" i="2"/>
  <c r="AF104" i="18"/>
  <c r="AF70" i="18"/>
  <c r="AF96" i="18"/>
  <c r="AG9" i="18"/>
  <c r="AF44" i="18"/>
  <c r="AF8" i="18"/>
  <c r="CC99" i="2"/>
  <c r="CC91" i="2"/>
  <c r="CA110" i="2"/>
  <c r="CC101" i="2"/>
  <c r="CC103" i="2"/>
  <c r="CB107" i="2"/>
  <c r="CB105" i="2"/>
  <c r="CB109" i="2"/>
  <c r="CD90" i="2"/>
  <c r="CE6" i="2"/>
  <c r="CD92" i="2"/>
  <c r="CC102" i="2"/>
  <c r="CC100" i="2"/>
  <c r="CC104" i="2"/>
  <c r="J106" i="12"/>
  <c r="C108" i="12"/>
  <c r="I106" i="12"/>
  <c r="O56" i="22"/>
  <c r="K55" i="12"/>
  <c r="J55" i="12"/>
  <c r="L106" i="12"/>
  <c r="M106" i="12"/>
  <c r="N55" i="12"/>
  <c r="P44" i="17"/>
  <c r="L55" i="12"/>
  <c r="M55" i="12"/>
  <c r="O44" i="17"/>
  <c r="C57" i="12"/>
  <c r="P54" i="12"/>
  <c r="P56" i="22"/>
  <c r="N106" i="12"/>
  <c r="P105" i="12"/>
  <c r="K106" i="12"/>
  <c r="I55" i="12"/>
  <c r="G57" i="12" a="1"/>
  <c r="K58" i="22" l="1"/>
  <c r="K45" i="17"/>
  <c r="AF86" i="2"/>
  <c r="AF82" i="2"/>
  <c r="AF85" i="2"/>
  <c r="AF81" i="2"/>
  <c r="AF89" i="2"/>
  <c r="AF80" i="2"/>
  <c r="AF84" i="2"/>
  <c r="AF88" i="2"/>
  <c r="AF104" i="2" s="1"/>
  <c r="AF83" i="2"/>
  <c r="AF87" i="2"/>
  <c r="AF76" i="2"/>
  <c r="AF75" i="2"/>
  <c r="AF79" i="2"/>
  <c r="AF74" i="2"/>
  <c r="AF73" i="2"/>
  <c r="AF78" i="2"/>
  <c r="AF72" i="2"/>
  <c r="AF77" i="2"/>
  <c r="CE85" i="2"/>
  <c r="CE81" i="2"/>
  <c r="CE89" i="2"/>
  <c r="CE80" i="2"/>
  <c r="CE84" i="2"/>
  <c r="CE88" i="2"/>
  <c r="CE83" i="2"/>
  <c r="CE87" i="2"/>
  <c r="CE86" i="2"/>
  <c r="CE82" i="2"/>
  <c r="CE74" i="2"/>
  <c r="CE73" i="2"/>
  <c r="CE78" i="2"/>
  <c r="CE72" i="2"/>
  <c r="CE79" i="2"/>
  <c r="CE77" i="2"/>
  <c r="CE76" i="2"/>
  <c r="CE75" i="2"/>
  <c r="AC110" i="2"/>
  <c r="R55" i="12"/>
  <c r="T55" i="12"/>
  <c r="S55" i="12"/>
  <c r="S106" i="12"/>
  <c r="T106" i="12"/>
  <c r="R106" i="12"/>
  <c r="AD109" i="2"/>
  <c r="AD108" i="2"/>
  <c r="CC108" i="2"/>
  <c r="AE104" i="2"/>
  <c r="AE100" i="2"/>
  <c r="AE103" i="2"/>
  <c r="AE101" i="2"/>
  <c r="G57" i="12"/>
  <c r="CM107" i="18"/>
  <c r="CM105" i="18"/>
  <c r="CO88" i="18"/>
  <c r="CO75" i="18"/>
  <c r="CO77" i="18"/>
  <c r="CO79" i="18"/>
  <c r="CO74" i="18"/>
  <c r="CO72" i="18"/>
  <c r="CO76" i="18"/>
  <c r="CO89" i="18"/>
  <c r="CO78" i="18"/>
  <c r="CO73" i="18"/>
  <c r="CP6" i="18"/>
  <c r="CO92" i="18"/>
  <c r="AE95" i="2"/>
  <c r="AE69" i="2"/>
  <c r="AE43" i="2"/>
  <c r="CM109" i="18"/>
  <c r="AG102" i="18"/>
  <c r="AG103" i="18"/>
  <c r="AG108" i="18" s="1"/>
  <c r="AD107" i="2"/>
  <c r="AD105" i="2"/>
  <c r="AG101" i="18"/>
  <c r="AF96" i="2"/>
  <c r="AF70" i="2"/>
  <c r="AG9" i="2"/>
  <c r="AF3" i="2"/>
  <c r="AF8" i="2"/>
  <c r="AF44" i="2"/>
  <c r="AH77" i="18"/>
  <c r="AH79" i="18"/>
  <c r="AH76" i="18"/>
  <c r="AH89" i="18"/>
  <c r="AH78" i="18"/>
  <c r="AH82" i="18"/>
  <c r="AH81" i="18"/>
  <c r="AH80" i="18"/>
  <c r="AH88" i="18"/>
  <c r="AH87" i="18"/>
  <c r="AH86" i="18"/>
  <c r="AH85" i="18"/>
  <c r="AH84" i="18"/>
  <c r="AH75" i="18"/>
  <c r="AH73" i="18"/>
  <c r="AH74" i="18"/>
  <c r="AI6" i="18"/>
  <c r="AH83" i="18"/>
  <c r="AH72" i="18"/>
  <c r="AH92" i="18"/>
  <c r="AF95" i="18"/>
  <c r="AF69" i="18"/>
  <c r="AF43" i="18"/>
  <c r="CN99" i="18"/>
  <c r="CN91" i="18"/>
  <c r="AG100" i="18"/>
  <c r="AG104" i="18"/>
  <c r="AE99" i="2"/>
  <c r="AE91" i="2"/>
  <c r="AE102" i="2"/>
  <c r="AF109" i="18"/>
  <c r="AF105" i="18"/>
  <c r="AF107" i="18"/>
  <c r="CN100" i="18"/>
  <c r="CL110" i="18"/>
  <c r="AG96" i="18"/>
  <c r="AG70" i="18"/>
  <c r="AH9" i="18"/>
  <c r="AG44" i="18"/>
  <c r="AG8" i="18"/>
  <c r="AE110" i="18"/>
  <c r="CN104" i="18"/>
  <c r="AG6" i="2"/>
  <c r="AF92" i="2"/>
  <c r="AG99" i="18"/>
  <c r="AG91" i="18"/>
  <c r="CC109" i="2"/>
  <c r="CD101" i="2"/>
  <c r="CD103" i="2"/>
  <c r="CB110" i="2"/>
  <c r="CD102" i="2"/>
  <c r="CE90" i="2"/>
  <c r="CF6" i="2"/>
  <c r="CE92" i="2"/>
  <c r="CD104" i="2"/>
  <c r="CC105" i="2"/>
  <c r="CD100" i="2"/>
  <c r="CC107" i="2"/>
  <c r="CD91" i="2"/>
  <c r="CD99" i="2"/>
  <c r="EM88" i="18"/>
  <c r="G58" i="12" a="1"/>
  <c r="J56" i="12"/>
  <c r="K107" i="12"/>
  <c r="K56" i="12"/>
  <c r="P57" i="22"/>
  <c r="M107" i="12"/>
  <c r="O57" i="22"/>
  <c r="J107" i="12"/>
  <c r="P55" i="12"/>
  <c r="N56" i="12"/>
  <c r="N57" i="12"/>
  <c r="L107" i="12"/>
  <c r="L56" i="12"/>
  <c r="I56" i="12"/>
  <c r="N107" i="12"/>
  <c r="M56" i="12"/>
  <c r="I107" i="12"/>
  <c r="EM89" i="18"/>
  <c r="P106" i="12"/>
  <c r="C109" i="12"/>
  <c r="P45" i="17"/>
  <c r="C58" i="12"/>
  <c r="O45" i="17"/>
  <c r="K59" i="22" l="1"/>
  <c r="K46" i="17"/>
  <c r="AG85" i="2"/>
  <c r="AG81" i="2"/>
  <c r="AG89" i="2"/>
  <c r="AG80" i="2"/>
  <c r="AG84" i="2"/>
  <c r="AG88" i="2"/>
  <c r="AG83" i="2"/>
  <c r="AG87" i="2"/>
  <c r="AG86" i="2"/>
  <c r="AG82" i="2"/>
  <c r="AG75" i="2"/>
  <c r="AG79" i="2"/>
  <c r="AG74" i="2"/>
  <c r="AG73" i="2"/>
  <c r="AG78" i="2"/>
  <c r="AG72" i="2"/>
  <c r="AG77" i="2"/>
  <c r="AG76" i="2"/>
  <c r="CF89" i="2"/>
  <c r="CF80" i="2"/>
  <c r="CF84" i="2"/>
  <c r="CF88" i="2"/>
  <c r="CF83" i="2"/>
  <c r="CF87" i="2"/>
  <c r="CF86" i="2"/>
  <c r="CF82" i="2"/>
  <c r="CF85" i="2"/>
  <c r="CF81" i="2"/>
  <c r="CF74" i="2"/>
  <c r="CF73" i="2"/>
  <c r="CF78" i="2"/>
  <c r="CF72" i="2"/>
  <c r="CF79" i="2"/>
  <c r="CF77" i="2"/>
  <c r="CF76" i="2"/>
  <c r="CF75" i="2"/>
  <c r="S107" i="12"/>
  <c r="T107" i="12"/>
  <c r="T56" i="12"/>
  <c r="S56" i="12"/>
  <c r="R56" i="12"/>
  <c r="R107" i="12"/>
  <c r="AF109" i="2"/>
  <c r="CD108" i="2"/>
  <c r="AE108" i="2"/>
  <c r="AD110" i="2"/>
  <c r="AE109" i="2"/>
  <c r="AF103" i="2"/>
  <c r="AF100" i="2"/>
  <c r="G58" i="12"/>
  <c r="AG109" i="18"/>
  <c r="CO99" i="18"/>
  <c r="CO91" i="18"/>
  <c r="AH100" i="18"/>
  <c r="CN105" i="18"/>
  <c r="CN107" i="18"/>
  <c r="AH103" i="18"/>
  <c r="AH108" i="18" s="1"/>
  <c r="AF101" i="2"/>
  <c r="AF110" i="18"/>
  <c r="AF95" i="2"/>
  <c r="AF69" i="2"/>
  <c r="AF43" i="2"/>
  <c r="CO100" i="18"/>
  <c r="AF102" i="2"/>
  <c r="CN109" i="18"/>
  <c r="AH104" i="18"/>
  <c r="AG96" i="2"/>
  <c r="AG44" i="2"/>
  <c r="AH9" i="2"/>
  <c r="AG3" i="2"/>
  <c r="AG8" i="2"/>
  <c r="AG70" i="2"/>
  <c r="CO104" i="18"/>
  <c r="AH101" i="18"/>
  <c r="AG105" i="18"/>
  <c r="AG107" i="18"/>
  <c r="AF99" i="2"/>
  <c r="AF91" i="2"/>
  <c r="AG95" i="18"/>
  <c r="AG69" i="18"/>
  <c r="AG43" i="18"/>
  <c r="AH99" i="18"/>
  <c r="AH91" i="18"/>
  <c r="CP77" i="18"/>
  <c r="CP79" i="18"/>
  <c r="CP76" i="18"/>
  <c r="CP78" i="18"/>
  <c r="CP75" i="18"/>
  <c r="CP74" i="18"/>
  <c r="CP72" i="18"/>
  <c r="CP73" i="18"/>
  <c r="CQ6" i="18"/>
  <c r="CP92" i="18"/>
  <c r="CM110" i="18"/>
  <c r="AH102" i="18"/>
  <c r="AH6" i="2"/>
  <c r="AG92" i="2"/>
  <c r="AH96" i="18"/>
  <c r="AH70" i="18"/>
  <c r="AI9" i="18"/>
  <c r="AH44" i="18"/>
  <c r="AH8" i="18"/>
  <c r="AE107" i="2"/>
  <c r="AE105" i="2"/>
  <c r="AI79" i="18"/>
  <c r="AI74" i="18"/>
  <c r="AI76" i="18"/>
  <c r="AI89" i="18"/>
  <c r="AI78" i="18"/>
  <c r="AI82" i="18"/>
  <c r="AI81" i="18"/>
  <c r="AI80" i="18"/>
  <c r="AI83" i="18"/>
  <c r="AI73" i="18"/>
  <c r="AI77" i="18"/>
  <c r="AI75" i="18"/>
  <c r="AJ6" i="18"/>
  <c r="AI72" i="18"/>
  <c r="AI88" i="18"/>
  <c r="AI87" i="18"/>
  <c r="AI86" i="18"/>
  <c r="AI85" i="18"/>
  <c r="AI84" i="18"/>
  <c r="AI92" i="18"/>
  <c r="CE100" i="2"/>
  <c r="CE104" i="2"/>
  <c r="CE101" i="2"/>
  <c r="CE103" i="2"/>
  <c r="CD107" i="2"/>
  <c r="CD105" i="2"/>
  <c r="CE99" i="2"/>
  <c r="CE91" i="2"/>
  <c r="CD109" i="2"/>
  <c r="CC110" i="2"/>
  <c r="CF90" i="2"/>
  <c r="CG6" i="2"/>
  <c r="CF92" i="2"/>
  <c r="CE102" i="2"/>
  <c r="O46" i="17"/>
  <c r="P107" i="12"/>
  <c r="I57" i="12"/>
  <c r="J108" i="12"/>
  <c r="C110" i="12"/>
  <c r="EM78" i="18"/>
  <c r="O58" i="22"/>
  <c r="L57" i="12"/>
  <c r="K57" i="12"/>
  <c r="EM73" i="18"/>
  <c r="M108" i="12"/>
  <c r="G59" i="12" a="1"/>
  <c r="EM79" i="18"/>
  <c r="C59" i="12"/>
  <c r="I108" i="12"/>
  <c r="EM72" i="18"/>
  <c r="K108" i="12"/>
  <c r="EM104" i="18"/>
  <c r="P46" i="17"/>
  <c r="EM76" i="18"/>
  <c r="P58" i="22"/>
  <c r="EM75" i="18"/>
  <c r="L108" i="12"/>
  <c r="EM74" i="18"/>
  <c r="N108" i="12"/>
  <c r="M57" i="12"/>
  <c r="EM77" i="18"/>
  <c r="J57" i="12"/>
  <c r="P56" i="12"/>
  <c r="K60" i="22" l="1"/>
  <c r="K47" i="17"/>
  <c r="AH85" i="2"/>
  <c r="AH81" i="2"/>
  <c r="AH89" i="2"/>
  <c r="AH80" i="2"/>
  <c r="AH84" i="2"/>
  <c r="AH88" i="2"/>
  <c r="AH104" i="2" s="1"/>
  <c r="AH83" i="2"/>
  <c r="AH87" i="2"/>
  <c r="AH86" i="2"/>
  <c r="AH82" i="2"/>
  <c r="AH75" i="2"/>
  <c r="AH79" i="2"/>
  <c r="AH74" i="2"/>
  <c r="AH73" i="2"/>
  <c r="AH78" i="2"/>
  <c r="AH72" i="2"/>
  <c r="AH77" i="2"/>
  <c r="AH76" i="2"/>
  <c r="CG80" i="2"/>
  <c r="CG84" i="2"/>
  <c r="CG88" i="2"/>
  <c r="CG83" i="2"/>
  <c r="CG87" i="2"/>
  <c r="CG86" i="2"/>
  <c r="CG82" i="2"/>
  <c r="CG85" i="2"/>
  <c r="CG81" i="2"/>
  <c r="CG89" i="2"/>
  <c r="CG73" i="2"/>
  <c r="CG78" i="2"/>
  <c r="CG72" i="2"/>
  <c r="CG77" i="2"/>
  <c r="CG75" i="2"/>
  <c r="CG74" i="2"/>
  <c r="CG79" i="2"/>
  <c r="CG76" i="2"/>
  <c r="R108" i="12"/>
  <c r="R57" i="12"/>
  <c r="S57" i="12"/>
  <c r="T108" i="12"/>
  <c r="S108" i="12"/>
  <c r="T57" i="12"/>
  <c r="CE108" i="2"/>
  <c r="AE110" i="2"/>
  <c r="AF108" i="2"/>
  <c r="G59" i="12"/>
  <c r="AI103" i="18"/>
  <c r="AI108" i="18" s="1"/>
  <c r="AH107" i="18"/>
  <c r="AH105" i="18"/>
  <c r="AG95" i="2"/>
  <c r="AG69" i="2"/>
  <c r="AG43" i="2"/>
  <c r="AG99" i="2"/>
  <c r="AG91" i="2"/>
  <c r="AI6" i="2"/>
  <c r="AH92" i="2"/>
  <c r="CR6" i="18"/>
  <c r="CQ92" i="18"/>
  <c r="AH96" i="2"/>
  <c r="AH70" i="2"/>
  <c r="AI9" i="2"/>
  <c r="AH3" i="2"/>
  <c r="AH8" i="2"/>
  <c r="AH44" i="2"/>
  <c r="AI104" i="18"/>
  <c r="CN110" i="18"/>
  <c r="AI99" i="18"/>
  <c r="AI91" i="18"/>
  <c r="CP99" i="18"/>
  <c r="CP91" i="18"/>
  <c r="AJ72" i="18"/>
  <c r="DC72" i="18" s="1"/>
  <c r="AJ89" i="18"/>
  <c r="DC89" i="18" s="1"/>
  <c r="AJ78" i="18"/>
  <c r="DC78" i="18" s="1"/>
  <c r="AJ82" i="18"/>
  <c r="AJ81" i="18"/>
  <c r="AJ80" i="18"/>
  <c r="DC80" i="18" s="1"/>
  <c r="AJ83" i="18"/>
  <c r="AJ73" i="18"/>
  <c r="AJ88" i="18"/>
  <c r="AJ87" i="18"/>
  <c r="AJ86" i="18"/>
  <c r="AJ85" i="18"/>
  <c r="AJ84" i="18"/>
  <c r="AJ75" i="18"/>
  <c r="DC75" i="18" s="1"/>
  <c r="AJ79" i="18"/>
  <c r="DC79" i="18" s="1"/>
  <c r="AJ76" i="18"/>
  <c r="DC76" i="18" s="1"/>
  <c r="AJ77" i="18"/>
  <c r="DC77" i="18" s="1"/>
  <c r="AJ74" i="18"/>
  <c r="DC74" i="18" s="1"/>
  <c r="AJ92" i="18"/>
  <c r="AF107" i="2"/>
  <c r="AF105" i="2"/>
  <c r="AH109" i="18"/>
  <c r="AG104" i="2"/>
  <c r="AG110" i="18"/>
  <c r="AI100" i="18"/>
  <c r="AG100" i="2"/>
  <c r="AG103" i="2"/>
  <c r="AH95" i="18"/>
  <c r="AH69" i="18"/>
  <c r="AH43" i="18"/>
  <c r="CO105" i="18"/>
  <c r="CO107" i="18"/>
  <c r="AI102" i="18"/>
  <c r="AG101" i="2"/>
  <c r="DC88" i="18"/>
  <c r="AI101" i="18"/>
  <c r="AI96" i="18"/>
  <c r="AJ9" i="18"/>
  <c r="AI44" i="18"/>
  <c r="AI8" i="18"/>
  <c r="AI70" i="18"/>
  <c r="AG102" i="2"/>
  <c r="CP100" i="18"/>
  <c r="CO109" i="18"/>
  <c r="CF99" i="2"/>
  <c r="CF101" i="2"/>
  <c r="CE105" i="2"/>
  <c r="CF91" i="2"/>
  <c r="CF103" i="2"/>
  <c r="CD110" i="2"/>
  <c r="CG90" i="2"/>
  <c r="CH6" i="2"/>
  <c r="CG92" i="2"/>
  <c r="CF102" i="2"/>
  <c r="CF104" i="2"/>
  <c r="CE109" i="2"/>
  <c r="CF100" i="2"/>
  <c r="CE107" i="2"/>
  <c r="L58" i="12"/>
  <c r="P108" i="12"/>
  <c r="EK86" i="18"/>
  <c r="EK87" i="18"/>
  <c r="M109" i="12"/>
  <c r="EK74" i="18"/>
  <c r="O59" i="22"/>
  <c r="J109" i="12"/>
  <c r="EK79" i="18"/>
  <c r="EK84" i="18"/>
  <c r="N59" i="12"/>
  <c r="EK89" i="18"/>
  <c r="EK73" i="18"/>
  <c r="J58" i="12"/>
  <c r="L109" i="12"/>
  <c r="I109" i="12"/>
  <c r="EK78" i="18"/>
  <c r="EK82" i="18"/>
  <c r="EK76" i="18"/>
  <c r="C60" i="12"/>
  <c r="EK72" i="18"/>
  <c r="EK88" i="18"/>
  <c r="O47" i="17"/>
  <c r="K109" i="12"/>
  <c r="M58" i="12"/>
  <c r="EK77" i="18"/>
  <c r="EK83" i="18"/>
  <c r="EM100" i="18"/>
  <c r="K58" i="12"/>
  <c r="I58" i="12"/>
  <c r="EK85" i="18"/>
  <c r="P57" i="12"/>
  <c r="EK75" i="18"/>
  <c r="EM99" i="18"/>
  <c r="N109" i="12"/>
  <c r="EM109" i="18"/>
  <c r="EK80" i="18"/>
  <c r="C111" i="12"/>
  <c r="N58" i="12"/>
  <c r="EM91" i="18"/>
  <c r="P59" i="22"/>
  <c r="G60" i="12" a="1"/>
  <c r="P47" i="17"/>
  <c r="EK81" i="18"/>
  <c r="K61" i="22" l="1"/>
  <c r="K48" i="17"/>
  <c r="AI85" i="2"/>
  <c r="AI81" i="2"/>
  <c r="AI89" i="2"/>
  <c r="AI80" i="2"/>
  <c r="AI84" i="2"/>
  <c r="AI88" i="2"/>
  <c r="AI83" i="2"/>
  <c r="AI87" i="2"/>
  <c r="AI86" i="2"/>
  <c r="AI82" i="2"/>
  <c r="AI79" i="2"/>
  <c r="AI74" i="2"/>
  <c r="AI73" i="2"/>
  <c r="AI78" i="2"/>
  <c r="AI72" i="2"/>
  <c r="AI77" i="2"/>
  <c r="AI76" i="2"/>
  <c r="AI75" i="2"/>
  <c r="CH84" i="2"/>
  <c r="CH88" i="2"/>
  <c r="CH79" i="2"/>
  <c r="CH83" i="2"/>
  <c r="CH87" i="2"/>
  <c r="CH86" i="2"/>
  <c r="CH82" i="2"/>
  <c r="CH85" i="2"/>
  <c r="CH81" i="2"/>
  <c r="CH89" i="2"/>
  <c r="CH80" i="2"/>
  <c r="CH73" i="2"/>
  <c r="CH78" i="2"/>
  <c r="CH72" i="2"/>
  <c r="CH77" i="2"/>
  <c r="CH76" i="2"/>
  <c r="CH75" i="2"/>
  <c r="CH74" i="2"/>
  <c r="AF110" i="2"/>
  <c r="AH102" i="2"/>
  <c r="T58" i="12"/>
  <c r="S58" i="12"/>
  <c r="R58" i="12"/>
  <c r="S109" i="12"/>
  <c r="R109" i="12"/>
  <c r="T109" i="12"/>
  <c r="AH109" i="2"/>
  <c r="AG108" i="2"/>
  <c r="AG109" i="2"/>
  <c r="CF108" i="2"/>
  <c r="EM95" i="18"/>
  <c r="EM102" i="18"/>
  <c r="G60" i="12"/>
  <c r="DC84" i="18"/>
  <c r="AJ99" i="18"/>
  <c r="DC99" i="18" s="1"/>
  <c r="AJ91" i="18"/>
  <c r="DC91" i="18" s="1"/>
  <c r="AH103" i="2"/>
  <c r="DC86" i="18"/>
  <c r="AH101" i="2"/>
  <c r="AI95" i="18"/>
  <c r="AI69" i="18"/>
  <c r="AI43" i="18"/>
  <c r="DC87" i="18"/>
  <c r="CP107" i="18"/>
  <c r="CP105" i="18"/>
  <c r="AG107" i="2"/>
  <c r="AG105" i="2"/>
  <c r="AJ103" i="18"/>
  <c r="DC85" i="18"/>
  <c r="AI70" i="2"/>
  <c r="AI96" i="2"/>
  <c r="AJ9" i="2"/>
  <c r="AI3" i="2"/>
  <c r="AI8" i="2"/>
  <c r="AI44" i="2"/>
  <c r="AJ104" i="18"/>
  <c r="CO110" i="18"/>
  <c r="AJ96" i="18"/>
  <c r="AK9" i="18"/>
  <c r="AJ44" i="18"/>
  <c r="AJ8" i="18"/>
  <c r="AJ70" i="18"/>
  <c r="AI107" i="18"/>
  <c r="AI105" i="18"/>
  <c r="CS6" i="18"/>
  <c r="CR92" i="18"/>
  <c r="AJ102" i="18"/>
  <c r="DC83" i="18"/>
  <c r="AH91" i="2"/>
  <c r="AH99" i="2"/>
  <c r="AJ101" i="18"/>
  <c r="DC101" i="18" s="1"/>
  <c r="DC73" i="18"/>
  <c r="AJ6" i="2"/>
  <c r="AI92" i="2"/>
  <c r="AJ100" i="18"/>
  <c r="DC100" i="18" s="1"/>
  <c r="DC81" i="18"/>
  <c r="AI109" i="18"/>
  <c r="AH110" i="18"/>
  <c r="DC82" i="18"/>
  <c r="AH100" i="2"/>
  <c r="AH95" i="2"/>
  <c r="AH69" i="2"/>
  <c r="AH43" i="2"/>
  <c r="CH90" i="2"/>
  <c r="CI6" i="2"/>
  <c r="CH92" i="2"/>
  <c r="CG102" i="2"/>
  <c r="CG100" i="2"/>
  <c r="CG104" i="2"/>
  <c r="CF105" i="2"/>
  <c r="CG99" i="2"/>
  <c r="CG91" i="2"/>
  <c r="CE110" i="2"/>
  <c r="CF109" i="2"/>
  <c r="CG101" i="2"/>
  <c r="CG103" i="2"/>
  <c r="CF107" i="2"/>
  <c r="J59" i="12"/>
  <c r="P48" i="17"/>
  <c r="I59" i="12"/>
  <c r="I110" i="12"/>
  <c r="M110" i="12"/>
  <c r="G61" i="12" a="1"/>
  <c r="EK91" i="18"/>
  <c r="O48" i="17"/>
  <c r="J110" i="12"/>
  <c r="L110" i="12"/>
  <c r="C61" i="12"/>
  <c r="P58" i="12"/>
  <c r="P109" i="12"/>
  <c r="EM107" i="18"/>
  <c r="N110" i="12"/>
  <c r="O60" i="22"/>
  <c r="K59" i="12"/>
  <c r="EK100" i="18"/>
  <c r="EM105" i="18"/>
  <c r="P60" i="22"/>
  <c r="EK101" i="18"/>
  <c r="C112" i="12"/>
  <c r="EK99" i="18"/>
  <c r="EK104" i="18"/>
  <c r="K110" i="12"/>
  <c r="L59" i="12"/>
  <c r="M59" i="12"/>
  <c r="K62" i="22" l="1"/>
  <c r="K49" i="17"/>
  <c r="CI88" i="2"/>
  <c r="CI83" i="2"/>
  <c r="CI87" i="2"/>
  <c r="CI86" i="2"/>
  <c r="CI82" i="2"/>
  <c r="CI85" i="2"/>
  <c r="CI81" i="2"/>
  <c r="CI89" i="2"/>
  <c r="CI80" i="2"/>
  <c r="CI84" i="2"/>
  <c r="CI78" i="2"/>
  <c r="CI72" i="2"/>
  <c r="CI77" i="2"/>
  <c r="CI79" i="2"/>
  <c r="CI76" i="2"/>
  <c r="CI75" i="2"/>
  <c r="CI74" i="2"/>
  <c r="CI73" i="2"/>
  <c r="AJ89" i="2"/>
  <c r="AJ80" i="2"/>
  <c r="AJ84" i="2"/>
  <c r="AJ88" i="2"/>
  <c r="AJ83" i="2"/>
  <c r="AJ87" i="2"/>
  <c r="AJ86" i="2"/>
  <c r="AJ82" i="2"/>
  <c r="AJ85" i="2"/>
  <c r="AJ81" i="2"/>
  <c r="AJ79" i="2"/>
  <c r="AJ74" i="2"/>
  <c r="AJ73" i="2"/>
  <c r="AJ78" i="2"/>
  <c r="AJ72" i="2"/>
  <c r="AJ77" i="2"/>
  <c r="AJ76" i="2"/>
  <c r="AJ75" i="2"/>
  <c r="S110" i="12"/>
  <c r="T59" i="12"/>
  <c r="S59" i="12"/>
  <c r="T110" i="12"/>
  <c r="R59" i="12"/>
  <c r="R110" i="12"/>
  <c r="AH108" i="2"/>
  <c r="CG108" i="2"/>
  <c r="AG110" i="2"/>
  <c r="AI104" i="2"/>
  <c r="AI101" i="2"/>
  <c r="AI100" i="2"/>
  <c r="G61" i="12"/>
  <c r="EK95" i="18"/>
  <c r="ES95" i="18" s="1"/>
  <c r="ES100" i="18"/>
  <c r="ET100" i="18" s="1"/>
  <c r="EK102" i="18"/>
  <c r="ES99" i="18"/>
  <c r="ES104" i="18"/>
  <c r="ET104" i="18" s="1"/>
  <c r="EM106" i="18"/>
  <c r="ES101" i="18"/>
  <c r="ET101" i="18" s="1"/>
  <c r="AI110" i="18"/>
  <c r="AI103" i="2"/>
  <c r="AJ95" i="18"/>
  <c r="AJ43" i="18"/>
  <c r="AJ69" i="18"/>
  <c r="AJ108" i="18"/>
  <c r="DC103" i="18"/>
  <c r="AK96" i="18"/>
  <c r="AK44" i="18"/>
  <c r="AK8" i="18"/>
  <c r="AK70" i="18"/>
  <c r="AL9" i="18"/>
  <c r="AJ70" i="2"/>
  <c r="AJ96" i="2"/>
  <c r="AJ8" i="2"/>
  <c r="AJ3" i="2"/>
  <c r="AJ44" i="2"/>
  <c r="AK9" i="2"/>
  <c r="AH107" i="2"/>
  <c r="AH105" i="2"/>
  <c r="AJ105" i="18"/>
  <c r="DC105" i="18" s="1"/>
  <c r="AJ107" i="18"/>
  <c r="DC107" i="18" s="1"/>
  <c r="AJ109" i="18"/>
  <c r="DC104" i="18"/>
  <c r="AK6" i="2"/>
  <c r="AJ92" i="2"/>
  <c r="AI91" i="2"/>
  <c r="AI99" i="2"/>
  <c r="DC102" i="18"/>
  <c r="CP110" i="18"/>
  <c r="AI102" i="2"/>
  <c r="AI95" i="2"/>
  <c r="AI69" i="2"/>
  <c r="AI43" i="2"/>
  <c r="CT6" i="18"/>
  <c r="CS92" i="18"/>
  <c r="CI92" i="2"/>
  <c r="CI90" i="2"/>
  <c r="CJ6" i="2"/>
  <c r="CH100" i="2"/>
  <c r="CH102" i="2"/>
  <c r="CH99" i="2"/>
  <c r="CH91" i="2"/>
  <c r="CH104" i="2"/>
  <c r="CG105" i="2"/>
  <c r="CG107" i="2"/>
  <c r="CG109" i="2"/>
  <c r="CF110" i="2"/>
  <c r="CH101" i="2"/>
  <c r="CH103" i="2"/>
  <c r="EK108" i="18"/>
  <c r="P110" i="12"/>
  <c r="EK105" i="18"/>
  <c r="M60" i="12"/>
  <c r="K60" i="12"/>
  <c r="C62" i="12"/>
  <c r="K111" i="12"/>
  <c r="O49" i="17"/>
  <c r="L60" i="12"/>
  <c r="J60" i="12"/>
  <c r="P49" i="17"/>
  <c r="L111" i="12"/>
  <c r="J111" i="12"/>
  <c r="M111" i="12"/>
  <c r="N60" i="12"/>
  <c r="I111" i="12"/>
  <c r="P59" i="12"/>
  <c r="C113" i="12"/>
  <c r="I60" i="12"/>
  <c r="O61" i="22"/>
  <c r="G62" i="12" a="1"/>
  <c r="P61" i="22"/>
  <c r="EM110" i="18"/>
  <c r="EK107" i="18"/>
  <c r="N111" i="12"/>
  <c r="EK109" i="18"/>
  <c r="K63" i="22" l="1"/>
  <c r="K50" i="17"/>
  <c r="AK80" i="2"/>
  <c r="AK84" i="2"/>
  <c r="AK88" i="2"/>
  <c r="AK83" i="2"/>
  <c r="AK87" i="2"/>
  <c r="AK86" i="2"/>
  <c r="AK82" i="2"/>
  <c r="AK85" i="2"/>
  <c r="AK81" i="2"/>
  <c r="AK89" i="2"/>
  <c r="AK73" i="2"/>
  <c r="AK78" i="2"/>
  <c r="AK72" i="2"/>
  <c r="AK77" i="2"/>
  <c r="AK76" i="2"/>
  <c r="AK75" i="2"/>
  <c r="AK79" i="2"/>
  <c r="AK74" i="2"/>
  <c r="CJ83" i="2"/>
  <c r="CJ87" i="2"/>
  <c r="CJ86" i="2"/>
  <c r="CJ82" i="2"/>
  <c r="CJ85" i="2"/>
  <c r="CJ81" i="2"/>
  <c r="CJ89" i="2"/>
  <c r="CJ80" i="2"/>
  <c r="CJ84" i="2"/>
  <c r="CJ88" i="2"/>
  <c r="CJ79" i="2"/>
  <c r="CJ72" i="2"/>
  <c r="CJ77" i="2"/>
  <c r="CJ76" i="2"/>
  <c r="CJ75" i="2"/>
  <c r="CJ74" i="2"/>
  <c r="CJ73" i="2"/>
  <c r="CJ78" i="2"/>
  <c r="AH110" i="2"/>
  <c r="T60" i="12"/>
  <c r="S60" i="12"/>
  <c r="R60" i="12"/>
  <c r="R111" i="12"/>
  <c r="T111" i="12"/>
  <c r="S111" i="12"/>
  <c r="AI108" i="2"/>
  <c r="AI109" i="2"/>
  <c r="CH108" i="2"/>
  <c r="AJ100" i="2"/>
  <c r="AJ104" i="2"/>
  <c r="AJ103" i="2"/>
  <c r="EM112" i="18"/>
  <c r="ES109" i="18"/>
  <c r="ET109" i="18" s="1"/>
  <c r="ES107" i="18"/>
  <c r="ET107" i="18" s="1"/>
  <c r="EK106" i="18"/>
  <c r="ES105" i="18"/>
  <c r="G62" i="12"/>
  <c r="ES108" i="18"/>
  <c r="ET108" i="18" s="1"/>
  <c r="AJ95" i="2"/>
  <c r="AJ69" i="2"/>
  <c r="AJ43" i="2"/>
  <c r="AJ102" i="2"/>
  <c r="AL96" i="18"/>
  <c r="AL8" i="18"/>
  <c r="AL70" i="18"/>
  <c r="AL44" i="18"/>
  <c r="AM9" i="18"/>
  <c r="AI107" i="2"/>
  <c r="AI105" i="2"/>
  <c r="DC109" i="18"/>
  <c r="AJ110" i="18"/>
  <c r="DC110" i="18" s="1"/>
  <c r="AK95" i="18"/>
  <c r="AK43" i="18"/>
  <c r="AK69" i="18"/>
  <c r="ET99" i="18"/>
  <c r="ET102" i="18" s="1"/>
  <c r="ES102" i="18"/>
  <c r="AK92" i="2"/>
  <c r="CU6" i="18"/>
  <c r="CT92" i="18"/>
  <c r="AJ91" i="2"/>
  <c r="AJ99" i="2"/>
  <c r="AK96" i="2"/>
  <c r="AK44" i="2"/>
  <c r="AK3" i="2"/>
  <c r="AL9" i="2"/>
  <c r="AK70" i="2"/>
  <c r="AK8" i="2"/>
  <c r="DC108" i="18"/>
  <c r="AJ101" i="2"/>
  <c r="CI100" i="2"/>
  <c r="CI99" i="2"/>
  <c r="CI91" i="2"/>
  <c r="CI102" i="2"/>
  <c r="CI104" i="2"/>
  <c r="CH105" i="2"/>
  <c r="CH107" i="2"/>
  <c r="CH109" i="2"/>
  <c r="CI101" i="2"/>
  <c r="CJ90" i="2"/>
  <c r="CK6" i="2"/>
  <c r="CI103" i="2"/>
  <c r="CG110" i="2"/>
  <c r="I112" i="12"/>
  <c r="P60" i="12"/>
  <c r="N61" i="12"/>
  <c r="M61" i="12"/>
  <c r="P62" i="22"/>
  <c r="O62" i="22"/>
  <c r="G63" i="12" a="1"/>
  <c r="L61" i="12"/>
  <c r="M112" i="12"/>
  <c r="P111" i="12"/>
  <c r="EK110" i="18"/>
  <c r="C114" i="12"/>
  <c r="K61" i="12"/>
  <c r="J112" i="12"/>
  <c r="P50" i="17"/>
  <c r="K112" i="12"/>
  <c r="I61" i="12"/>
  <c r="N112" i="12"/>
  <c r="J61" i="12"/>
  <c r="L112" i="12"/>
  <c r="O50" i="17"/>
  <c r="K64" i="22" l="1"/>
  <c r="K51" i="17"/>
  <c r="CK83" i="2"/>
  <c r="CK87" i="2"/>
  <c r="CK86" i="2"/>
  <c r="CK82" i="2"/>
  <c r="CK85" i="2"/>
  <c r="CK81" i="2"/>
  <c r="CK89" i="2"/>
  <c r="CK80" i="2"/>
  <c r="CK84" i="2"/>
  <c r="CK88" i="2"/>
  <c r="CK79" i="2"/>
  <c r="CK77" i="2"/>
  <c r="CK76" i="2"/>
  <c r="CK75" i="2"/>
  <c r="CK74" i="2"/>
  <c r="CK73" i="2"/>
  <c r="CK78" i="2"/>
  <c r="CK72" i="2"/>
  <c r="S61" i="12"/>
  <c r="S112" i="12"/>
  <c r="R112" i="12"/>
  <c r="T61" i="12"/>
  <c r="R61" i="12"/>
  <c r="T112" i="12"/>
  <c r="AJ109" i="2"/>
  <c r="AJ108" i="2"/>
  <c r="AI110" i="2"/>
  <c r="CI108" i="2"/>
  <c r="AK102" i="2"/>
  <c r="EK112" i="18"/>
  <c r="ES110" i="18"/>
  <c r="G63" i="12"/>
  <c r="CV6" i="18"/>
  <c r="CU92" i="18"/>
  <c r="AK99" i="2"/>
  <c r="AK91" i="2"/>
  <c r="AK95" i="2"/>
  <c r="AK43" i="2"/>
  <c r="AK69" i="2"/>
  <c r="AK101" i="2"/>
  <c r="AL70" i="2"/>
  <c r="AL96" i="2"/>
  <c r="AM9" i="2"/>
  <c r="AL44" i="2"/>
  <c r="AL8" i="2"/>
  <c r="AL3" i="2"/>
  <c r="AM96" i="18"/>
  <c r="AM8" i="18"/>
  <c r="AM70" i="18"/>
  <c r="AN9" i="18"/>
  <c r="AM44" i="18"/>
  <c r="ET105" i="18"/>
  <c r="ES106" i="18"/>
  <c r="ET106" i="18" s="1"/>
  <c r="AK103" i="2"/>
  <c r="AK104" i="2"/>
  <c r="AL69" i="18"/>
  <c r="AL43" i="18"/>
  <c r="AL95" i="18"/>
  <c r="AJ105" i="2"/>
  <c r="AJ107" i="2"/>
  <c r="AK100" i="2"/>
  <c r="CH110" i="2"/>
  <c r="CJ99" i="2"/>
  <c r="CI109" i="2"/>
  <c r="CK92" i="2"/>
  <c r="CK90" i="2"/>
  <c r="CL6" i="2"/>
  <c r="CJ101" i="2"/>
  <c r="CI105" i="2"/>
  <c r="CJ103" i="2"/>
  <c r="CI107" i="2"/>
  <c r="CJ102" i="2"/>
  <c r="CJ104" i="2"/>
  <c r="P51" i="17"/>
  <c r="L113" i="12"/>
  <c r="K113" i="12"/>
  <c r="C115" i="12"/>
  <c r="I113" i="12"/>
  <c r="N113" i="12"/>
  <c r="L62" i="12"/>
  <c r="G64" i="12" a="1"/>
  <c r="P61" i="12"/>
  <c r="M62" i="12"/>
  <c r="I62" i="12"/>
  <c r="O51" i="17"/>
  <c r="K62" i="12"/>
  <c r="J62" i="12"/>
  <c r="N62" i="12"/>
  <c r="O63" i="22"/>
  <c r="M113" i="12"/>
  <c r="P63" i="22"/>
  <c r="P112" i="12"/>
  <c r="K65" i="22" l="1"/>
  <c r="K52" i="17"/>
  <c r="CL87" i="2"/>
  <c r="CL86" i="2"/>
  <c r="CL82" i="2"/>
  <c r="CL85" i="2"/>
  <c r="CL81" i="2"/>
  <c r="CL89" i="2"/>
  <c r="CL80" i="2"/>
  <c r="CL84" i="2"/>
  <c r="CL88" i="2"/>
  <c r="CL83" i="2"/>
  <c r="CL77" i="2"/>
  <c r="CL76" i="2"/>
  <c r="CL79" i="2"/>
  <c r="CL75" i="2"/>
  <c r="CL74" i="2"/>
  <c r="CL73" i="2"/>
  <c r="CL78" i="2"/>
  <c r="CL72" i="2"/>
  <c r="AJ110" i="2"/>
  <c r="S113" i="12"/>
  <c r="S62" i="12"/>
  <c r="T113" i="12"/>
  <c r="T62" i="12"/>
  <c r="R62" i="12"/>
  <c r="CJ108" i="2"/>
  <c r="AK108" i="2"/>
  <c r="AK109" i="2"/>
  <c r="G64" i="12"/>
  <c r="AN96" i="18"/>
  <c r="AN70" i="18"/>
  <c r="AN8" i="18"/>
  <c r="AO9" i="18"/>
  <c r="AN44" i="18"/>
  <c r="AM95" i="18"/>
  <c r="AM43" i="18"/>
  <c r="AM69" i="18"/>
  <c r="AK105" i="2"/>
  <c r="AK107" i="2"/>
  <c r="AL95" i="2"/>
  <c r="AL69" i="2"/>
  <c r="AL43" i="2"/>
  <c r="CW6" i="18"/>
  <c r="CV92" i="18"/>
  <c r="AM96" i="2"/>
  <c r="AM70" i="2"/>
  <c r="AM8" i="2"/>
  <c r="AM44" i="2"/>
  <c r="AN9" i="2"/>
  <c r="AM3" i="2"/>
  <c r="ES112" i="18"/>
  <c r="ET112" i="18" s="1"/>
  <c r="ET110" i="18"/>
  <c r="EM7" i="18"/>
  <c r="EM8" i="18" s="1"/>
  <c r="CJ109" i="2"/>
  <c r="CL92" i="2"/>
  <c r="CL90" i="2"/>
  <c r="CM6" i="2"/>
  <c r="CK101" i="2"/>
  <c r="CK103" i="2"/>
  <c r="CK100" i="2"/>
  <c r="CI110" i="2"/>
  <c r="CK102" i="2"/>
  <c r="CK104" i="2"/>
  <c r="CK99" i="2"/>
  <c r="CK91" i="2"/>
  <c r="P62" i="12"/>
  <c r="P64" i="22"/>
  <c r="M114" i="12"/>
  <c r="L114" i="12"/>
  <c r="J114" i="12"/>
  <c r="C116" i="12"/>
  <c r="P52" i="17"/>
  <c r="O52" i="17"/>
  <c r="K114" i="12"/>
  <c r="N114" i="12"/>
  <c r="G65" i="12" a="1"/>
  <c r="I114" i="12"/>
  <c r="O64" i="22"/>
  <c r="K66" i="22" l="1"/>
  <c r="K53" i="17"/>
  <c r="CM86" i="2"/>
  <c r="CM82" i="2"/>
  <c r="CM85" i="2"/>
  <c r="CM81" i="2"/>
  <c r="CM89" i="2"/>
  <c r="CM80" i="2"/>
  <c r="CM84" i="2"/>
  <c r="CM88" i="2"/>
  <c r="CM79" i="2"/>
  <c r="CM87" i="2"/>
  <c r="CM76" i="2"/>
  <c r="CM75" i="2"/>
  <c r="CM74" i="2"/>
  <c r="CM73" i="2"/>
  <c r="CM78" i="2"/>
  <c r="CM72" i="2"/>
  <c r="CM77" i="2"/>
  <c r="CM83" i="2"/>
  <c r="T114" i="12"/>
  <c r="R114" i="12"/>
  <c r="S114" i="12"/>
  <c r="AK110" i="2"/>
  <c r="CK108" i="2"/>
  <c r="G65" i="12"/>
  <c r="AN96" i="2"/>
  <c r="AN70" i="2"/>
  <c r="AN44" i="2"/>
  <c r="AO9" i="2"/>
  <c r="AN3" i="2"/>
  <c r="AN8" i="2"/>
  <c r="AM95" i="2"/>
  <c r="AM69" i="2"/>
  <c r="AM43" i="2"/>
  <c r="AO96" i="18"/>
  <c r="AO70" i="18"/>
  <c r="AO8" i="18"/>
  <c r="AP9" i="18"/>
  <c r="AO44" i="18"/>
  <c r="AN95" i="18"/>
  <c r="AN69" i="18"/>
  <c r="AN43" i="18"/>
  <c r="CX6" i="18"/>
  <c r="CW92" i="18"/>
  <c r="CK105" i="2"/>
  <c r="CL102" i="2"/>
  <c r="CL91" i="2"/>
  <c r="CL104" i="2"/>
  <c r="CL99" i="2"/>
  <c r="CK109" i="2"/>
  <c r="CM92" i="2"/>
  <c r="CM90" i="2"/>
  <c r="CN6" i="2"/>
  <c r="CL100" i="2"/>
  <c r="CL101" i="2"/>
  <c r="CL103" i="2"/>
  <c r="CK107" i="2"/>
  <c r="K115" i="12"/>
  <c r="P53" i="17"/>
  <c r="I115" i="12"/>
  <c r="O65" i="22"/>
  <c r="L115" i="12"/>
  <c r="P65" i="22"/>
  <c r="C117" i="12"/>
  <c r="P114" i="12"/>
  <c r="O53" i="17"/>
  <c r="G66" i="12" a="1"/>
  <c r="N115" i="12"/>
  <c r="J115" i="12"/>
  <c r="M115" i="12"/>
  <c r="K67" i="22" l="1"/>
  <c r="K54" i="17"/>
  <c r="CN86" i="2"/>
  <c r="CN82" i="2"/>
  <c r="CN85" i="2"/>
  <c r="CN81" i="2"/>
  <c r="CN89" i="2"/>
  <c r="CN80" i="2"/>
  <c r="CN84" i="2"/>
  <c r="CN88" i="2"/>
  <c r="CN79" i="2"/>
  <c r="CN83" i="2"/>
  <c r="CN87" i="2"/>
  <c r="CN76" i="2"/>
  <c r="CN75" i="2"/>
  <c r="CN74" i="2"/>
  <c r="CN73" i="2"/>
  <c r="CN78" i="2"/>
  <c r="CN72" i="2"/>
  <c r="CN77" i="2"/>
  <c r="R115" i="12"/>
  <c r="T115" i="12"/>
  <c r="S115" i="12"/>
  <c r="CL108" i="2"/>
  <c r="G66" i="12"/>
  <c r="CY6" i="18"/>
  <c r="CX92" i="18"/>
  <c r="AN95" i="2"/>
  <c r="AN69" i="2"/>
  <c r="AN43" i="2"/>
  <c r="AO96" i="2"/>
  <c r="AO70" i="2"/>
  <c r="AO44" i="2"/>
  <c r="AP9" i="2"/>
  <c r="AO3" i="2"/>
  <c r="AO8" i="2"/>
  <c r="AP96" i="18"/>
  <c r="AP70" i="18"/>
  <c r="AQ9" i="18"/>
  <c r="AP44" i="18"/>
  <c r="AP8" i="18"/>
  <c r="AO95" i="18"/>
  <c r="AO69" i="18"/>
  <c r="AO43" i="18"/>
  <c r="CM91" i="2"/>
  <c r="CM99" i="2"/>
  <c r="CM101" i="2"/>
  <c r="CM103" i="2"/>
  <c r="CK110" i="2"/>
  <c r="CL105" i="2"/>
  <c r="CM102" i="2"/>
  <c r="CL109" i="2"/>
  <c r="CN92" i="2"/>
  <c r="CN90" i="2"/>
  <c r="CO6" i="2"/>
  <c r="CM104" i="2"/>
  <c r="CL107" i="2"/>
  <c r="CM100" i="2"/>
  <c r="K116" i="12"/>
  <c r="C118" i="12"/>
  <c r="J116" i="12"/>
  <c r="I116" i="12"/>
  <c r="L116" i="12"/>
  <c r="M116" i="12"/>
  <c r="P54" i="17"/>
  <c r="O66" i="22"/>
  <c r="P66" i="22"/>
  <c r="N116" i="12"/>
  <c r="O54" i="17"/>
  <c r="G67" i="12" a="1"/>
  <c r="P115" i="12"/>
  <c r="K68" i="22" l="1"/>
  <c r="K55" i="17"/>
  <c r="CO85" i="2"/>
  <c r="CO81" i="2"/>
  <c r="CO89" i="2"/>
  <c r="CO80" i="2"/>
  <c r="CO84" i="2"/>
  <c r="CO88" i="2"/>
  <c r="CO83" i="2"/>
  <c r="CO87" i="2"/>
  <c r="CO86" i="2"/>
  <c r="CO82" i="2"/>
  <c r="CO75" i="2"/>
  <c r="CO79" i="2"/>
  <c r="CO74" i="2"/>
  <c r="CO73" i="2"/>
  <c r="CO78" i="2"/>
  <c r="CO72" i="2"/>
  <c r="CO77" i="2"/>
  <c r="CO76" i="2"/>
  <c r="S116" i="12"/>
  <c r="T116" i="12"/>
  <c r="R116" i="12"/>
  <c r="CM108" i="2"/>
  <c r="G67" i="12"/>
  <c r="AP96" i="2"/>
  <c r="AP44" i="2"/>
  <c r="AQ9" i="2"/>
  <c r="AP3" i="2"/>
  <c r="AP8" i="2"/>
  <c r="AP70" i="2"/>
  <c r="AP95" i="18"/>
  <c r="AP69" i="18"/>
  <c r="AP43" i="18"/>
  <c r="AO95" i="2"/>
  <c r="AO69" i="2"/>
  <c r="AO43" i="2"/>
  <c r="AQ96" i="18"/>
  <c r="AQ70" i="18"/>
  <c r="AR9" i="18"/>
  <c r="AQ44" i="18"/>
  <c r="AQ8" i="18"/>
  <c r="CZ6" i="18"/>
  <c r="CZ92" i="18" s="1"/>
  <c r="CY92" i="18"/>
  <c r="CN101" i="2"/>
  <c r="CN103" i="2"/>
  <c r="CM109" i="2"/>
  <c r="CL110" i="2"/>
  <c r="CO92" i="2"/>
  <c r="CO90" i="2"/>
  <c r="CP6" i="2"/>
  <c r="CN102" i="2"/>
  <c r="CN100" i="2"/>
  <c r="CN104" i="2"/>
  <c r="CN91" i="2"/>
  <c r="CM107" i="2"/>
  <c r="CM105" i="2"/>
  <c r="CN99" i="2"/>
  <c r="M117" i="12"/>
  <c r="K117" i="12"/>
  <c r="C119" i="12"/>
  <c r="I117" i="12"/>
  <c r="J117" i="12"/>
  <c r="P116" i="12"/>
  <c r="O55" i="17"/>
  <c r="L117" i="12"/>
  <c r="G68" i="12" a="1"/>
  <c r="N117" i="12"/>
  <c r="P67" i="22"/>
  <c r="O67" i="22"/>
  <c r="P55" i="17"/>
  <c r="K69" i="22" l="1"/>
  <c r="K56" i="17"/>
  <c r="CP85" i="2"/>
  <c r="CP81" i="2"/>
  <c r="CP89" i="2"/>
  <c r="CP80" i="2"/>
  <c r="CP84" i="2"/>
  <c r="CP88" i="2"/>
  <c r="CP83" i="2"/>
  <c r="CP87" i="2"/>
  <c r="CP86" i="2"/>
  <c r="CP82" i="2"/>
  <c r="CP75" i="2"/>
  <c r="CP79" i="2"/>
  <c r="CP74" i="2"/>
  <c r="CP73" i="2"/>
  <c r="CP78" i="2"/>
  <c r="CP72" i="2"/>
  <c r="CP77" i="2"/>
  <c r="CP76" i="2"/>
  <c r="R117" i="12"/>
  <c r="S117" i="12"/>
  <c r="T117" i="12"/>
  <c r="CN108" i="2"/>
  <c r="G68" i="12"/>
  <c r="DC92" i="18"/>
  <c r="AQ95" i="18"/>
  <c r="AQ43" i="18"/>
  <c r="AQ69" i="18"/>
  <c r="AP95" i="2"/>
  <c r="AP69" i="2"/>
  <c r="AP43" i="2"/>
  <c r="AR96" i="18"/>
  <c r="AR70" i="18"/>
  <c r="AS9" i="18"/>
  <c r="AR44" i="18"/>
  <c r="AR8" i="18"/>
  <c r="AQ96" i="2"/>
  <c r="AQ70" i="2"/>
  <c r="AQ44" i="2"/>
  <c r="AR9" i="2"/>
  <c r="AQ3" i="2"/>
  <c r="AQ8" i="2"/>
  <c r="CO104" i="2"/>
  <c r="CO91" i="2"/>
  <c r="CO99" i="2"/>
  <c r="CN105" i="2"/>
  <c r="CO101" i="2"/>
  <c r="CO103" i="2"/>
  <c r="CO100" i="2"/>
  <c r="CN109" i="2"/>
  <c r="CM110" i="2"/>
  <c r="CP90" i="2"/>
  <c r="CP92" i="2"/>
  <c r="CQ6" i="2"/>
  <c r="CO102" i="2"/>
  <c r="CN107" i="2"/>
  <c r="C120" i="12"/>
  <c r="I118" i="12"/>
  <c r="P68" i="22"/>
  <c r="L118" i="12"/>
  <c r="J118" i="12"/>
  <c r="N118" i="12"/>
  <c r="O68" i="22"/>
  <c r="G69" i="12" a="1"/>
  <c r="P117" i="12"/>
  <c r="K118" i="12"/>
  <c r="O56" i="17"/>
  <c r="P56" i="17"/>
  <c r="M118" i="12"/>
  <c r="K70" i="22" l="1"/>
  <c r="K57" i="17"/>
  <c r="CQ85" i="2"/>
  <c r="CQ81" i="2"/>
  <c r="CQ89" i="2"/>
  <c r="CQ80" i="2"/>
  <c r="CQ84" i="2"/>
  <c r="CQ88" i="2"/>
  <c r="CQ79" i="2"/>
  <c r="CQ83" i="2"/>
  <c r="CQ87" i="2"/>
  <c r="CQ86" i="2"/>
  <c r="CQ82" i="2"/>
  <c r="CQ74" i="2"/>
  <c r="CQ73" i="2"/>
  <c r="CQ78" i="2"/>
  <c r="CQ72" i="2"/>
  <c r="CQ77" i="2"/>
  <c r="CQ76" i="2"/>
  <c r="CQ75" i="2"/>
  <c r="S118" i="12"/>
  <c r="T118" i="12"/>
  <c r="R118" i="12"/>
  <c r="CO108" i="2"/>
  <c r="G69" i="12"/>
  <c r="AS96" i="18"/>
  <c r="AT9" i="18"/>
  <c r="AS70" i="18"/>
  <c r="AS44" i="18"/>
  <c r="AS8" i="18"/>
  <c r="AQ95" i="2"/>
  <c r="AQ69" i="2"/>
  <c r="AQ43" i="2"/>
  <c r="AR96" i="2"/>
  <c r="AR44" i="2"/>
  <c r="AR3" i="2"/>
  <c r="AS9" i="2"/>
  <c r="AR8" i="2"/>
  <c r="AR70" i="2"/>
  <c r="AR95" i="18"/>
  <c r="AR43" i="18"/>
  <c r="AR69" i="18"/>
  <c r="CP101" i="2"/>
  <c r="CN110" i="2"/>
  <c r="CP103" i="2"/>
  <c r="CQ90" i="2"/>
  <c r="CQ92" i="2"/>
  <c r="CR6" i="2"/>
  <c r="CP102" i="2"/>
  <c r="CP100" i="2"/>
  <c r="CP104" i="2"/>
  <c r="CO107" i="2"/>
  <c r="CO105" i="2"/>
  <c r="CP99" i="2"/>
  <c r="CP91" i="2"/>
  <c r="CO109" i="2"/>
  <c r="L119" i="12"/>
  <c r="O69" i="22"/>
  <c r="I119" i="12"/>
  <c r="C121" i="12"/>
  <c r="G70" i="12" a="1"/>
  <c r="K119" i="12"/>
  <c r="P69" i="22"/>
  <c r="O57" i="17"/>
  <c r="P118" i="12"/>
  <c r="N119" i="12"/>
  <c r="J119" i="12"/>
  <c r="M119" i="12"/>
  <c r="P57" i="17"/>
  <c r="K71" i="22" l="1"/>
  <c r="K58" i="17"/>
  <c r="CR89" i="2"/>
  <c r="CR80" i="2"/>
  <c r="CR84" i="2"/>
  <c r="CR88" i="2"/>
  <c r="CR83" i="2"/>
  <c r="CR87" i="2"/>
  <c r="CR86" i="2"/>
  <c r="CR82" i="2"/>
  <c r="CR85" i="2"/>
  <c r="CR81" i="2"/>
  <c r="CR79" i="2"/>
  <c r="CR74" i="2"/>
  <c r="CR73" i="2"/>
  <c r="CR78" i="2"/>
  <c r="CR72" i="2"/>
  <c r="CR77" i="2"/>
  <c r="CR76" i="2"/>
  <c r="CR75" i="2"/>
  <c r="S119" i="12"/>
  <c r="R119" i="12"/>
  <c r="T119" i="12"/>
  <c r="CP108" i="2"/>
  <c r="G70" i="12"/>
  <c r="AS95" i="18"/>
  <c r="AS43" i="18"/>
  <c r="AS69" i="18"/>
  <c r="AT96" i="18"/>
  <c r="AU9" i="18"/>
  <c r="AT70" i="18"/>
  <c r="AT44" i="18"/>
  <c r="AT8" i="18"/>
  <c r="AR95" i="2"/>
  <c r="AR43" i="2"/>
  <c r="AR69" i="2"/>
  <c r="AS96" i="2"/>
  <c r="AS44" i="2"/>
  <c r="AT9" i="2"/>
  <c r="AS3" i="2"/>
  <c r="AS8" i="2"/>
  <c r="AS70" i="2"/>
  <c r="CQ103" i="2"/>
  <c r="CR90" i="2"/>
  <c r="CR92" i="2"/>
  <c r="CS6" i="2"/>
  <c r="CQ102" i="2"/>
  <c r="CQ104" i="2"/>
  <c r="CQ99" i="2"/>
  <c r="CQ91" i="2"/>
  <c r="CP107" i="2"/>
  <c r="CP105" i="2"/>
  <c r="CO110" i="2"/>
  <c r="CP109" i="2"/>
  <c r="CQ100" i="2"/>
  <c r="CQ101" i="2"/>
  <c r="P119" i="12"/>
  <c r="O58" i="17"/>
  <c r="G71" i="12" a="1"/>
  <c r="P58" i="17"/>
  <c r="C122" i="12"/>
  <c r="J120" i="12"/>
  <c r="I120" i="12"/>
  <c r="O70" i="22"/>
  <c r="L120" i="12"/>
  <c r="M120" i="12"/>
  <c r="K120" i="12"/>
  <c r="P70" i="22"/>
  <c r="N120" i="12"/>
  <c r="K72" i="22" l="1"/>
  <c r="K59" i="17"/>
  <c r="CS80" i="2"/>
  <c r="CS84" i="2"/>
  <c r="CS88" i="2"/>
  <c r="CS79" i="2"/>
  <c r="CS83" i="2"/>
  <c r="CS87" i="2"/>
  <c r="CS86" i="2"/>
  <c r="CS82" i="2"/>
  <c r="CS85" i="2"/>
  <c r="CS81" i="2"/>
  <c r="CS89" i="2"/>
  <c r="CS73" i="2"/>
  <c r="CS78" i="2"/>
  <c r="CS72" i="2"/>
  <c r="CS77" i="2"/>
  <c r="CS76" i="2"/>
  <c r="CS75" i="2"/>
  <c r="CS74" i="2"/>
  <c r="R120" i="12"/>
  <c r="T120" i="12"/>
  <c r="S120" i="12"/>
  <c r="CQ108" i="2"/>
  <c r="G71" i="12"/>
  <c r="AT95" i="18"/>
  <c r="AT69" i="18"/>
  <c r="AT43" i="18"/>
  <c r="AU96" i="18"/>
  <c r="AV9" i="18"/>
  <c r="AU70" i="18"/>
  <c r="AU44" i="18"/>
  <c r="AU8" i="18"/>
  <c r="AS95" i="2"/>
  <c r="AS43" i="2"/>
  <c r="AS69" i="2"/>
  <c r="AT96" i="2"/>
  <c r="AT70" i="2"/>
  <c r="AU9" i="2"/>
  <c r="AT3" i="2"/>
  <c r="AT8" i="2"/>
  <c r="AT44" i="2"/>
  <c r="CQ109" i="2"/>
  <c r="CR101" i="2"/>
  <c r="CR103" i="2"/>
  <c r="CS90" i="2"/>
  <c r="CS92" i="2"/>
  <c r="CT6" i="2"/>
  <c r="CR100" i="2"/>
  <c r="CR102" i="2"/>
  <c r="CR91" i="2"/>
  <c r="CR99" i="2"/>
  <c r="CR104" i="2"/>
  <c r="CP110" i="2"/>
  <c r="CQ107" i="2"/>
  <c r="CQ105" i="2"/>
  <c r="O59" i="17"/>
  <c r="K121" i="12"/>
  <c r="L121" i="12"/>
  <c r="P120" i="12"/>
  <c r="P59" i="17"/>
  <c r="I121" i="12"/>
  <c r="O71" i="22"/>
  <c r="G72" i="12" a="1"/>
  <c r="N121" i="12"/>
  <c r="J121" i="12"/>
  <c r="P71" i="22"/>
  <c r="C123" i="12"/>
  <c r="M121" i="12"/>
  <c r="K73" i="22" l="1"/>
  <c r="K60" i="17"/>
  <c r="CT84" i="2"/>
  <c r="CT88" i="2"/>
  <c r="CT79" i="2"/>
  <c r="CT83" i="2"/>
  <c r="CT87" i="2"/>
  <c r="CT86" i="2"/>
  <c r="CT82" i="2"/>
  <c r="CT85" i="2"/>
  <c r="CT81" i="2"/>
  <c r="CT89" i="2"/>
  <c r="CT80" i="2"/>
  <c r="CT73" i="2"/>
  <c r="CT78" i="2"/>
  <c r="CT72" i="2"/>
  <c r="CT77" i="2"/>
  <c r="CT75" i="2"/>
  <c r="CT74" i="2"/>
  <c r="CT76" i="2"/>
  <c r="S11" i="12"/>
  <c r="W11" i="12" s="1"/>
  <c r="S10" i="12"/>
  <c r="W10" i="12" s="1"/>
  <c r="T11" i="12"/>
  <c r="X11" i="12" s="1"/>
  <c r="T10" i="12"/>
  <c r="X10" i="12" s="1"/>
  <c r="R11" i="12"/>
  <c r="V11" i="12" s="1"/>
  <c r="R10" i="12"/>
  <c r="V10" i="12" s="1"/>
  <c r="P11" i="12"/>
  <c r="S121" i="12"/>
  <c r="R121" i="12"/>
  <c r="T121" i="12"/>
  <c r="CR108" i="2"/>
  <c r="G72" i="12"/>
  <c r="AU95" i="18"/>
  <c r="AU69" i="18"/>
  <c r="AU43" i="18"/>
  <c r="AV96" i="18"/>
  <c r="AW9" i="18"/>
  <c r="AV70" i="18"/>
  <c r="AV44" i="18"/>
  <c r="AV8" i="18"/>
  <c r="AT95" i="2"/>
  <c r="AT43" i="2"/>
  <c r="AT69" i="2"/>
  <c r="AU96" i="2"/>
  <c r="AU70" i="2"/>
  <c r="AV9" i="2"/>
  <c r="AU3" i="2"/>
  <c r="AU8" i="2"/>
  <c r="AU44" i="2"/>
  <c r="CS101" i="2"/>
  <c r="CS103" i="2"/>
  <c r="CT90" i="2"/>
  <c r="CT92" i="2"/>
  <c r="CU6" i="2"/>
  <c r="CS100" i="2"/>
  <c r="CS99" i="2"/>
  <c r="CS91" i="2"/>
  <c r="CS102" i="2"/>
  <c r="CS104" i="2"/>
  <c r="CR109" i="2"/>
  <c r="CQ110" i="2"/>
  <c r="CR107" i="2"/>
  <c r="CR105" i="2"/>
  <c r="P60" i="17"/>
  <c r="J122" i="12"/>
  <c r="I122" i="12"/>
  <c r="P121" i="12"/>
  <c r="N122" i="12"/>
  <c r="K122" i="12"/>
  <c r="O60" i="17"/>
  <c r="P72" i="22"/>
  <c r="C124" i="12"/>
  <c r="G73" i="12" a="1"/>
  <c r="L122" i="12"/>
  <c r="O72" i="22"/>
  <c r="M122" i="12"/>
  <c r="K74" i="22" l="1"/>
  <c r="BD90" i="21"/>
  <c r="BD89" i="21"/>
  <c r="BD87" i="21"/>
  <c r="BD84" i="21"/>
  <c r="BD78" i="21"/>
  <c r="BD86" i="21"/>
  <c r="BD81" i="21"/>
  <c r="BD76" i="21"/>
  <c r="BD79" i="21"/>
  <c r="BD74" i="21"/>
  <c r="BD82" i="21"/>
  <c r="BD75" i="21"/>
  <c r="BD73" i="21"/>
  <c r="BD92" i="21"/>
  <c r="K61" i="17"/>
  <c r="CU88" i="2"/>
  <c r="CU83" i="2"/>
  <c r="CU87" i="2"/>
  <c r="CU86" i="2"/>
  <c r="CU82" i="2"/>
  <c r="CU85" i="2"/>
  <c r="CU81" i="2"/>
  <c r="CU89" i="2"/>
  <c r="CU80" i="2"/>
  <c r="CU84" i="2"/>
  <c r="CU78" i="2"/>
  <c r="CU72" i="2"/>
  <c r="CU77" i="2"/>
  <c r="CU76" i="2"/>
  <c r="CU75" i="2"/>
  <c r="CU74" i="2"/>
  <c r="CU79" i="2"/>
  <c r="CU73" i="2"/>
  <c r="T122" i="12"/>
  <c r="S122" i="12"/>
  <c r="R122" i="12"/>
  <c r="CS108" i="2"/>
  <c r="P10" i="12"/>
  <c r="P21" i="12" s="1"/>
  <c r="G73" i="12"/>
  <c r="AV95" i="18"/>
  <c r="AV43" i="18"/>
  <c r="AV69" i="18"/>
  <c r="AW96" i="18"/>
  <c r="AW70" i="18"/>
  <c r="AW44" i="18"/>
  <c r="AW8" i="18"/>
  <c r="AX9" i="18"/>
  <c r="AU95" i="2"/>
  <c r="AU69" i="2"/>
  <c r="AU43" i="2"/>
  <c r="AV96" i="2"/>
  <c r="AV70" i="2"/>
  <c r="AV8" i="2"/>
  <c r="AV3" i="2"/>
  <c r="AV44" i="2"/>
  <c r="AW9" i="2"/>
  <c r="CT101" i="2"/>
  <c r="CR110" i="2"/>
  <c r="CU92" i="2"/>
  <c r="CU90" i="2"/>
  <c r="CV6" i="2"/>
  <c r="CT103" i="2"/>
  <c r="CT100" i="2"/>
  <c r="CT99" i="2"/>
  <c r="CT91" i="2"/>
  <c r="CT102" i="2"/>
  <c r="CT104" i="2"/>
  <c r="CS109" i="2"/>
  <c r="CS107" i="2"/>
  <c r="CS105" i="2"/>
  <c r="L123" i="12"/>
  <c r="I123" i="12"/>
  <c r="P122" i="12"/>
  <c r="P73" i="22"/>
  <c r="M123" i="12"/>
  <c r="K123" i="12"/>
  <c r="C125" i="12"/>
  <c r="J123" i="12"/>
  <c r="G74" i="12" a="1"/>
  <c r="N123" i="12"/>
  <c r="O61" i="17"/>
  <c r="O73" i="22"/>
  <c r="P61" i="17"/>
  <c r="K75" i="22" l="1"/>
  <c r="BD88" i="21"/>
  <c r="BD100" i="21"/>
  <c r="BD77" i="21"/>
  <c r="BD91" i="21"/>
  <c r="BD72" i="21"/>
  <c r="BD85" i="21"/>
  <c r="BD102" i="21"/>
  <c r="BD83" i="21"/>
  <c r="BD101" i="21"/>
  <c r="BD80" i="21"/>
  <c r="K62" i="17"/>
  <c r="CV83" i="2"/>
  <c r="CV87" i="2"/>
  <c r="CV86" i="2"/>
  <c r="CV82" i="2"/>
  <c r="CV85" i="2"/>
  <c r="CV81" i="2"/>
  <c r="CV89" i="2"/>
  <c r="CV80" i="2"/>
  <c r="CV84" i="2"/>
  <c r="CV88" i="2"/>
  <c r="CV79" i="2"/>
  <c r="CV72" i="2"/>
  <c r="CV77" i="2"/>
  <c r="CV76" i="2"/>
  <c r="CV75" i="2"/>
  <c r="CV74" i="2"/>
  <c r="CV73" i="2"/>
  <c r="CV78" i="2"/>
  <c r="R123" i="12"/>
  <c r="S123" i="12"/>
  <c r="T123" i="12"/>
  <c r="CT108" i="2"/>
  <c r="G74" i="12"/>
  <c r="AX96" i="18"/>
  <c r="AX8" i="18"/>
  <c r="AX70" i="18"/>
  <c r="AX44" i="18"/>
  <c r="AY9" i="18"/>
  <c r="AW96" i="2"/>
  <c r="AW44" i="2"/>
  <c r="AX9" i="2"/>
  <c r="AW3" i="2"/>
  <c r="AW70" i="2"/>
  <c r="AW8" i="2"/>
  <c r="AV95" i="2"/>
  <c r="AV69" i="2"/>
  <c r="AV43" i="2"/>
  <c r="AW95" i="18"/>
  <c r="AW43" i="18"/>
  <c r="AW69" i="18"/>
  <c r="CS110" i="2"/>
  <c r="CV92" i="2"/>
  <c r="CV90" i="2"/>
  <c r="CW6" i="2"/>
  <c r="CU101" i="2"/>
  <c r="CU103" i="2"/>
  <c r="CU100" i="2"/>
  <c r="CU91" i="2"/>
  <c r="CU99" i="2"/>
  <c r="CU102" i="2"/>
  <c r="CU104" i="2"/>
  <c r="CT107" i="2"/>
  <c r="CT105" i="2"/>
  <c r="CT109" i="2"/>
  <c r="C126" i="12"/>
  <c r="K124" i="12"/>
  <c r="P123" i="12"/>
  <c r="N124" i="12"/>
  <c r="O74" i="22"/>
  <c r="J124" i="12"/>
  <c r="O62" i="17"/>
  <c r="I124" i="12"/>
  <c r="L124" i="12"/>
  <c r="G75" i="12" a="1"/>
  <c r="M124" i="12"/>
  <c r="P74" i="22"/>
  <c r="P62" i="17"/>
  <c r="BD108" i="21" l="1"/>
  <c r="BD103" i="21"/>
  <c r="BD105" i="21"/>
  <c r="BD99" i="21"/>
  <c r="BD109" i="21"/>
  <c r="BD104" i="21"/>
  <c r="K63" i="17"/>
  <c r="CW83" i="2"/>
  <c r="CW87" i="2"/>
  <c r="CW86" i="2"/>
  <c r="CW82" i="2"/>
  <c r="CW85" i="2"/>
  <c r="CW81" i="2"/>
  <c r="CW89" i="2"/>
  <c r="CW80" i="2"/>
  <c r="CW84" i="2"/>
  <c r="CW88" i="2"/>
  <c r="CW79" i="2"/>
  <c r="CW77" i="2"/>
  <c r="CW76" i="2"/>
  <c r="CW75" i="2"/>
  <c r="CW74" i="2"/>
  <c r="CW73" i="2"/>
  <c r="CW78" i="2"/>
  <c r="CW72" i="2"/>
  <c r="R124" i="12"/>
  <c r="T124" i="12"/>
  <c r="S124" i="12"/>
  <c r="CU108" i="2"/>
  <c r="G75" i="12"/>
  <c r="AW95" i="2"/>
  <c r="AW43" i="2"/>
  <c r="AW69" i="2"/>
  <c r="AX96" i="2"/>
  <c r="AX70" i="2"/>
  <c r="AX3" i="2"/>
  <c r="AX8" i="2"/>
  <c r="AY9" i="2"/>
  <c r="AX44" i="2"/>
  <c r="AY96" i="18"/>
  <c r="AY8" i="18"/>
  <c r="AZ9" i="18"/>
  <c r="AY44" i="18"/>
  <c r="AY70" i="18"/>
  <c r="AX69" i="18"/>
  <c r="AX95" i="18"/>
  <c r="AX43" i="18"/>
  <c r="CU109" i="2"/>
  <c r="CV99" i="2"/>
  <c r="CV91" i="2"/>
  <c r="CT110" i="2"/>
  <c r="CW92" i="2"/>
  <c r="CW90" i="2"/>
  <c r="CX6" i="2"/>
  <c r="CV101" i="2"/>
  <c r="CV103" i="2"/>
  <c r="CV100" i="2"/>
  <c r="CV102" i="2"/>
  <c r="CV104" i="2"/>
  <c r="CU105" i="2"/>
  <c r="CU107" i="2"/>
  <c r="I125" i="12"/>
  <c r="C127" i="12"/>
  <c r="K125" i="12"/>
  <c r="P75" i="22"/>
  <c r="M125" i="12"/>
  <c r="N125" i="12"/>
  <c r="G76" i="12" a="1"/>
  <c r="L125" i="12"/>
  <c r="P124" i="12"/>
  <c r="O75" i="22"/>
  <c r="P63" i="17"/>
  <c r="O63" i="17"/>
  <c r="J125" i="12"/>
  <c r="BD110" i="21" l="1"/>
  <c r="BD107" i="21"/>
  <c r="K64" i="17"/>
  <c r="CX87" i="2"/>
  <c r="CX86" i="2"/>
  <c r="CX82" i="2"/>
  <c r="CX85" i="2"/>
  <c r="CX81" i="2"/>
  <c r="CX89" i="2"/>
  <c r="CX80" i="2"/>
  <c r="CX84" i="2"/>
  <c r="CX88" i="2"/>
  <c r="CX83" i="2"/>
  <c r="CX77" i="2"/>
  <c r="CX75" i="2"/>
  <c r="CX74" i="2"/>
  <c r="CX73" i="2"/>
  <c r="CX78" i="2"/>
  <c r="CX79" i="2"/>
  <c r="CX72" i="2"/>
  <c r="CX76" i="2"/>
  <c r="R125" i="12"/>
  <c r="S125" i="12"/>
  <c r="T125" i="12"/>
  <c r="CV108" i="2"/>
  <c r="G76" i="12"/>
  <c r="AY96" i="2"/>
  <c r="AY70" i="2"/>
  <c r="AY8" i="2"/>
  <c r="AY44" i="2"/>
  <c r="AZ9" i="2"/>
  <c r="AY3" i="2"/>
  <c r="AX95" i="2"/>
  <c r="AX69" i="2"/>
  <c r="AX43" i="2"/>
  <c r="AY95" i="18"/>
  <c r="AY43" i="18"/>
  <c r="AY69" i="18"/>
  <c r="AZ96" i="18"/>
  <c r="AZ70" i="18"/>
  <c r="AZ8" i="18"/>
  <c r="BA9" i="18"/>
  <c r="AZ44" i="18"/>
  <c r="CW99" i="2"/>
  <c r="CU110" i="2"/>
  <c r="CX92" i="2"/>
  <c r="CX90" i="2"/>
  <c r="CY6" i="2"/>
  <c r="CW101" i="2"/>
  <c r="CW100" i="2"/>
  <c r="CW103" i="2"/>
  <c r="CW102" i="2"/>
  <c r="CV109" i="2"/>
  <c r="CW104" i="2"/>
  <c r="CV107" i="2"/>
  <c r="CV105" i="2"/>
  <c r="CW91" i="2"/>
  <c r="J126" i="12"/>
  <c r="O64" i="17"/>
  <c r="I126" i="12"/>
  <c r="M126" i="12"/>
  <c r="P125" i="12"/>
  <c r="N126" i="12"/>
  <c r="P64" i="17"/>
  <c r="C128" i="12"/>
  <c r="K126" i="12"/>
  <c r="G77" i="12" a="1"/>
  <c r="L126" i="12"/>
  <c r="K65" i="17" l="1"/>
  <c r="CY86" i="2"/>
  <c r="CY82" i="2"/>
  <c r="CY85" i="2"/>
  <c r="CY81" i="2"/>
  <c r="CY89" i="2"/>
  <c r="CY80" i="2"/>
  <c r="CY84" i="2"/>
  <c r="CY88" i="2"/>
  <c r="CY79" i="2"/>
  <c r="CY83" i="2"/>
  <c r="CY87" i="2"/>
  <c r="CY75" i="2"/>
  <c r="CY74" i="2"/>
  <c r="CY73" i="2"/>
  <c r="CY72" i="2"/>
  <c r="CY77" i="2"/>
  <c r="CY78" i="2"/>
  <c r="CY76" i="2"/>
  <c r="S126" i="12"/>
  <c r="T126" i="12"/>
  <c r="R126" i="12"/>
  <c r="CW108" i="2"/>
  <c r="G77" i="12"/>
  <c r="AZ96" i="2"/>
  <c r="AZ70" i="2"/>
  <c r="AZ44" i="2"/>
  <c r="BA9" i="2"/>
  <c r="AZ3" i="2"/>
  <c r="AZ8" i="2"/>
  <c r="BA96" i="18"/>
  <c r="BA70" i="18"/>
  <c r="BA8" i="18"/>
  <c r="BB9" i="18"/>
  <c r="BA44" i="18"/>
  <c r="AZ95" i="18"/>
  <c r="AZ69" i="18"/>
  <c r="AZ43" i="18"/>
  <c r="AY95" i="2"/>
  <c r="AY69" i="2"/>
  <c r="AY43" i="2"/>
  <c r="CX104" i="2"/>
  <c r="CX91" i="2"/>
  <c r="CX99" i="2"/>
  <c r="CY92" i="2"/>
  <c r="CY90" i="2"/>
  <c r="CZ6" i="2"/>
  <c r="CW109" i="2"/>
  <c r="CX100" i="2"/>
  <c r="CX101" i="2"/>
  <c r="CX103" i="2"/>
  <c r="CV110" i="2"/>
  <c r="CW107" i="2"/>
  <c r="CX102" i="2"/>
  <c r="CW105" i="2"/>
  <c r="N127" i="12"/>
  <c r="L127" i="12"/>
  <c r="K127" i="12"/>
  <c r="I127" i="12"/>
  <c r="M127" i="12"/>
  <c r="G78" i="12" a="1"/>
  <c r="P65" i="17"/>
  <c r="P126" i="12"/>
  <c r="C129" i="12"/>
  <c r="O65" i="17"/>
  <c r="J127" i="12"/>
  <c r="K66" i="17" l="1"/>
  <c r="CZ86" i="2"/>
  <c r="CZ82" i="2"/>
  <c r="CZ85" i="2"/>
  <c r="CZ81" i="2"/>
  <c r="CZ89" i="2"/>
  <c r="CZ80" i="2"/>
  <c r="CZ84" i="2"/>
  <c r="CZ88" i="2"/>
  <c r="CZ79" i="2"/>
  <c r="CZ83" i="2"/>
  <c r="CZ87" i="2"/>
  <c r="CZ76" i="2"/>
  <c r="CZ75" i="2"/>
  <c r="CZ74" i="2"/>
  <c r="CZ73" i="2"/>
  <c r="CZ78" i="2"/>
  <c r="CZ72" i="2"/>
  <c r="CZ77" i="2"/>
  <c r="L8" i="12"/>
  <c r="L20" i="12" s="1"/>
  <c r="J8" i="12"/>
  <c r="J20" i="12" s="1"/>
  <c r="K8" i="12"/>
  <c r="K20" i="12" s="1"/>
  <c r="M8" i="12"/>
  <c r="M20" i="12" s="1"/>
  <c r="N8" i="12"/>
  <c r="N20" i="12" s="1"/>
  <c r="I8" i="12"/>
  <c r="I20" i="12" s="1"/>
  <c r="S127" i="12"/>
  <c r="S8" i="12" s="1"/>
  <c r="W8" i="12" s="1"/>
  <c r="T127" i="12"/>
  <c r="T8" i="12" s="1"/>
  <c r="X8" i="12" s="1"/>
  <c r="R127" i="12"/>
  <c r="R8" i="12" s="1"/>
  <c r="V8" i="12" s="1"/>
  <c r="CX108" i="2"/>
  <c r="CX107" i="2"/>
  <c r="G78" i="12"/>
  <c r="AZ95" i="2"/>
  <c r="AZ69" i="2"/>
  <c r="AZ43" i="2"/>
  <c r="BA96" i="2"/>
  <c r="BA70" i="2"/>
  <c r="BA44" i="2"/>
  <c r="BB9" i="2"/>
  <c r="BA3" i="2"/>
  <c r="BA8" i="2"/>
  <c r="BA95" i="18"/>
  <c r="BA69" i="18"/>
  <c r="BA43" i="18"/>
  <c r="BB96" i="18"/>
  <c r="BC9" i="18"/>
  <c r="BB44" i="18"/>
  <c r="BB70" i="18"/>
  <c r="BB8" i="18"/>
  <c r="CZ92" i="2"/>
  <c r="CZ90" i="2"/>
  <c r="DA6" i="2"/>
  <c r="CY104" i="2"/>
  <c r="CY100" i="2"/>
  <c r="CY91" i="2"/>
  <c r="CY99" i="2"/>
  <c r="CW110" i="2"/>
  <c r="CY101" i="2"/>
  <c r="CY103" i="2"/>
  <c r="CX105" i="2"/>
  <c r="CY102" i="2"/>
  <c r="CX109" i="2"/>
  <c r="I128" i="12"/>
  <c r="L128" i="12"/>
  <c r="K128" i="12"/>
  <c r="J128" i="12"/>
  <c r="O66" i="17"/>
  <c r="G79" i="12" a="1"/>
  <c r="C130" i="12"/>
  <c r="P66" i="17"/>
  <c r="N128" i="12"/>
  <c r="P127" i="12"/>
  <c r="M128" i="12"/>
  <c r="K67" i="17" l="1"/>
  <c r="DA85" i="2"/>
  <c r="DA81" i="2"/>
  <c r="DA89" i="2"/>
  <c r="DA80" i="2"/>
  <c r="DA84" i="2"/>
  <c r="DA88" i="2"/>
  <c r="DA79" i="2"/>
  <c r="DA83" i="2"/>
  <c r="DA87" i="2"/>
  <c r="DA86" i="2"/>
  <c r="DA82" i="2"/>
  <c r="DA75" i="2"/>
  <c r="DA74" i="2"/>
  <c r="DA73" i="2"/>
  <c r="DA78" i="2"/>
  <c r="DA72" i="2"/>
  <c r="DA77" i="2"/>
  <c r="DA76" i="2"/>
  <c r="R20" i="12"/>
  <c r="V20" i="12" s="1"/>
  <c r="S20" i="12"/>
  <c r="W20" i="12" s="1"/>
  <c r="T20" i="12"/>
  <c r="X20" i="12" s="1"/>
  <c r="T128" i="12"/>
  <c r="R128" i="12"/>
  <c r="S128" i="12"/>
  <c r="P8" i="12"/>
  <c r="P20" i="12" s="1"/>
  <c r="CY108" i="2"/>
  <c r="G79" i="12"/>
  <c r="BB96" i="2"/>
  <c r="BB44" i="2"/>
  <c r="BB70" i="2"/>
  <c r="BC9" i="2"/>
  <c r="BB3" i="2"/>
  <c r="BB8" i="2"/>
  <c r="BA95" i="2"/>
  <c r="BA69" i="2"/>
  <c r="BA43" i="2"/>
  <c r="BB95" i="18"/>
  <c r="BB69" i="18"/>
  <c r="BB43" i="18"/>
  <c r="BC96" i="18"/>
  <c r="BD9" i="18"/>
  <c r="BC44" i="18"/>
  <c r="BC70" i="18"/>
  <c r="BC8" i="18"/>
  <c r="CZ103" i="2"/>
  <c r="CY105" i="2"/>
  <c r="CY109" i="2"/>
  <c r="DA92" i="2"/>
  <c r="DA90" i="2"/>
  <c r="DB6" i="2"/>
  <c r="CZ102" i="2"/>
  <c r="CZ100" i="2"/>
  <c r="CZ104" i="2"/>
  <c r="CZ91" i="2"/>
  <c r="CZ99" i="2"/>
  <c r="CX110" i="2"/>
  <c r="CY107" i="2"/>
  <c r="CZ101" i="2"/>
  <c r="N129" i="12"/>
  <c r="I129" i="12"/>
  <c r="L129" i="12"/>
  <c r="P128" i="12"/>
  <c r="C131" i="12"/>
  <c r="K129" i="12"/>
  <c r="G80" i="12" a="1"/>
  <c r="O67" i="17"/>
  <c r="J129" i="12"/>
  <c r="P67" i="17"/>
  <c r="M129" i="12"/>
  <c r="K68" i="17" l="1"/>
  <c r="R129" i="12"/>
  <c r="T129" i="12"/>
  <c r="S129" i="12"/>
  <c r="CZ108" i="2"/>
  <c r="G80" i="12"/>
  <c r="BB95" i="2"/>
  <c r="BB69" i="2"/>
  <c r="BB43" i="2"/>
  <c r="BC95" i="18"/>
  <c r="BC69" i="18"/>
  <c r="BC43" i="18"/>
  <c r="BC96" i="2"/>
  <c r="BC70" i="2"/>
  <c r="BC44" i="2"/>
  <c r="BD9" i="2"/>
  <c r="BC3" i="2"/>
  <c r="BC8" i="2"/>
  <c r="BD96" i="18"/>
  <c r="BD70" i="18"/>
  <c r="BD45" i="18"/>
  <c r="BE9" i="18"/>
  <c r="BD8" i="18"/>
  <c r="DB86" i="2"/>
  <c r="DB81" i="2"/>
  <c r="DB82" i="2"/>
  <c r="DB78" i="2"/>
  <c r="DB87" i="2"/>
  <c r="DB90" i="2"/>
  <c r="DB88" i="2"/>
  <c r="DB83" i="2"/>
  <c r="DB79" i="2"/>
  <c r="DB89" i="2"/>
  <c r="DB84" i="2"/>
  <c r="DB85" i="2"/>
  <c r="DB80" i="2"/>
  <c r="DB92" i="2"/>
  <c r="DB75" i="2"/>
  <c r="DB76" i="2"/>
  <c r="DB72" i="2"/>
  <c r="DB77" i="2"/>
  <c r="DB73" i="2"/>
  <c r="DC6" i="2"/>
  <c r="DB74" i="2"/>
  <c r="DA102" i="2"/>
  <c r="DA104" i="2"/>
  <c r="DA91" i="2"/>
  <c r="DA99" i="2"/>
  <c r="DA101" i="2"/>
  <c r="CY110" i="2"/>
  <c r="DA103" i="2"/>
  <c r="DA100" i="2"/>
  <c r="CZ109" i="2"/>
  <c r="CZ107" i="2"/>
  <c r="CZ105" i="2"/>
  <c r="P68" i="17"/>
  <c r="L130" i="12"/>
  <c r="C132" i="12"/>
  <c r="M130" i="12"/>
  <c r="I130" i="12"/>
  <c r="P129" i="12"/>
  <c r="K130" i="12"/>
  <c r="N130" i="12"/>
  <c r="O68" i="17"/>
  <c r="G81" i="12" a="1"/>
  <c r="J130" i="12"/>
  <c r="K69" i="17" l="1"/>
  <c r="R130" i="12"/>
  <c r="I16" i="12"/>
  <c r="I17" i="12" s="1"/>
  <c r="K16" i="12"/>
  <c r="N16" i="12"/>
  <c r="S130" i="12"/>
  <c r="S5" i="12" s="1"/>
  <c r="L16" i="12"/>
  <c r="L17" i="12" s="1"/>
  <c r="T130" i="12"/>
  <c r="T5" i="12" s="1"/>
  <c r="M16" i="12"/>
  <c r="DA108" i="2"/>
  <c r="G81" i="12"/>
  <c r="BD95" i="18"/>
  <c r="BD69" i="18"/>
  <c r="BD44" i="18"/>
  <c r="BE96" i="18"/>
  <c r="BF9" i="18"/>
  <c r="BE70" i="18"/>
  <c r="BE8" i="18"/>
  <c r="BE45" i="18"/>
  <c r="BD96" i="2"/>
  <c r="BD45" i="2"/>
  <c r="BE9" i="2"/>
  <c r="BD3" i="2"/>
  <c r="BD70" i="2"/>
  <c r="BD8" i="2"/>
  <c r="BC95" i="2"/>
  <c r="BC69" i="2"/>
  <c r="BC43" i="2"/>
  <c r="DB103" i="2"/>
  <c r="DA109" i="2"/>
  <c r="DC82" i="2"/>
  <c r="DC78" i="2"/>
  <c r="DC87" i="2"/>
  <c r="DC90" i="2"/>
  <c r="DC88" i="2"/>
  <c r="DC83" i="2"/>
  <c r="DC89" i="2"/>
  <c r="DC84" i="2"/>
  <c r="DC85" i="2"/>
  <c r="DC80" i="2"/>
  <c r="DC92" i="2"/>
  <c r="DC86" i="2"/>
  <c r="DC81" i="2"/>
  <c r="DC75" i="2"/>
  <c r="DC76" i="2"/>
  <c r="DC72" i="2"/>
  <c r="DC79" i="2"/>
  <c r="DC77" i="2"/>
  <c r="DC73" i="2"/>
  <c r="DD6" i="2"/>
  <c r="DC74" i="2"/>
  <c r="DB102" i="2"/>
  <c r="DB104" i="2"/>
  <c r="DB100" i="2"/>
  <c r="DB99" i="2"/>
  <c r="DB91" i="2"/>
  <c r="CZ110" i="2"/>
  <c r="DA107" i="2"/>
  <c r="DA105" i="2"/>
  <c r="DB101" i="2"/>
  <c r="J131" i="12"/>
  <c r="L131" i="12"/>
  <c r="O69" i="17"/>
  <c r="G82" i="12" a="1"/>
  <c r="K131" i="12"/>
  <c r="P130" i="12"/>
  <c r="M131" i="12"/>
  <c r="P69" i="17"/>
  <c r="C133" i="12"/>
  <c r="N131" i="12"/>
  <c r="I131" i="12"/>
  <c r="K70" i="17" l="1"/>
  <c r="T131" i="12"/>
  <c r="R131" i="12"/>
  <c r="S131" i="12"/>
  <c r="DB108" i="2"/>
  <c r="T16" i="12"/>
  <c r="M17" i="12"/>
  <c r="W5" i="12"/>
  <c r="S15" i="12"/>
  <c r="W15" i="12" s="1"/>
  <c r="T15" i="12"/>
  <c r="X15" i="12" s="1"/>
  <c r="X5" i="12"/>
  <c r="K17" i="12"/>
  <c r="S16" i="12"/>
  <c r="G82" i="12"/>
  <c r="BE96" i="2"/>
  <c r="BE45" i="2"/>
  <c r="BF9" i="2"/>
  <c r="BE3" i="2"/>
  <c r="BE70" i="2"/>
  <c r="BE8" i="2"/>
  <c r="BE95" i="18"/>
  <c r="BE69" i="18"/>
  <c r="BE44" i="18"/>
  <c r="BF96" i="18"/>
  <c r="BG9" i="18"/>
  <c r="BF70" i="18"/>
  <c r="BF8" i="18"/>
  <c r="BF45" i="18"/>
  <c r="BD95" i="2"/>
  <c r="BD44" i="2"/>
  <c r="BD69" i="2"/>
  <c r="DC101" i="2"/>
  <c r="DC103" i="2"/>
  <c r="DD82" i="2"/>
  <c r="DD78" i="2"/>
  <c r="DD87" i="2"/>
  <c r="DD90" i="2"/>
  <c r="DD88" i="2"/>
  <c r="DD83" i="2"/>
  <c r="DD79" i="2"/>
  <c r="DD89" i="2"/>
  <c r="DD84" i="2"/>
  <c r="DD85" i="2"/>
  <c r="DD80" i="2"/>
  <c r="DD92" i="2"/>
  <c r="DD86" i="2"/>
  <c r="DD81" i="2"/>
  <c r="DD75" i="2"/>
  <c r="DD76" i="2"/>
  <c r="DD72" i="2"/>
  <c r="DD77" i="2"/>
  <c r="DD73" i="2"/>
  <c r="DE6" i="2"/>
  <c r="DD74" i="2"/>
  <c r="DC100" i="2"/>
  <c r="DC102" i="2"/>
  <c r="DC104" i="2"/>
  <c r="DC91" i="2"/>
  <c r="DC99" i="2"/>
  <c r="DB107" i="2"/>
  <c r="DB105" i="2"/>
  <c r="DA110" i="2"/>
  <c r="DB109" i="2"/>
  <c r="J132" i="12"/>
  <c r="C134" i="12"/>
  <c r="N132" i="12"/>
  <c r="M132" i="12"/>
  <c r="L132" i="12"/>
  <c r="K132" i="12"/>
  <c r="O70" i="17"/>
  <c r="P70" i="17"/>
  <c r="P131" i="12"/>
  <c r="I132" i="12"/>
  <c r="G83" i="12" a="1"/>
  <c r="K71" i="17" l="1"/>
  <c r="T132" i="12"/>
  <c r="R132" i="12"/>
  <c r="S132" i="12"/>
  <c r="DC108" i="2"/>
  <c r="G83" i="12"/>
  <c r="BG96" i="18"/>
  <c r="BH9" i="18"/>
  <c r="BG70" i="18"/>
  <c r="BG8" i="18"/>
  <c r="BG45" i="18"/>
  <c r="BE95" i="2"/>
  <c r="BE44" i="2"/>
  <c r="BE69" i="2"/>
  <c r="BF96" i="2"/>
  <c r="BF70" i="2"/>
  <c r="BF45" i="2"/>
  <c r="BG9" i="2"/>
  <c r="BF3" i="2"/>
  <c r="BF8" i="2"/>
  <c r="BF95" i="18"/>
  <c r="BF69" i="18"/>
  <c r="BF44" i="18"/>
  <c r="DD103" i="2"/>
  <c r="DE87" i="2"/>
  <c r="DE90" i="2"/>
  <c r="DE88" i="2"/>
  <c r="DE83" i="2"/>
  <c r="DE79" i="2"/>
  <c r="DE89" i="2"/>
  <c r="DE84" i="2"/>
  <c r="DE85" i="2"/>
  <c r="DE80" i="2"/>
  <c r="DE92" i="2"/>
  <c r="DE86" i="2"/>
  <c r="DE81" i="2"/>
  <c r="DE82" i="2"/>
  <c r="DE76" i="2"/>
  <c r="DE72" i="2"/>
  <c r="DE77" i="2"/>
  <c r="DE73" i="2"/>
  <c r="DF6" i="2"/>
  <c r="DE74" i="2"/>
  <c r="DE78" i="2"/>
  <c r="DE75" i="2"/>
  <c r="DD100" i="2"/>
  <c r="DD102" i="2"/>
  <c r="DD99" i="2"/>
  <c r="DD91" i="2"/>
  <c r="DD104" i="2"/>
  <c r="DB110" i="2"/>
  <c r="DC107" i="2"/>
  <c r="DC105" i="2"/>
  <c r="DC109" i="2"/>
  <c r="DD101" i="2"/>
  <c r="L133" i="12"/>
  <c r="M133" i="12"/>
  <c r="I133" i="12"/>
  <c r="P71" i="17"/>
  <c r="G84" i="12" a="1"/>
  <c r="J133" i="12"/>
  <c r="K133" i="12"/>
  <c r="N133" i="12"/>
  <c r="O71" i="17"/>
  <c r="P132" i="12"/>
  <c r="C135" i="12"/>
  <c r="K72" i="17" l="1"/>
  <c r="R133" i="12"/>
  <c r="S133" i="12"/>
  <c r="T133" i="12"/>
  <c r="DD108" i="2"/>
  <c r="G84" i="12"/>
  <c r="BG95" i="18"/>
  <c r="BG69" i="18"/>
  <c r="BG44" i="18"/>
  <c r="BF95" i="2"/>
  <c r="BF44" i="2"/>
  <c r="BF69" i="2"/>
  <c r="BH96" i="18"/>
  <c r="BI9" i="18"/>
  <c r="BH70" i="18"/>
  <c r="BH8" i="18"/>
  <c r="BH45" i="18"/>
  <c r="BG96" i="2"/>
  <c r="BG70" i="2"/>
  <c r="BG45" i="2"/>
  <c r="BH9" i="2"/>
  <c r="BG3" i="2"/>
  <c r="BG8" i="2"/>
  <c r="DC110" i="2"/>
  <c r="DE101" i="2"/>
  <c r="DE103" i="2"/>
  <c r="DF90" i="2"/>
  <c r="DF88" i="2"/>
  <c r="DF83" i="2"/>
  <c r="DF79" i="2"/>
  <c r="DF89" i="2"/>
  <c r="DF84" i="2"/>
  <c r="DF85" i="2"/>
  <c r="DF80" i="2"/>
  <c r="DF92" i="2"/>
  <c r="DF86" i="2"/>
  <c r="DF81" i="2"/>
  <c r="DF82" i="2"/>
  <c r="DF78" i="2"/>
  <c r="DF87" i="2"/>
  <c r="DF76" i="2"/>
  <c r="DF72" i="2"/>
  <c r="DF77" i="2"/>
  <c r="DF73" i="2"/>
  <c r="DG6" i="2"/>
  <c r="DF74" i="2"/>
  <c r="DF75" i="2"/>
  <c r="DE100" i="2"/>
  <c r="DE102" i="2"/>
  <c r="DE99" i="2"/>
  <c r="DE91" i="2"/>
  <c r="DE104" i="2"/>
  <c r="DD109" i="2"/>
  <c r="DD107" i="2"/>
  <c r="DD105" i="2"/>
  <c r="K134" i="12"/>
  <c r="L134" i="12"/>
  <c r="O72" i="17"/>
  <c r="G85" i="12" a="1"/>
  <c r="N134" i="12"/>
  <c r="J134" i="12"/>
  <c r="P133" i="12"/>
  <c r="M134" i="12"/>
  <c r="C136" i="12"/>
  <c r="I134" i="12"/>
  <c r="P72" i="17"/>
  <c r="K73" i="17" l="1"/>
  <c r="S134" i="12"/>
  <c r="R134" i="12"/>
  <c r="T134" i="12"/>
  <c r="DE108" i="2"/>
  <c r="G85" i="12"/>
  <c r="BI96" i="18"/>
  <c r="BI70" i="18"/>
  <c r="BI8" i="18"/>
  <c r="BI45" i="18"/>
  <c r="BJ9" i="18"/>
  <c r="BG69" i="2"/>
  <c r="BG95" i="2"/>
  <c r="BG44" i="2"/>
  <c r="BH95" i="18"/>
  <c r="BH44" i="18"/>
  <c r="BH69" i="18"/>
  <c r="BH96" i="2"/>
  <c r="BH70" i="2"/>
  <c r="BH8" i="2"/>
  <c r="BH3" i="2"/>
  <c r="BH45" i="2"/>
  <c r="BI9" i="2"/>
  <c r="DF101" i="2"/>
  <c r="DG88" i="2"/>
  <c r="DG83" i="2"/>
  <c r="DG79" i="2"/>
  <c r="DG89" i="2"/>
  <c r="DG84" i="2"/>
  <c r="DG85" i="2"/>
  <c r="DG80" i="2"/>
  <c r="DG92" i="2"/>
  <c r="DG86" i="2"/>
  <c r="DG81" i="2"/>
  <c r="DG82" i="2"/>
  <c r="DG78" i="2"/>
  <c r="DG87" i="2"/>
  <c r="DG90" i="2"/>
  <c r="DG76" i="2"/>
  <c r="DG72" i="2"/>
  <c r="DG77" i="2"/>
  <c r="DG73" i="2"/>
  <c r="DH6" i="2"/>
  <c r="DG74" i="2"/>
  <c r="DG75" i="2"/>
  <c r="DF103" i="2"/>
  <c r="DF100" i="2"/>
  <c r="DF99" i="2"/>
  <c r="DF91" i="2"/>
  <c r="DF102" i="2"/>
  <c r="DF104" i="2"/>
  <c r="DE109" i="2"/>
  <c r="DD110" i="2"/>
  <c r="DE107" i="2"/>
  <c r="DE105" i="2"/>
  <c r="K135" i="12"/>
  <c r="C137" i="12"/>
  <c r="O73" i="17"/>
  <c r="M135" i="12"/>
  <c r="J135" i="12"/>
  <c r="P134" i="12"/>
  <c r="I135" i="12"/>
  <c r="G86" i="12" a="1"/>
  <c r="L135" i="12"/>
  <c r="N135" i="12"/>
  <c r="P73" i="17"/>
  <c r="K74" i="17" l="1"/>
  <c r="S135" i="12"/>
  <c r="R135" i="12"/>
  <c r="T135" i="12"/>
  <c r="DF108" i="2"/>
  <c r="G86" i="12"/>
  <c r="BI96" i="2"/>
  <c r="BI45" i="2"/>
  <c r="BI70" i="2"/>
  <c r="BI3" i="2"/>
  <c r="BJ9" i="2"/>
  <c r="BI8" i="2"/>
  <c r="BJ96" i="18"/>
  <c r="BJ70" i="18"/>
  <c r="BJ8" i="18"/>
  <c r="BJ45" i="18"/>
  <c r="BK9" i="18"/>
  <c r="BI95" i="18"/>
  <c r="BI44" i="18"/>
  <c r="BI69" i="18"/>
  <c r="BH69" i="2"/>
  <c r="BH95" i="2"/>
  <c r="BH44" i="2"/>
  <c r="DF109" i="2"/>
  <c r="DH79" i="2"/>
  <c r="DH89" i="2"/>
  <c r="DH84" i="2"/>
  <c r="DH85" i="2"/>
  <c r="DH80" i="2"/>
  <c r="DH92" i="2"/>
  <c r="DH86" i="2"/>
  <c r="DH81" i="2"/>
  <c r="DH82" i="2"/>
  <c r="DH78" i="2"/>
  <c r="DH87" i="2"/>
  <c r="DH90" i="2"/>
  <c r="DH88" i="2"/>
  <c r="DH83" i="2"/>
  <c r="DH77" i="2"/>
  <c r="DH73" i="2"/>
  <c r="DI6" i="2"/>
  <c r="DH74" i="2"/>
  <c r="DH75" i="2"/>
  <c r="DH76" i="2"/>
  <c r="DH72" i="2"/>
  <c r="DG101" i="2"/>
  <c r="DG103" i="2"/>
  <c r="DG100" i="2"/>
  <c r="DG91" i="2"/>
  <c r="DG99" i="2"/>
  <c r="DE110" i="2"/>
  <c r="DG102" i="2"/>
  <c r="DG104" i="2"/>
  <c r="DF107" i="2"/>
  <c r="DF105" i="2"/>
  <c r="P135" i="12"/>
  <c r="N136" i="12"/>
  <c r="K136" i="12"/>
  <c r="C138" i="12"/>
  <c r="G87" i="12" a="1"/>
  <c r="O74" i="17"/>
  <c r="M136" i="12"/>
  <c r="L136" i="12"/>
  <c r="I136" i="12"/>
  <c r="P74" i="17"/>
  <c r="J136" i="12"/>
  <c r="K75" i="17" l="1"/>
  <c r="T136" i="12"/>
  <c r="S136" i="12"/>
  <c r="R136" i="12"/>
  <c r="DG108" i="2"/>
  <c r="G87" i="12"/>
  <c r="BK96" i="18"/>
  <c r="BK70" i="18"/>
  <c r="BK8" i="18"/>
  <c r="BK45" i="18"/>
  <c r="BL9" i="18"/>
  <c r="BI95" i="2"/>
  <c r="BI44" i="2"/>
  <c r="BI69" i="2"/>
  <c r="BJ96" i="2"/>
  <c r="BJ70" i="2"/>
  <c r="BJ8" i="2"/>
  <c r="BJ3" i="2"/>
  <c r="BK9" i="2"/>
  <c r="BJ45" i="2"/>
  <c r="BJ69" i="18"/>
  <c r="BJ95" i="18"/>
  <c r="BJ44" i="18"/>
  <c r="DH99" i="2"/>
  <c r="DH91" i="2"/>
  <c r="DF110" i="2"/>
  <c r="DG109" i="2"/>
  <c r="DI89" i="2"/>
  <c r="DI84" i="2"/>
  <c r="DI85" i="2"/>
  <c r="DI80" i="2"/>
  <c r="DI92" i="2"/>
  <c r="DI86" i="2"/>
  <c r="DI81" i="2"/>
  <c r="DI82" i="2"/>
  <c r="DI87" i="2"/>
  <c r="DI90" i="2"/>
  <c r="DI88" i="2"/>
  <c r="DI83" i="2"/>
  <c r="DI79" i="2"/>
  <c r="DI77" i="2"/>
  <c r="DI73" i="2"/>
  <c r="DJ6" i="2"/>
  <c r="DI74" i="2"/>
  <c r="DI75" i="2"/>
  <c r="DI78" i="2"/>
  <c r="DI76" i="2"/>
  <c r="DI72" i="2"/>
  <c r="DH101" i="2"/>
  <c r="DH103" i="2"/>
  <c r="DH100" i="2"/>
  <c r="DH102" i="2"/>
  <c r="DH104" i="2"/>
  <c r="DG105" i="2"/>
  <c r="DG107" i="2"/>
  <c r="G88" i="12" a="1"/>
  <c r="M137" i="12"/>
  <c r="I137" i="12"/>
  <c r="J137" i="12"/>
  <c r="L137" i="12"/>
  <c r="P136" i="12"/>
  <c r="P75" i="17"/>
  <c r="K137" i="12"/>
  <c r="N137" i="12"/>
  <c r="O75" i="17"/>
  <c r="K76" i="17" l="1"/>
  <c r="R137" i="12"/>
  <c r="S137" i="12"/>
  <c r="T137" i="12"/>
  <c r="DH108" i="2"/>
  <c r="G88" i="12"/>
  <c r="BL96" i="18"/>
  <c r="BL70" i="18"/>
  <c r="BL8" i="18"/>
  <c r="BL45" i="18"/>
  <c r="BM9" i="18"/>
  <c r="BJ69" i="2"/>
  <c r="BJ95" i="2"/>
  <c r="BJ44" i="2"/>
  <c r="BK95" i="18"/>
  <c r="BK69" i="18"/>
  <c r="BK44" i="18"/>
  <c r="BK96" i="2"/>
  <c r="BK70" i="2"/>
  <c r="BK45" i="2"/>
  <c r="BK8" i="2"/>
  <c r="BL9" i="2"/>
  <c r="BK3" i="2"/>
  <c r="DI99" i="2"/>
  <c r="DG110" i="2"/>
  <c r="DJ85" i="2"/>
  <c r="DJ80" i="2"/>
  <c r="DJ92" i="2"/>
  <c r="DJ86" i="2"/>
  <c r="DJ81" i="2"/>
  <c r="DJ82" i="2"/>
  <c r="DJ78" i="2"/>
  <c r="DJ87" i="2"/>
  <c r="DJ90" i="2"/>
  <c r="DJ88" i="2"/>
  <c r="DJ83" i="2"/>
  <c r="DJ79" i="2"/>
  <c r="DJ89" i="2"/>
  <c r="DJ84" i="2"/>
  <c r="DJ77" i="2"/>
  <c r="DJ73" i="2"/>
  <c r="DK6" i="2"/>
  <c r="DJ74" i="2"/>
  <c r="DJ75" i="2"/>
  <c r="DJ76" i="2"/>
  <c r="DJ72" i="2"/>
  <c r="DI101" i="2"/>
  <c r="DI103" i="2"/>
  <c r="DI100" i="2"/>
  <c r="DH109" i="2"/>
  <c r="DI102" i="2"/>
  <c r="DI104" i="2"/>
  <c r="DI91" i="2"/>
  <c r="DH105" i="2"/>
  <c r="DH107" i="2"/>
  <c r="G89" i="12" a="1"/>
  <c r="I138" i="12"/>
  <c r="L138" i="12"/>
  <c r="N138" i="12"/>
  <c r="J138" i="12"/>
  <c r="P137" i="12"/>
  <c r="O76" i="17"/>
  <c r="M138" i="12"/>
  <c r="P76" i="17"/>
  <c r="K138" i="12"/>
  <c r="K77" i="17" l="1"/>
  <c r="J10" i="12"/>
  <c r="J21" i="12" s="1"/>
  <c r="J12" i="12"/>
  <c r="J22" i="12" s="1"/>
  <c r="K5" i="12"/>
  <c r="K10" i="12"/>
  <c r="K21" i="12" s="1"/>
  <c r="K12" i="12"/>
  <c r="K22" i="12" s="1"/>
  <c r="M5" i="12"/>
  <c r="M10" i="12"/>
  <c r="M21" i="12" s="1"/>
  <c r="M12" i="12"/>
  <c r="M22" i="12" s="1"/>
  <c r="N5" i="12"/>
  <c r="N10" i="12"/>
  <c r="N21" i="12" s="1"/>
  <c r="N12" i="12"/>
  <c r="N22" i="12" s="1"/>
  <c r="L5" i="12"/>
  <c r="L10" i="12"/>
  <c r="L21" i="12" s="1"/>
  <c r="L12" i="12"/>
  <c r="L22" i="12" s="1"/>
  <c r="I10" i="12"/>
  <c r="I21" i="12" s="1"/>
  <c r="I12" i="12"/>
  <c r="I22" i="12" s="1"/>
  <c r="I5" i="12"/>
  <c r="R138" i="12"/>
  <c r="T138" i="12"/>
  <c r="S138" i="12"/>
  <c r="DI108" i="2"/>
  <c r="G89" i="12"/>
  <c r="BM96" i="18"/>
  <c r="BM70" i="18"/>
  <c r="BM8" i="18"/>
  <c r="BM45" i="18"/>
  <c r="BN9" i="18"/>
  <c r="BL96" i="2"/>
  <c r="BL70" i="2"/>
  <c r="BM9" i="2"/>
  <c r="BL3" i="2"/>
  <c r="BL45" i="2"/>
  <c r="BL8" i="2"/>
  <c r="BK95" i="2"/>
  <c r="BK69" i="2"/>
  <c r="BK44" i="2"/>
  <c r="BL95" i="18"/>
  <c r="BL69" i="18"/>
  <c r="BL44" i="18"/>
  <c r="DJ104" i="2"/>
  <c r="DJ91" i="2"/>
  <c r="DJ99" i="2"/>
  <c r="DH110" i="2"/>
  <c r="DK85" i="2"/>
  <c r="DK80" i="2"/>
  <c r="DK92" i="2"/>
  <c r="DK86" i="2"/>
  <c r="DK81" i="2"/>
  <c r="DK82" i="2"/>
  <c r="DK87" i="2"/>
  <c r="DK90" i="2"/>
  <c r="DK88" i="2"/>
  <c r="DK83" i="2"/>
  <c r="DK79" i="2"/>
  <c r="DK89" i="2"/>
  <c r="DK84" i="2"/>
  <c r="DK74" i="2"/>
  <c r="DK75" i="2"/>
  <c r="DK78" i="2"/>
  <c r="DK76" i="2"/>
  <c r="DK72" i="2"/>
  <c r="DK77" i="2"/>
  <c r="DK73" i="2"/>
  <c r="DL6" i="2"/>
  <c r="DI109" i="2"/>
  <c r="DJ100" i="2"/>
  <c r="DJ101" i="2"/>
  <c r="DJ103" i="2"/>
  <c r="DJ102" i="2"/>
  <c r="DI107" i="2"/>
  <c r="DI105" i="2"/>
  <c r="O77" i="17"/>
  <c r="G90" i="12" a="1"/>
  <c r="P77" i="17"/>
  <c r="P138" i="12"/>
  <c r="K78" i="17" l="1"/>
  <c r="R22" i="12"/>
  <c r="V22" i="12" s="1"/>
  <c r="R21" i="12"/>
  <c r="V21" i="12" s="1"/>
  <c r="T22" i="12"/>
  <c r="X22" i="12" s="1"/>
  <c r="S22" i="12"/>
  <c r="W22" i="12" s="1"/>
  <c r="N19" i="12"/>
  <c r="N23" i="12" s="1"/>
  <c r="N24" i="12" s="1"/>
  <c r="N25" i="12" s="1"/>
  <c r="N15" i="12"/>
  <c r="T21" i="12"/>
  <c r="X21" i="12" s="1"/>
  <c r="M19" i="12"/>
  <c r="M15" i="12"/>
  <c r="S21" i="12"/>
  <c r="W21" i="12" s="1"/>
  <c r="K15" i="12"/>
  <c r="K19" i="12"/>
  <c r="L15" i="12"/>
  <c r="L19" i="12"/>
  <c r="L23" i="12" s="1"/>
  <c r="L24" i="12" s="1"/>
  <c r="L25" i="12" s="1"/>
  <c r="I19" i="12"/>
  <c r="I23" i="12" s="1"/>
  <c r="I24" i="12" s="1"/>
  <c r="I25" i="12" s="1"/>
  <c r="I15" i="12"/>
  <c r="DJ108" i="2"/>
  <c r="DJ107" i="2"/>
  <c r="G90" i="12"/>
  <c r="BL95" i="2"/>
  <c r="BL69" i="2"/>
  <c r="BL44" i="2"/>
  <c r="BM96" i="2"/>
  <c r="BM70" i="2"/>
  <c r="BN9" i="2"/>
  <c r="BM3" i="2"/>
  <c r="BM45" i="2"/>
  <c r="BM8" i="2"/>
  <c r="BN96" i="18"/>
  <c r="BN70" i="18"/>
  <c r="BN45" i="18"/>
  <c r="BO9" i="18"/>
  <c r="BN8" i="18"/>
  <c r="BM95" i="18"/>
  <c r="BM69" i="18"/>
  <c r="BM44" i="18"/>
  <c r="DK91" i="2"/>
  <c r="DK100" i="2"/>
  <c r="DK99" i="2"/>
  <c r="DI110" i="2"/>
  <c r="DK101" i="2"/>
  <c r="DK103" i="2"/>
  <c r="DJ105" i="2"/>
  <c r="DK102" i="2"/>
  <c r="DL92" i="2"/>
  <c r="DL86" i="2"/>
  <c r="DL81" i="2"/>
  <c r="DL82" i="2"/>
  <c r="DL87" i="2"/>
  <c r="DL90" i="2"/>
  <c r="DL88" i="2"/>
  <c r="DL83" i="2"/>
  <c r="DL79" i="2"/>
  <c r="DL89" i="2"/>
  <c r="DL84" i="2"/>
  <c r="DL85" i="2"/>
  <c r="DL80" i="2"/>
  <c r="DL74" i="2"/>
  <c r="DL75" i="2"/>
  <c r="DL78" i="2"/>
  <c r="DL76" i="2"/>
  <c r="DL72" i="2"/>
  <c r="DL77" i="2"/>
  <c r="DL73" i="2"/>
  <c r="DM6" i="2"/>
  <c r="DK104" i="2"/>
  <c r="DJ109" i="2"/>
  <c r="P78" i="17"/>
  <c r="O78" i="17"/>
  <c r="G91" i="12" a="1"/>
  <c r="K79" i="17" l="1"/>
  <c r="M23" i="12"/>
  <c r="T19" i="12"/>
  <c r="K23" i="12"/>
  <c r="K24" i="12" s="1"/>
  <c r="S19" i="12"/>
  <c r="DK108" i="2"/>
  <c r="G91" i="12"/>
  <c r="BM95" i="2"/>
  <c r="BM69" i="2"/>
  <c r="BM44" i="2"/>
  <c r="BN96" i="2"/>
  <c r="BN70" i="2"/>
  <c r="BO9" i="2"/>
  <c r="BN3" i="2"/>
  <c r="BN45" i="2"/>
  <c r="BN8" i="2"/>
  <c r="BN95" i="18"/>
  <c r="BN69" i="18"/>
  <c r="BN44" i="18"/>
  <c r="BO96" i="18"/>
  <c r="BO45" i="18"/>
  <c r="BP9" i="18"/>
  <c r="BO70" i="18"/>
  <c r="BO8" i="18"/>
  <c r="DM92" i="2"/>
  <c r="DM86" i="2"/>
  <c r="DM81" i="2"/>
  <c r="DM82" i="2"/>
  <c r="DM78" i="2"/>
  <c r="DM87" i="2"/>
  <c r="DM90" i="2"/>
  <c r="DM88" i="2"/>
  <c r="DM83" i="2"/>
  <c r="DM79" i="2"/>
  <c r="DM89" i="2"/>
  <c r="DM84" i="2"/>
  <c r="DM85" i="2"/>
  <c r="DM80" i="2"/>
  <c r="DM74" i="2"/>
  <c r="DM75" i="2"/>
  <c r="DM76" i="2"/>
  <c r="DM72" i="2"/>
  <c r="DM77" i="2"/>
  <c r="DM73" i="2"/>
  <c r="DN6" i="2"/>
  <c r="DL101" i="2"/>
  <c r="DL103" i="2"/>
  <c r="DJ110" i="2"/>
  <c r="DK109" i="2"/>
  <c r="DL102" i="2"/>
  <c r="DL100" i="2"/>
  <c r="DL104" i="2"/>
  <c r="DL91" i="2"/>
  <c r="DK105" i="2"/>
  <c r="DK107" i="2"/>
  <c r="DL99" i="2"/>
  <c r="G92" i="12" a="1"/>
  <c r="O79" i="17"/>
  <c r="P79" i="17"/>
  <c r="K80" i="17" l="1"/>
  <c r="W19" i="12"/>
  <c r="S23" i="12"/>
  <c r="W23" i="12" s="1"/>
  <c r="X19" i="12"/>
  <c r="T23" i="12"/>
  <c r="X23" i="12" s="1"/>
  <c r="K25" i="12"/>
  <c r="AC17" i="12"/>
  <c r="AD17" i="12" s="1"/>
  <c r="S24" i="12"/>
  <c r="W24" i="12" s="1"/>
  <c r="M24" i="12"/>
  <c r="AC20" i="12"/>
  <c r="DL108" i="2"/>
  <c r="G92" i="12"/>
  <c r="BN95" i="2"/>
  <c r="BN69" i="2"/>
  <c r="BN44" i="2"/>
  <c r="BO96" i="2"/>
  <c r="BO70" i="2"/>
  <c r="BP9" i="2"/>
  <c r="BO3" i="2"/>
  <c r="BO45" i="2"/>
  <c r="BO8" i="2"/>
  <c r="BO95" i="18"/>
  <c r="BO69" i="18"/>
  <c r="BO44" i="18"/>
  <c r="BP70" i="18"/>
  <c r="BP45" i="18"/>
  <c r="BQ9" i="18"/>
  <c r="BP96" i="18"/>
  <c r="BP8" i="18"/>
  <c r="DL107" i="2"/>
  <c r="DL105" i="2"/>
  <c r="DN86" i="2"/>
  <c r="DN81" i="2"/>
  <c r="DN82" i="2"/>
  <c r="DN78" i="2"/>
  <c r="DN87" i="2"/>
  <c r="DN90" i="2"/>
  <c r="DN88" i="2"/>
  <c r="DN83" i="2"/>
  <c r="DN79" i="2"/>
  <c r="DN89" i="2"/>
  <c r="DN84" i="2"/>
  <c r="DN85" i="2"/>
  <c r="DN80" i="2"/>
  <c r="DN92" i="2"/>
  <c r="DN75" i="2"/>
  <c r="DN76" i="2"/>
  <c r="DN72" i="2"/>
  <c r="DN77" i="2"/>
  <c r="DN73" i="2"/>
  <c r="DO6" i="2"/>
  <c r="DN74" i="2"/>
  <c r="DM102" i="2"/>
  <c r="DM104" i="2"/>
  <c r="DM100" i="2"/>
  <c r="DM99" i="2"/>
  <c r="DM91" i="2"/>
  <c r="DK110" i="2"/>
  <c r="DL109" i="2"/>
  <c r="DM101" i="2"/>
  <c r="DM103" i="2"/>
  <c r="O80" i="17"/>
  <c r="G93" i="12" a="1"/>
  <c r="P80" i="17"/>
  <c r="K81" i="17" l="1"/>
  <c r="M25" i="12"/>
  <c r="T24" i="12"/>
  <c r="X24" i="12" s="1"/>
  <c r="AD20" i="12"/>
  <c r="AC22" i="12"/>
  <c r="AD22" i="12" s="1"/>
  <c r="DM108" i="2"/>
  <c r="G93" i="12"/>
  <c r="BO95" i="2"/>
  <c r="BO69" i="2"/>
  <c r="BO44" i="2"/>
  <c r="BP96" i="2"/>
  <c r="BP70" i="2"/>
  <c r="BP3" i="2"/>
  <c r="BQ9" i="2"/>
  <c r="BP45" i="2"/>
  <c r="BP8" i="2"/>
  <c r="BP95" i="18"/>
  <c r="BP69" i="18"/>
  <c r="BP44" i="18"/>
  <c r="BQ96" i="18"/>
  <c r="BR9" i="18"/>
  <c r="BQ8" i="18"/>
  <c r="BQ45" i="18"/>
  <c r="BQ70" i="18"/>
  <c r="DO82" i="2"/>
  <c r="DO78" i="2"/>
  <c r="DO87" i="2"/>
  <c r="DO90" i="2"/>
  <c r="DO88" i="2"/>
  <c r="DO83" i="2"/>
  <c r="DO89" i="2"/>
  <c r="DO84" i="2"/>
  <c r="DO85" i="2"/>
  <c r="DO80" i="2"/>
  <c r="DO92" i="2"/>
  <c r="DO86" i="2"/>
  <c r="DO81" i="2"/>
  <c r="DO75" i="2"/>
  <c r="DO76" i="2"/>
  <c r="DO72" i="2"/>
  <c r="DO79" i="2"/>
  <c r="DO77" i="2"/>
  <c r="DO73" i="2"/>
  <c r="DP6" i="2"/>
  <c r="DO74" i="2"/>
  <c r="DN102" i="2"/>
  <c r="DN104" i="2"/>
  <c r="DN100" i="2"/>
  <c r="DN99" i="2"/>
  <c r="DN91" i="2"/>
  <c r="DN101" i="2"/>
  <c r="DN103" i="2"/>
  <c r="DM107" i="2"/>
  <c r="DM105" i="2"/>
  <c r="DM109" i="2"/>
  <c r="DL110" i="2"/>
  <c r="O81" i="17"/>
  <c r="G94" i="12" a="1"/>
  <c r="P81" i="17"/>
  <c r="K82" i="17" l="1"/>
  <c r="DN108" i="2"/>
  <c r="G94" i="12"/>
  <c r="BQ96" i="2"/>
  <c r="BQ45" i="2"/>
  <c r="BQ8" i="2"/>
  <c r="BR9" i="2"/>
  <c r="BQ3" i="2"/>
  <c r="BQ70" i="2"/>
  <c r="BQ95" i="18"/>
  <c r="BQ69" i="18"/>
  <c r="BQ44" i="18"/>
  <c r="BR96" i="18"/>
  <c r="BS9" i="18"/>
  <c r="BR8" i="18"/>
  <c r="BR70" i="18"/>
  <c r="BR45" i="18"/>
  <c r="BP95" i="2"/>
  <c r="BP69" i="2"/>
  <c r="BP44" i="2"/>
  <c r="DN109" i="2"/>
  <c r="DO101" i="2"/>
  <c r="DO103" i="2"/>
  <c r="DM110" i="2"/>
  <c r="DP82" i="2"/>
  <c r="DP78" i="2"/>
  <c r="DP87" i="2"/>
  <c r="DP90" i="2"/>
  <c r="DP88" i="2"/>
  <c r="DP83" i="2"/>
  <c r="DP79" i="2"/>
  <c r="DP89" i="2"/>
  <c r="DP84" i="2"/>
  <c r="DP85" i="2"/>
  <c r="DP80" i="2"/>
  <c r="DP92" i="2"/>
  <c r="DP86" i="2"/>
  <c r="DP81" i="2"/>
  <c r="DP75" i="2"/>
  <c r="DP76" i="2"/>
  <c r="DP72" i="2"/>
  <c r="DP77" i="2"/>
  <c r="DP73" i="2"/>
  <c r="DQ6" i="2"/>
  <c r="DR6" i="2" s="1"/>
  <c r="DP74" i="2"/>
  <c r="DO100" i="2"/>
  <c r="DO102" i="2"/>
  <c r="DO104" i="2"/>
  <c r="DO91" i="2"/>
  <c r="DO99" i="2"/>
  <c r="DN107" i="2"/>
  <c r="DN105" i="2"/>
  <c r="O82" i="17"/>
  <c r="G95" i="12" a="1"/>
  <c r="P82" i="17"/>
  <c r="DS6" i="2" l="1"/>
  <c r="DR84" i="2"/>
  <c r="DR72" i="2"/>
  <c r="DR83" i="2"/>
  <c r="DR102" i="2" s="1"/>
  <c r="DR82" i="2"/>
  <c r="DR81" i="2"/>
  <c r="DR78" i="2"/>
  <c r="DR80" i="2"/>
  <c r="DR90" i="2"/>
  <c r="DR79" i="2"/>
  <c r="DR89" i="2"/>
  <c r="DR77" i="2"/>
  <c r="DR76" i="2"/>
  <c r="DR88" i="2"/>
  <c r="DR87" i="2"/>
  <c r="DR75" i="2"/>
  <c r="DR86" i="2"/>
  <c r="DR74" i="2"/>
  <c r="DR85" i="2"/>
  <c r="DR73" i="2"/>
  <c r="DR92" i="2"/>
  <c r="K83" i="17"/>
  <c r="DO108" i="2"/>
  <c r="G95" i="12"/>
  <c r="BS96" i="18"/>
  <c r="BT9" i="18"/>
  <c r="BS8" i="18"/>
  <c r="BS70" i="18"/>
  <c r="BS45" i="18"/>
  <c r="BR96" i="2"/>
  <c r="BR70" i="2"/>
  <c r="BS9" i="2"/>
  <c r="BR3" i="2"/>
  <c r="BR8" i="2"/>
  <c r="BR45" i="2"/>
  <c r="BQ95" i="2"/>
  <c r="BQ44" i="2"/>
  <c r="BQ69" i="2"/>
  <c r="BR95" i="18"/>
  <c r="BR69" i="18"/>
  <c r="BR44" i="18"/>
  <c r="DN110" i="2"/>
  <c r="DQ87" i="2"/>
  <c r="DQ90" i="2"/>
  <c r="DQ88" i="2"/>
  <c r="DQ83" i="2"/>
  <c r="DQ79" i="2"/>
  <c r="DQ89" i="2"/>
  <c r="DQ84" i="2"/>
  <c r="DQ85" i="2"/>
  <c r="DQ80" i="2"/>
  <c r="DQ92" i="2"/>
  <c r="DQ86" i="2"/>
  <c r="DQ81" i="2"/>
  <c r="DQ82" i="2"/>
  <c r="DQ76" i="2"/>
  <c r="DQ72" i="2"/>
  <c r="DQ78" i="2"/>
  <c r="DQ77" i="2"/>
  <c r="DQ73" i="2"/>
  <c r="DQ74" i="2"/>
  <c r="DQ75" i="2"/>
  <c r="DP100" i="2"/>
  <c r="DP102" i="2"/>
  <c r="DP91" i="2"/>
  <c r="DP99" i="2"/>
  <c r="DP104" i="2"/>
  <c r="DO107" i="2"/>
  <c r="DO105" i="2"/>
  <c r="DO109" i="2"/>
  <c r="DP101" i="2"/>
  <c r="DP103" i="2"/>
  <c r="G96" i="12" a="1"/>
  <c r="P83" i="17"/>
  <c r="O83" i="17"/>
  <c r="DR104" i="2" l="1"/>
  <c r="DR109" i="2" s="1"/>
  <c r="DR100" i="2"/>
  <c r="K84" i="17"/>
  <c r="DR101" i="2"/>
  <c r="DR103" i="2"/>
  <c r="DR108" i="2" s="1"/>
  <c r="DR91" i="2"/>
  <c r="DR99" i="2"/>
  <c r="DT6" i="2"/>
  <c r="DS81" i="2"/>
  <c r="DS80" i="2"/>
  <c r="DS79" i="2"/>
  <c r="DS90" i="2"/>
  <c r="DS78" i="2"/>
  <c r="DS89" i="2"/>
  <c r="DS77" i="2"/>
  <c r="DS88" i="2"/>
  <c r="DS104" i="2" s="1"/>
  <c r="DS109" i="2" s="1"/>
  <c r="DS76" i="2"/>
  <c r="DS87" i="2"/>
  <c r="DS75" i="2"/>
  <c r="DS86" i="2"/>
  <c r="DS74" i="2"/>
  <c r="DS85" i="2"/>
  <c r="DS103" i="2" s="1"/>
  <c r="DS108" i="2" s="1"/>
  <c r="DS73" i="2"/>
  <c r="DS84" i="2"/>
  <c r="DS72" i="2"/>
  <c r="DS83" i="2"/>
  <c r="DS82" i="2"/>
  <c r="DS92" i="2"/>
  <c r="DP108" i="2"/>
  <c r="G96" i="12"/>
  <c r="BR95" i="2"/>
  <c r="BR44" i="2"/>
  <c r="BR69" i="2"/>
  <c r="BS70" i="2"/>
  <c r="BS96" i="2"/>
  <c r="BT9" i="2"/>
  <c r="BS3" i="2"/>
  <c r="BS8" i="2"/>
  <c r="BS45" i="2"/>
  <c r="BS95" i="18"/>
  <c r="BS69" i="18"/>
  <c r="BS44" i="18"/>
  <c r="BT96" i="18"/>
  <c r="BU9" i="18"/>
  <c r="BT8" i="18"/>
  <c r="BT70" i="18"/>
  <c r="BT45" i="18"/>
  <c r="DO110" i="2"/>
  <c r="DQ101" i="2"/>
  <c r="DQ103" i="2"/>
  <c r="DQ100" i="2"/>
  <c r="DQ102" i="2"/>
  <c r="DQ91" i="2"/>
  <c r="DQ99" i="2"/>
  <c r="DQ104" i="2"/>
  <c r="DP109" i="2"/>
  <c r="DP107" i="2"/>
  <c r="DP105" i="2"/>
  <c r="O84" i="17"/>
  <c r="P84" i="17"/>
  <c r="G97" i="12" a="1"/>
  <c r="DS99" i="2" l="1"/>
  <c r="DS91" i="2"/>
  <c r="DS101" i="2"/>
  <c r="DU6" i="2"/>
  <c r="DT90" i="2"/>
  <c r="DT78" i="2"/>
  <c r="DT89" i="2"/>
  <c r="DT77" i="2"/>
  <c r="DT88" i="2"/>
  <c r="DT104" i="2" s="1"/>
  <c r="DT109" i="2" s="1"/>
  <c r="DT76" i="2"/>
  <c r="DT87" i="2"/>
  <c r="DT75" i="2"/>
  <c r="DT86" i="2"/>
  <c r="DT74" i="2"/>
  <c r="DT85" i="2"/>
  <c r="DT73" i="2"/>
  <c r="DT84" i="2"/>
  <c r="DT72" i="2"/>
  <c r="DT83" i="2"/>
  <c r="DT82" i="2"/>
  <c r="DT81" i="2"/>
  <c r="DT80" i="2"/>
  <c r="DT79" i="2"/>
  <c r="DT92" i="2"/>
  <c r="DR105" i="2"/>
  <c r="DR107" i="2"/>
  <c r="DR110" i="2" s="1"/>
  <c r="DS100" i="2"/>
  <c r="K85" i="17"/>
  <c r="DS102" i="2"/>
  <c r="DQ108" i="2"/>
  <c r="G97" i="12"/>
  <c r="BS69" i="2"/>
  <c r="BS95" i="2"/>
  <c r="BS44" i="2"/>
  <c r="BT70" i="2"/>
  <c r="BT96" i="2"/>
  <c r="BT8" i="2"/>
  <c r="BT45" i="2"/>
  <c r="BT3" i="2"/>
  <c r="BU9" i="2"/>
  <c r="BT95" i="18"/>
  <c r="BT44" i="18"/>
  <c r="BT69" i="18"/>
  <c r="BU96" i="18"/>
  <c r="BU8" i="18"/>
  <c r="BU70" i="18"/>
  <c r="BU45" i="18"/>
  <c r="BV9" i="18"/>
  <c r="DP110" i="2"/>
  <c r="DQ107" i="2"/>
  <c r="DQ105" i="2"/>
  <c r="DQ109" i="2"/>
  <c r="G98" i="12" a="1"/>
  <c r="P85" i="17"/>
  <c r="O85" i="17"/>
  <c r="DT102" i="2" l="1"/>
  <c r="DT101" i="2"/>
  <c r="DT100" i="2"/>
  <c r="DT91" i="2"/>
  <c r="DT99" i="2"/>
  <c r="K86" i="17"/>
  <c r="DU82" i="2"/>
  <c r="DX82" i="2" s="1"/>
  <c r="DU90" i="2"/>
  <c r="DX90" i="2" s="1"/>
  <c r="DU78" i="2"/>
  <c r="DX78" i="2" s="1"/>
  <c r="DU87" i="2"/>
  <c r="DX87" i="2" s="1"/>
  <c r="DU83" i="2"/>
  <c r="DX83" i="2" s="1"/>
  <c r="DU76" i="2"/>
  <c r="DX76" i="2" s="1"/>
  <c r="DU88" i="2"/>
  <c r="DU79" i="2"/>
  <c r="DU72" i="2"/>
  <c r="DX72" i="2" s="1"/>
  <c r="DU89" i="2"/>
  <c r="DX89" i="2" s="1"/>
  <c r="DU77" i="2"/>
  <c r="DU84" i="2"/>
  <c r="DX84" i="2" s="1"/>
  <c r="DU73" i="2"/>
  <c r="DX73" i="2" s="1"/>
  <c r="DU85" i="2"/>
  <c r="DU74" i="2"/>
  <c r="DX74" i="2" s="1"/>
  <c r="DU80" i="2"/>
  <c r="DU101" i="2" s="1"/>
  <c r="DX101" i="2" s="1"/>
  <c r="DU75" i="2"/>
  <c r="DX75" i="2" s="1"/>
  <c r="DU92" i="2"/>
  <c r="DU86" i="2"/>
  <c r="DX86" i="2" s="1"/>
  <c r="DU81" i="2"/>
  <c r="DX81" i="2" s="1"/>
  <c r="DT103" i="2"/>
  <c r="DT108" i="2" s="1"/>
  <c r="DS107" i="2"/>
  <c r="DS110" i="2" s="1"/>
  <c r="DS105" i="2"/>
  <c r="G98" i="12"/>
  <c r="BU96" i="2"/>
  <c r="BU45" i="2"/>
  <c r="BV9" i="2"/>
  <c r="BU3" i="2"/>
  <c r="BU70" i="2"/>
  <c r="BU8" i="2"/>
  <c r="BT69" i="2"/>
  <c r="BT95" i="2"/>
  <c r="BT44" i="2"/>
  <c r="BV96" i="18"/>
  <c r="BV8" i="18"/>
  <c r="BV70" i="18"/>
  <c r="BV45" i="18"/>
  <c r="BW9" i="18"/>
  <c r="BU95" i="18"/>
  <c r="BU44" i="18"/>
  <c r="BU69" i="18"/>
  <c r="DQ110" i="2"/>
  <c r="G99" i="12" a="1"/>
  <c r="P86" i="17"/>
  <c r="O86" i="17"/>
  <c r="DU103" i="2" l="1"/>
  <c r="DX85" i="2"/>
  <c r="K87" i="17"/>
  <c r="DU100" i="2"/>
  <c r="DX77" i="2"/>
  <c r="DX80" i="2"/>
  <c r="DT107" i="2"/>
  <c r="DT110" i="2" s="1"/>
  <c r="DT105" i="2"/>
  <c r="DU99" i="2"/>
  <c r="DU91" i="2"/>
  <c r="DX88" i="2"/>
  <c r="DU104" i="2"/>
  <c r="DU102" i="2"/>
  <c r="DX102" i="2" s="1"/>
  <c r="G99" i="12"/>
  <c r="BV69" i="18"/>
  <c r="BV95" i="18"/>
  <c r="BV44" i="18"/>
  <c r="BU95" i="2"/>
  <c r="BU44" i="2"/>
  <c r="BU69" i="2"/>
  <c r="BV70" i="2"/>
  <c r="BV96" i="2"/>
  <c r="BV45" i="2"/>
  <c r="BV3" i="2"/>
  <c r="BW9" i="2"/>
  <c r="BV8" i="2"/>
  <c r="BW96" i="18"/>
  <c r="BW8" i="18"/>
  <c r="BW70" i="18"/>
  <c r="BW45" i="18"/>
  <c r="BX9" i="18"/>
  <c r="G100" i="12" a="1"/>
  <c r="O87" i="17"/>
  <c r="P87" i="17"/>
  <c r="DU109" i="2" l="1"/>
  <c r="DX109" i="2" s="1"/>
  <c r="DX104" i="2"/>
  <c r="DU107" i="2"/>
  <c r="DU105" i="2"/>
  <c r="DX99" i="2"/>
  <c r="K88" i="17"/>
  <c r="DU108" i="2"/>
  <c r="DX108" i="2" s="1"/>
  <c r="DX103" i="2"/>
  <c r="G100" i="12"/>
  <c r="BX96" i="18"/>
  <c r="BX45" i="18"/>
  <c r="BX70" i="18"/>
  <c r="BX8" i="18"/>
  <c r="BY9" i="18"/>
  <c r="BW95" i="18"/>
  <c r="BW69" i="18"/>
  <c r="BW44" i="18"/>
  <c r="BW96" i="2"/>
  <c r="BW70" i="2"/>
  <c r="BX9" i="2"/>
  <c r="BW3" i="2"/>
  <c r="BW8" i="2"/>
  <c r="BW45" i="2"/>
  <c r="BV69" i="2"/>
  <c r="BV95" i="2"/>
  <c r="BV44" i="2"/>
  <c r="DX19" i="2"/>
  <c r="DY19" i="2" s="1"/>
  <c r="DX31" i="2"/>
  <c r="DY31" i="2" s="1"/>
  <c r="G101" i="12" a="1"/>
  <c r="P88" i="17"/>
  <c r="O88" i="17"/>
  <c r="K89" i="17" l="1"/>
  <c r="DU110" i="2"/>
  <c r="G101" i="12"/>
  <c r="BY96" i="18"/>
  <c r="BY70" i="18"/>
  <c r="BY8" i="18"/>
  <c r="BY45" i="18"/>
  <c r="BZ9" i="18"/>
  <c r="BX95" i="18"/>
  <c r="BX44" i="18"/>
  <c r="BX69" i="18"/>
  <c r="BX96" i="2"/>
  <c r="BX70" i="2"/>
  <c r="BY9" i="2"/>
  <c r="BX3" i="2"/>
  <c r="BX8" i="2"/>
  <c r="BX45" i="2"/>
  <c r="BW95" i="2"/>
  <c r="BW69" i="2"/>
  <c r="BW44" i="2"/>
  <c r="DX30" i="2"/>
  <c r="DY30" i="2" s="1"/>
  <c r="DX32" i="2"/>
  <c r="DY32" i="2" s="1"/>
  <c r="O89" i="17"/>
  <c r="P89" i="17"/>
  <c r="G102" i="12" a="1"/>
  <c r="K90" i="17" l="1"/>
  <c r="G102" i="12"/>
  <c r="BY96" i="2"/>
  <c r="BY70" i="2"/>
  <c r="BZ9" i="2"/>
  <c r="BY3" i="2"/>
  <c r="BY8" i="2"/>
  <c r="BY45" i="2"/>
  <c r="BZ96" i="18"/>
  <c r="BZ70" i="18"/>
  <c r="BZ45" i="18"/>
  <c r="CA9" i="18"/>
  <c r="BZ8" i="18"/>
  <c r="BY95" i="18"/>
  <c r="BY44" i="18"/>
  <c r="BY69" i="18"/>
  <c r="BX95" i="2"/>
  <c r="BX69" i="2"/>
  <c r="BX44" i="2"/>
  <c r="G103" i="12" a="1"/>
  <c r="P90" i="17"/>
  <c r="O90" i="17"/>
  <c r="K91" i="17" l="1"/>
  <c r="G103" i="12"/>
  <c r="BZ95" i="18"/>
  <c r="BZ44" i="18"/>
  <c r="BZ69" i="18"/>
  <c r="BZ96" i="2"/>
  <c r="CA9" i="2"/>
  <c r="BZ3" i="2"/>
  <c r="BZ8" i="2"/>
  <c r="BZ45" i="2"/>
  <c r="BZ70" i="2"/>
  <c r="BY95" i="2"/>
  <c r="BY69" i="2"/>
  <c r="BY44" i="2"/>
  <c r="CA96" i="18"/>
  <c r="CA70" i="18"/>
  <c r="CA45" i="18"/>
  <c r="CB9" i="18"/>
  <c r="CA8" i="18"/>
  <c r="CJ35" i="2"/>
  <c r="O91" i="17"/>
  <c r="P91" i="17"/>
  <c r="G104" i="12" a="1"/>
  <c r="K92" i="17" l="1"/>
  <c r="G104" i="12"/>
  <c r="CA95" i="18"/>
  <c r="CA44" i="18"/>
  <c r="CA69" i="18"/>
  <c r="CB70" i="18"/>
  <c r="CB96" i="18"/>
  <c r="CB45" i="18"/>
  <c r="CC9" i="18"/>
  <c r="CB8" i="18"/>
  <c r="BZ95" i="2"/>
  <c r="BZ69" i="2"/>
  <c r="BZ44" i="2"/>
  <c r="CA96" i="2"/>
  <c r="CA70" i="2"/>
  <c r="CB9" i="2"/>
  <c r="CA3" i="2"/>
  <c r="CA8" i="2"/>
  <c r="CA45" i="2"/>
  <c r="DX35" i="2"/>
  <c r="DY35" i="2" s="1"/>
  <c r="CJ40" i="2"/>
  <c r="O92" i="17"/>
  <c r="P92" i="17"/>
  <c r="G105" i="12" a="1"/>
  <c r="K93" i="17" l="1"/>
  <c r="G105" i="12"/>
  <c r="CA95" i="2"/>
  <c r="CA69" i="2"/>
  <c r="CA44" i="2"/>
  <c r="CB95" i="18"/>
  <c r="CB44" i="18"/>
  <c r="CB69" i="18"/>
  <c r="CC96" i="18"/>
  <c r="CC45" i="18"/>
  <c r="CC70" i="18"/>
  <c r="CD9" i="18"/>
  <c r="CC8" i="18"/>
  <c r="CB96" i="2"/>
  <c r="CC9" i="2"/>
  <c r="CB3" i="2"/>
  <c r="CB8" i="2"/>
  <c r="CB45" i="2"/>
  <c r="CB70" i="2"/>
  <c r="DX40" i="2"/>
  <c r="CJ92" i="2"/>
  <c r="DX92" i="2" s="1"/>
  <c r="O93" i="17"/>
  <c r="G106" i="12" a="1"/>
  <c r="P93" i="17"/>
  <c r="P49" i="23" l="1"/>
  <c r="K94" i="17"/>
  <c r="G106" i="12"/>
  <c r="CB95" i="2"/>
  <c r="CB44" i="2"/>
  <c r="CB69" i="2"/>
  <c r="CC95" i="18"/>
  <c r="CC44" i="18"/>
  <c r="CC69" i="18"/>
  <c r="CD96" i="18"/>
  <c r="CD70" i="18"/>
  <c r="CE9" i="18"/>
  <c r="CD8" i="18"/>
  <c r="CD45" i="18"/>
  <c r="CC96" i="2"/>
  <c r="CC45" i="2"/>
  <c r="CC8" i="2"/>
  <c r="CD9" i="2"/>
  <c r="CC3" i="2"/>
  <c r="CC70" i="2"/>
  <c r="DY40" i="2"/>
  <c r="G107" i="12" a="1"/>
  <c r="P94" i="17"/>
  <c r="O94" i="17"/>
  <c r="Y30" i="23" l="1"/>
  <c r="K95" i="17"/>
  <c r="G107" i="12"/>
  <c r="CE96" i="18"/>
  <c r="CF9" i="18"/>
  <c r="CE8" i="18"/>
  <c r="CE70" i="18"/>
  <c r="CE45" i="18"/>
  <c r="CD95" i="18"/>
  <c r="CD69" i="18"/>
  <c r="CD44" i="18"/>
  <c r="CD96" i="2"/>
  <c r="CD70" i="2"/>
  <c r="CE9" i="2"/>
  <c r="CD3" i="2"/>
  <c r="CD8" i="2"/>
  <c r="CD45" i="2"/>
  <c r="CC95" i="2"/>
  <c r="CC44" i="2"/>
  <c r="CC69" i="2"/>
  <c r="DX79" i="2"/>
  <c r="CJ91" i="2"/>
  <c r="CJ100" i="2"/>
  <c r="P95" i="17"/>
  <c r="G108" i="12" a="1"/>
  <c r="J113" i="12"/>
  <c r="O95" i="17"/>
  <c r="K96" i="17" l="1"/>
  <c r="J5" i="12"/>
  <c r="R113" i="12"/>
  <c r="R5" i="12" s="1"/>
  <c r="J16" i="12"/>
  <c r="G108" i="12"/>
  <c r="CE70" i="2"/>
  <c r="CE96" i="2"/>
  <c r="CF9" i="2"/>
  <c r="CE3" i="2"/>
  <c r="CE8" i="2"/>
  <c r="CE45" i="2"/>
  <c r="CE95" i="18"/>
  <c r="CE69" i="18"/>
  <c r="CE44" i="18"/>
  <c r="CF96" i="18"/>
  <c r="CG9" i="18"/>
  <c r="CF8" i="18"/>
  <c r="CF45" i="18"/>
  <c r="CF70" i="18"/>
  <c r="CD95" i="2"/>
  <c r="CD44" i="2"/>
  <c r="CD69" i="2"/>
  <c r="DX100" i="2"/>
  <c r="CJ107" i="2"/>
  <c r="CJ105" i="2"/>
  <c r="DX91" i="2"/>
  <c r="P113" i="12"/>
  <c r="G109" i="12" a="1"/>
  <c r="P96" i="17"/>
  <c r="O96" i="17"/>
  <c r="K97" i="17" l="1"/>
  <c r="P5" i="12"/>
  <c r="J17" i="12"/>
  <c r="R16" i="12"/>
  <c r="J15" i="12"/>
  <c r="J19" i="12"/>
  <c r="R15" i="12"/>
  <c r="V15" i="12" s="1"/>
  <c r="V5" i="12"/>
  <c r="G109" i="12"/>
  <c r="CE95" i="2"/>
  <c r="CE69" i="2"/>
  <c r="CE44" i="2"/>
  <c r="CF70" i="2"/>
  <c r="CF96" i="2"/>
  <c r="CF8" i="2"/>
  <c r="CF3" i="2"/>
  <c r="CF45" i="2"/>
  <c r="CG9" i="2"/>
  <c r="CG96" i="18"/>
  <c r="CG8" i="18"/>
  <c r="CG45" i="18"/>
  <c r="CG70" i="18"/>
  <c r="CH9" i="18"/>
  <c r="CF95" i="18"/>
  <c r="CF44" i="18"/>
  <c r="CF69" i="18"/>
  <c r="CJ110" i="2"/>
  <c r="DX107" i="2"/>
  <c r="DX105" i="2"/>
  <c r="P97" i="17"/>
  <c r="O97" i="17"/>
  <c r="G110" i="12" a="1"/>
  <c r="K98" i="17" l="1"/>
  <c r="J23" i="12"/>
  <c r="R19" i="12"/>
  <c r="P19" i="12"/>
  <c r="P23" i="12" s="1"/>
  <c r="AC23" i="12" s="1"/>
  <c r="AD23" i="12" s="1"/>
  <c r="P15" i="12"/>
  <c r="P16" i="12" s="1"/>
  <c r="P17" i="12" s="1"/>
  <c r="G110" i="12"/>
  <c r="CG95" i="18"/>
  <c r="CG44" i="18"/>
  <c r="CG69" i="18"/>
  <c r="CF95" i="2"/>
  <c r="CF69" i="2"/>
  <c r="CF44" i="2"/>
  <c r="CG96" i="2"/>
  <c r="CG45" i="2"/>
  <c r="CG70" i="2"/>
  <c r="CG3" i="2"/>
  <c r="CH9" i="2"/>
  <c r="CG8" i="2"/>
  <c r="CH96" i="18"/>
  <c r="CH8" i="18"/>
  <c r="CH45" i="18"/>
  <c r="CH70" i="18"/>
  <c r="CI9" i="18"/>
  <c r="DX110" i="2"/>
  <c r="P98" i="17"/>
  <c r="O98" i="17"/>
  <c r="G111" i="12" a="1"/>
  <c r="K99" i="17" l="1"/>
  <c r="R23" i="12"/>
  <c r="V23" i="12" s="1"/>
  <c r="V19" i="12"/>
  <c r="J24" i="12"/>
  <c r="AC15" i="12"/>
  <c r="G111" i="12"/>
  <c r="CH95" i="18"/>
  <c r="CH69" i="18"/>
  <c r="CH44" i="18"/>
  <c r="CH70" i="2"/>
  <c r="CH96" i="2"/>
  <c r="CH3" i="2"/>
  <c r="CH45" i="2"/>
  <c r="CI9" i="2"/>
  <c r="CH8" i="2"/>
  <c r="CI96" i="18"/>
  <c r="CI8" i="18"/>
  <c r="CI45" i="18"/>
  <c r="CI70" i="18"/>
  <c r="CJ9" i="18"/>
  <c r="CG95" i="2"/>
  <c r="CG44" i="2"/>
  <c r="CG69" i="2"/>
  <c r="P99" i="17"/>
  <c r="G112" i="12" a="1"/>
  <c r="O99" i="17"/>
  <c r="K100" i="17" l="1"/>
  <c r="AC18" i="12"/>
  <c r="AD18" i="12" s="1"/>
  <c r="AD15" i="12"/>
  <c r="J25" i="12"/>
  <c r="R24" i="12"/>
  <c r="V24" i="12" s="1"/>
  <c r="G112" i="12"/>
  <c r="CI96" i="2"/>
  <c r="CI70" i="2"/>
  <c r="CI45" i="2"/>
  <c r="CI8" i="2"/>
  <c r="CJ9" i="2"/>
  <c r="CI3" i="2"/>
  <c r="CI95" i="18"/>
  <c r="CI69" i="18"/>
  <c r="CI44" i="18"/>
  <c r="CH95" i="2"/>
  <c r="CH69" i="2"/>
  <c r="CH44" i="2"/>
  <c r="CJ96" i="18"/>
  <c r="CJ45" i="18"/>
  <c r="CJ70" i="18"/>
  <c r="CJ8" i="18"/>
  <c r="CK9" i="18"/>
  <c r="O100" i="17"/>
  <c r="G113" i="12" a="1"/>
  <c r="P100" i="17"/>
  <c r="K101" i="17" l="1"/>
  <c r="G113" i="12"/>
  <c r="CJ95" i="18"/>
  <c r="CJ69" i="18"/>
  <c r="CJ44" i="18"/>
  <c r="CJ96" i="2"/>
  <c r="CJ70" i="2"/>
  <c r="CJ45" i="2"/>
  <c r="CK9" i="2"/>
  <c r="CJ3" i="2"/>
  <c r="CJ8" i="2"/>
  <c r="CK96" i="18"/>
  <c r="CK70" i="18"/>
  <c r="CK8" i="18"/>
  <c r="CK45" i="18"/>
  <c r="CL9" i="18"/>
  <c r="CI95" i="2"/>
  <c r="CI69" i="2"/>
  <c r="CI44" i="2"/>
  <c r="O101" i="17"/>
  <c r="P101" i="17"/>
  <c r="G114" i="12" a="1"/>
  <c r="K102" i="17" l="1"/>
  <c r="G114" i="12"/>
  <c r="CJ95" i="2"/>
  <c r="CJ69" i="2"/>
  <c r="CJ44" i="2"/>
  <c r="CK96" i="2"/>
  <c r="CK70" i="2"/>
  <c r="CL9" i="2"/>
  <c r="CK3" i="2"/>
  <c r="CK8" i="2"/>
  <c r="CK45" i="2"/>
  <c r="CL96" i="18"/>
  <c r="CL45" i="18"/>
  <c r="CL70" i="18"/>
  <c r="CM9" i="18"/>
  <c r="CL8" i="18"/>
  <c r="CK95" i="18"/>
  <c r="CK69" i="18"/>
  <c r="CK44" i="18"/>
  <c r="P102" i="17"/>
  <c r="G115" i="12" a="1"/>
  <c r="O102" i="17"/>
  <c r="K103" i="17" l="1"/>
  <c r="G115" i="12"/>
  <c r="CL96" i="2"/>
  <c r="CM9" i="2"/>
  <c r="CL3" i="2"/>
  <c r="CL70" i="2"/>
  <c r="CL8" i="2"/>
  <c r="CL45" i="2"/>
  <c r="CK95" i="2"/>
  <c r="CK69" i="2"/>
  <c r="CK44" i="2"/>
  <c r="CM96" i="18"/>
  <c r="CM45" i="18"/>
  <c r="CM70" i="18"/>
  <c r="CN9" i="18"/>
  <c r="CM8" i="18"/>
  <c r="CL95" i="18"/>
  <c r="CL69" i="18"/>
  <c r="CL44" i="18"/>
  <c r="O103" i="17"/>
  <c r="G116" i="12" a="1"/>
  <c r="P103" i="17"/>
  <c r="K104" i="17" l="1"/>
  <c r="G116" i="12"/>
  <c r="CM95" i="18"/>
  <c r="CM44" i="18"/>
  <c r="CM69" i="18"/>
  <c r="CM96" i="2"/>
  <c r="CM70" i="2"/>
  <c r="CN9" i="2"/>
  <c r="CM3" i="2"/>
  <c r="CM8" i="2"/>
  <c r="CM45" i="2"/>
  <c r="CN70" i="18"/>
  <c r="CN96" i="18"/>
  <c r="CN45" i="18"/>
  <c r="CO9" i="18"/>
  <c r="CN8" i="18"/>
  <c r="CL95" i="2"/>
  <c r="CL69" i="2"/>
  <c r="CL44" i="2"/>
  <c r="P104" i="17"/>
  <c r="O104" i="17"/>
  <c r="G117" i="12" a="1"/>
  <c r="K105" i="17" l="1"/>
  <c r="G117" i="12"/>
  <c r="CM95" i="2"/>
  <c r="CM69" i="2"/>
  <c r="CM44" i="2"/>
  <c r="CN96" i="2"/>
  <c r="CN3" i="2"/>
  <c r="CO9" i="2"/>
  <c r="CN8" i="2"/>
  <c r="CN70" i="2"/>
  <c r="CN45" i="2"/>
  <c r="CO96" i="18"/>
  <c r="CO45" i="18"/>
  <c r="CP9" i="18"/>
  <c r="CO70" i="18"/>
  <c r="CO8" i="18"/>
  <c r="CN95" i="18"/>
  <c r="CN44" i="18"/>
  <c r="CN69" i="18"/>
  <c r="G118" i="12" a="1"/>
  <c r="O105" i="17"/>
  <c r="P105" i="17"/>
  <c r="K106" i="17" l="1"/>
  <c r="G118" i="12"/>
  <c r="CN95" i="2"/>
  <c r="CN69" i="2"/>
  <c r="CN44" i="2"/>
  <c r="CO96" i="2"/>
  <c r="CO45" i="2"/>
  <c r="CP9" i="2"/>
  <c r="CO3" i="2"/>
  <c r="CO8" i="2"/>
  <c r="CO70" i="2"/>
  <c r="CO95" i="18"/>
  <c r="CO44" i="18"/>
  <c r="CO69" i="18"/>
  <c r="CP96" i="18"/>
  <c r="CP45" i="18"/>
  <c r="CQ9" i="18"/>
  <c r="CP70" i="18"/>
  <c r="CP8" i="18"/>
  <c r="O106" i="17"/>
  <c r="P106" i="17"/>
  <c r="G119" i="12" a="1"/>
  <c r="K107" i="17" l="1"/>
  <c r="G119" i="12"/>
  <c r="CO95" i="2"/>
  <c r="CO44" i="2"/>
  <c r="CO69" i="2"/>
  <c r="CP95" i="18"/>
  <c r="CP69" i="18"/>
  <c r="CP44" i="18"/>
  <c r="CQ96" i="18"/>
  <c r="CR9" i="18"/>
  <c r="CQ70" i="18"/>
  <c r="CQ8" i="18"/>
  <c r="CQ45" i="18"/>
  <c r="CP96" i="2"/>
  <c r="CP70" i="2"/>
  <c r="CQ9" i="2"/>
  <c r="CP3" i="2"/>
  <c r="CP8" i="2"/>
  <c r="CP45" i="2"/>
  <c r="P107" i="17"/>
  <c r="G120" i="12" a="1"/>
  <c r="O107" i="17"/>
  <c r="K108" i="17" l="1"/>
  <c r="G120" i="12"/>
  <c r="CQ95" i="18"/>
  <c r="CQ69" i="18"/>
  <c r="CQ44" i="18"/>
  <c r="CP95" i="2"/>
  <c r="CP69" i="2"/>
  <c r="CP44" i="2"/>
  <c r="CR96" i="18"/>
  <c r="CS9" i="18"/>
  <c r="CR70" i="18"/>
  <c r="CR8" i="18"/>
  <c r="CR45" i="18"/>
  <c r="CQ96" i="2"/>
  <c r="CQ70" i="2"/>
  <c r="CR9" i="2"/>
  <c r="CQ3" i="2"/>
  <c r="CQ8" i="2"/>
  <c r="CQ45" i="2"/>
  <c r="P108" i="17"/>
  <c r="G121" i="12" a="1"/>
  <c r="O108" i="17"/>
  <c r="K109" i="17" l="1"/>
  <c r="G121" i="12"/>
  <c r="CR95" i="18"/>
  <c r="CR44" i="18"/>
  <c r="CR69" i="18"/>
  <c r="CQ95" i="2"/>
  <c r="CQ69" i="2"/>
  <c r="CQ44" i="2"/>
  <c r="CS96" i="18"/>
  <c r="CS70" i="18"/>
  <c r="CS8" i="18"/>
  <c r="CS45" i="18"/>
  <c r="CT9" i="18"/>
  <c r="CR96" i="2"/>
  <c r="CR70" i="2"/>
  <c r="CR8" i="2"/>
  <c r="CR45" i="2"/>
  <c r="CR3" i="2"/>
  <c r="CS9" i="2"/>
  <c r="G122" i="12" a="1"/>
  <c r="O109" i="17"/>
  <c r="P109" i="17"/>
  <c r="K110" i="17" l="1"/>
  <c r="G122" i="12"/>
  <c r="CT96" i="18"/>
  <c r="CT8" i="18"/>
  <c r="CT45" i="18"/>
  <c r="CT70" i="18"/>
  <c r="CU9" i="18"/>
  <c r="CS95" i="18"/>
  <c r="CS44" i="18"/>
  <c r="CS69" i="18"/>
  <c r="CS96" i="2"/>
  <c r="CS45" i="2"/>
  <c r="CS70" i="2"/>
  <c r="CS3" i="2"/>
  <c r="CT9" i="2"/>
  <c r="CS8" i="2"/>
  <c r="CR95" i="2"/>
  <c r="CR69" i="2"/>
  <c r="CR44" i="2"/>
  <c r="G123" i="12" a="1"/>
  <c r="P110" i="17"/>
  <c r="O110" i="17"/>
  <c r="K111" i="17" l="1"/>
  <c r="G123" i="12"/>
  <c r="CU96" i="18"/>
  <c r="CU8" i="18"/>
  <c r="CU45" i="18"/>
  <c r="CV9" i="18"/>
  <c r="CU70" i="18"/>
  <c r="CT95" i="18"/>
  <c r="CT69" i="18"/>
  <c r="CT44" i="18"/>
  <c r="CT96" i="2"/>
  <c r="CT70" i="2"/>
  <c r="CU9" i="2"/>
  <c r="CT8" i="2"/>
  <c r="CT45" i="2"/>
  <c r="CT3" i="2"/>
  <c r="CS95" i="2"/>
  <c r="CS44" i="2"/>
  <c r="CS69" i="2"/>
  <c r="P111" i="17"/>
  <c r="G124" i="12" a="1"/>
  <c r="O111" i="17"/>
  <c r="K112" i="17" l="1"/>
  <c r="G124" i="12"/>
  <c r="CV96" i="18"/>
  <c r="CV45" i="18"/>
  <c r="CV70" i="18"/>
  <c r="CV8" i="18"/>
  <c r="CW9" i="18"/>
  <c r="CU95" i="18"/>
  <c r="CU69" i="18"/>
  <c r="CU44" i="18"/>
  <c r="CU96" i="2"/>
  <c r="CU70" i="2"/>
  <c r="CU45" i="2"/>
  <c r="CU8" i="2"/>
  <c r="CV9" i="2"/>
  <c r="CU3" i="2"/>
  <c r="CT95" i="2"/>
  <c r="CT69" i="2"/>
  <c r="CT44" i="2"/>
  <c r="G125" i="12" a="1"/>
  <c r="P112" i="17"/>
  <c r="O112" i="17"/>
  <c r="CL9" i="21" l="1"/>
  <c r="K113" i="17"/>
  <c r="G125" i="12"/>
  <c r="CW96" i="18"/>
  <c r="CW70" i="18"/>
  <c r="CW8" i="18"/>
  <c r="CW45" i="18"/>
  <c r="CX9" i="18"/>
  <c r="CV95" i="18"/>
  <c r="CV69" i="18"/>
  <c r="CV44" i="18"/>
  <c r="CV96" i="2"/>
  <c r="CV70" i="2"/>
  <c r="CV45" i="2"/>
  <c r="CW9" i="2"/>
  <c r="CV3" i="2"/>
  <c r="CV8" i="2"/>
  <c r="CU95" i="2"/>
  <c r="CU69" i="2"/>
  <c r="CU44" i="2"/>
  <c r="G126" i="12" a="1"/>
  <c r="P113" i="17"/>
  <c r="O113" i="17"/>
  <c r="CT9" i="21" l="1"/>
  <c r="CL10" i="21"/>
  <c r="CN10" i="21"/>
  <c r="CP9" i="21"/>
  <c r="CN9" i="21"/>
  <c r="CO9" i="21"/>
  <c r="CM10" i="21"/>
  <c r="CM9" i="21"/>
  <c r="CP10" i="21"/>
  <c r="CO10" i="21"/>
  <c r="CL8" i="21"/>
  <c r="CL114" i="21" s="1"/>
  <c r="K114" i="17"/>
  <c r="G126" i="12"/>
  <c r="CV95" i="2"/>
  <c r="CV69" i="2"/>
  <c r="CV44" i="2"/>
  <c r="CX96" i="18"/>
  <c r="CX45" i="18"/>
  <c r="CY9" i="18"/>
  <c r="CX70" i="18"/>
  <c r="CX8" i="18"/>
  <c r="CW95" i="18"/>
  <c r="CW69" i="18"/>
  <c r="CW44" i="18"/>
  <c r="CW96" i="2"/>
  <c r="CW70" i="2"/>
  <c r="CW45" i="2"/>
  <c r="CX9" i="2"/>
  <c r="CW3" i="2"/>
  <c r="CW8" i="2"/>
  <c r="CL12" i="21"/>
  <c r="P114" i="17"/>
  <c r="G127" i="12" a="1"/>
  <c r="O114" i="17"/>
  <c r="CM8" i="21" l="1"/>
  <c r="CM114" i="21" s="1"/>
  <c r="CL98" i="21"/>
  <c r="CL33" i="21"/>
  <c r="K115" i="17"/>
  <c r="G127" i="12"/>
  <c r="CX96" i="2"/>
  <c r="CX45" i="2"/>
  <c r="CX70" i="2"/>
  <c r="CY9" i="2"/>
  <c r="CX3" i="2"/>
  <c r="CX8" i="2"/>
  <c r="CW95" i="2"/>
  <c r="CW69" i="2"/>
  <c r="CW44" i="2"/>
  <c r="CX95" i="18"/>
  <c r="CX69" i="18"/>
  <c r="CX44" i="18"/>
  <c r="CY96" i="18"/>
  <c r="CY45" i="18"/>
  <c r="CZ9" i="18"/>
  <c r="CY70" i="18"/>
  <c r="CY8" i="18"/>
  <c r="CN80" i="21"/>
  <c r="CO101" i="21"/>
  <c r="CL27" i="21"/>
  <c r="CO60" i="21"/>
  <c r="CO87" i="21"/>
  <c r="CT54" i="21"/>
  <c r="CP51" i="21"/>
  <c r="CL75" i="21"/>
  <c r="CN31" i="21"/>
  <c r="CL31" i="21"/>
  <c r="CO78" i="21"/>
  <c r="CP50" i="21"/>
  <c r="CN84" i="21"/>
  <c r="CN14" i="21"/>
  <c r="CN107" i="21"/>
  <c r="CP40" i="21"/>
  <c r="CO38" i="21"/>
  <c r="CL100" i="21"/>
  <c r="CT94" i="21"/>
  <c r="CL76" i="21"/>
  <c r="CL51" i="21"/>
  <c r="CO47" i="21"/>
  <c r="CT73" i="21"/>
  <c r="CT26" i="21"/>
  <c r="CO28" i="21"/>
  <c r="CL86" i="21"/>
  <c r="CT61" i="21"/>
  <c r="CM84" i="21"/>
  <c r="CO61" i="21"/>
  <c r="CT19" i="21"/>
  <c r="CN87" i="21"/>
  <c r="CO27" i="21"/>
  <c r="CO18" i="21"/>
  <c r="CT51" i="21"/>
  <c r="CO110" i="21"/>
  <c r="CO19" i="21"/>
  <c r="CN18" i="21"/>
  <c r="CT24" i="21"/>
  <c r="CL89" i="21"/>
  <c r="CN75" i="21"/>
  <c r="CT91" i="21"/>
  <c r="CL83" i="21"/>
  <c r="CP91" i="21"/>
  <c r="CM51" i="21"/>
  <c r="CL61" i="21"/>
  <c r="P115" i="17"/>
  <c r="CL81" i="21"/>
  <c r="CT36" i="21"/>
  <c r="CT34" i="21"/>
  <c r="CN55" i="21"/>
  <c r="CT64" i="21"/>
  <c r="CO24" i="21"/>
  <c r="CN21" i="21"/>
  <c r="CN19" i="21"/>
  <c r="CN12" i="21"/>
  <c r="CO58" i="21"/>
  <c r="CT18" i="21"/>
  <c r="CP80" i="21"/>
  <c r="CN99" i="21"/>
  <c r="CP83" i="21"/>
  <c r="CN47" i="21"/>
  <c r="CT66" i="21"/>
  <c r="CM39" i="21"/>
  <c r="CN50" i="21"/>
  <c r="CT62" i="21"/>
  <c r="CP84" i="21"/>
  <c r="CT16" i="21"/>
  <c r="CO15" i="21"/>
  <c r="CN110" i="21"/>
  <c r="CT28" i="21"/>
  <c r="CP59" i="21"/>
  <c r="CP73" i="21"/>
  <c r="CP19" i="21"/>
  <c r="CT38" i="21"/>
  <c r="CP35" i="21"/>
  <c r="CM27" i="21"/>
  <c r="CM59" i="21"/>
  <c r="CP104" i="21"/>
  <c r="CN22" i="21"/>
  <c r="CN25" i="21"/>
  <c r="CP17" i="21"/>
  <c r="CP77" i="21"/>
  <c r="CT87" i="21"/>
  <c r="CM17" i="21"/>
  <c r="CN29" i="21"/>
  <c r="CN39" i="21"/>
  <c r="CT79" i="21"/>
  <c r="CM82" i="21"/>
  <c r="CM108" i="21"/>
  <c r="CT53" i="21"/>
  <c r="CP55" i="21"/>
  <c r="CN100" i="21"/>
  <c r="CP15" i="21"/>
  <c r="CL79" i="21"/>
  <c r="CT60" i="21"/>
  <c r="CT83" i="21"/>
  <c r="CT99" i="21"/>
  <c r="CT86" i="21"/>
  <c r="CN73" i="21"/>
  <c r="CO14" i="21"/>
  <c r="CT55" i="21"/>
  <c r="CT109" i="21"/>
  <c r="CO51" i="21"/>
  <c r="CP109" i="21"/>
  <c r="CM86" i="21"/>
  <c r="CL28" i="21"/>
  <c r="CT48" i="21"/>
  <c r="CL60" i="21"/>
  <c r="CT76" i="21"/>
  <c r="CP49" i="21"/>
  <c r="CP47" i="21"/>
  <c r="CM24" i="21"/>
  <c r="CT14" i="21"/>
  <c r="CT59" i="21"/>
  <c r="CM79" i="21"/>
  <c r="CL105" i="21"/>
  <c r="CM36" i="21"/>
  <c r="CL73" i="21"/>
  <c r="CT40" i="21"/>
  <c r="CN17" i="21"/>
  <c r="CP22" i="21"/>
  <c r="CN53" i="21"/>
  <c r="CM61" i="21"/>
  <c r="CO108" i="21"/>
  <c r="CN83" i="21"/>
  <c r="CT15" i="21"/>
  <c r="CL40" i="21"/>
  <c r="CO84" i="21"/>
  <c r="CM29" i="21"/>
  <c r="CT58" i="21"/>
  <c r="CM81" i="21"/>
  <c r="CM74" i="21"/>
  <c r="CM52" i="21"/>
  <c r="CP36" i="21"/>
  <c r="CL25" i="21"/>
  <c r="CN76" i="21"/>
  <c r="CO49" i="21"/>
  <c r="CL85" i="21"/>
  <c r="CT105" i="21"/>
  <c r="CP60" i="21"/>
  <c r="CO55" i="21"/>
  <c r="CM50" i="21"/>
  <c r="CN26" i="21"/>
  <c r="CO62" i="21"/>
  <c r="CO31" i="21"/>
  <c r="CO13" i="21"/>
  <c r="CL84" i="21"/>
  <c r="CM107" i="21"/>
  <c r="CM38" i="21"/>
  <c r="CM56" i="21"/>
  <c r="CL101" i="21"/>
  <c r="CP107" i="21"/>
  <c r="CL52" i="21"/>
  <c r="CN23" i="21"/>
  <c r="CN16" i="21"/>
  <c r="CT110" i="21"/>
  <c r="CT75" i="21"/>
  <c r="CM49" i="21"/>
  <c r="CN38" i="21"/>
  <c r="CP61" i="21"/>
  <c r="CT77" i="21"/>
  <c r="CM77" i="21"/>
  <c r="CL91" i="21"/>
  <c r="CM62" i="21"/>
  <c r="CL24" i="21"/>
  <c r="CT39" i="21"/>
  <c r="CP100" i="21"/>
  <c r="CL57" i="21"/>
  <c r="CL19" i="21"/>
  <c r="CP82" i="21"/>
  <c r="CM109" i="21"/>
  <c r="CT72" i="21"/>
  <c r="CN52" i="21"/>
  <c r="CL74" i="21"/>
  <c r="CT35" i="21"/>
  <c r="CO26" i="21"/>
  <c r="CN91" i="21"/>
  <c r="CO25" i="21"/>
  <c r="CO23" i="21"/>
  <c r="CT80" i="21"/>
  <c r="CM101" i="21"/>
  <c r="CT17" i="21"/>
  <c r="CT101" i="21"/>
  <c r="CP14" i="21"/>
  <c r="CN59" i="21"/>
  <c r="CN81" i="21"/>
  <c r="CP23" i="21"/>
  <c r="CP108" i="21"/>
  <c r="CL13" i="21"/>
  <c r="CO74" i="21"/>
  <c r="CM99" i="21"/>
  <c r="CL88" i="21"/>
  <c r="CL108" i="21"/>
  <c r="CM55" i="21"/>
  <c r="CL17" i="21"/>
  <c r="CP37" i="21"/>
  <c r="CL54" i="21"/>
  <c r="CO80" i="21"/>
  <c r="CO99" i="21"/>
  <c r="CN86" i="21"/>
  <c r="CM13" i="21"/>
  <c r="CL15" i="21"/>
  <c r="CL56" i="21"/>
  <c r="CL104" i="21"/>
  <c r="CO54" i="21"/>
  <c r="CP24" i="21"/>
  <c r="CN78" i="21"/>
  <c r="CM47" i="21"/>
  <c r="CT37" i="21"/>
  <c r="CT52" i="21"/>
  <c r="CP72" i="21"/>
  <c r="CT108" i="21"/>
  <c r="CN61" i="21"/>
  <c r="CM60" i="21"/>
  <c r="CN62" i="21"/>
  <c r="CM54" i="21"/>
  <c r="CP74" i="21"/>
  <c r="CM80" i="21"/>
  <c r="CT13" i="21"/>
  <c r="CT41" i="21"/>
  <c r="CL109" i="21"/>
  <c r="CP87" i="21"/>
  <c r="CP39" i="21"/>
  <c r="CP76" i="21"/>
  <c r="CT50" i="21"/>
  <c r="CM89" i="21"/>
  <c r="CT82" i="21"/>
  <c r="CP62" i="21"/>
  <c r="CO72" i="21"/>
  <c r="CT12" i="21"/>
  <c r="CN27" i="21"/>
  <c r="CO37" i="21"/>
  <c r="CP34" i="21"/>
  <c r="CO75" i="21"/>
  <c r="CL47" i="21"/>
  <c r="CO52" i="21"/>
  <c r="CN105" i="21"/>
  <c r="CO34" i="21"/>
  <c r="CO91" i="21"/>
  <c r="CN108" i="21"/>
  <c r="CM87" i="21"/>
  <c r="CM35" i="21"/>
  <c r="CO76" i="21"/>
  <c r="CP48" i="21"/>
  <c r="CP79" i="21"/>
  <c r="CN88" i="21"/>
  <c r="CL80" i="21"/>
  <c r="CN60" i="21"/>
  <c r="CO79" i="21"/>
  <c r="CL82" i="21"/>
  <c r="CT32" i="21"/>
  <c r="CP56" i="21"/>
  <c r="CL77" i="21"/>
  <c r="CO81" i="21"/>
  <c r="CN40" i="21"/>
  <c r="CN74" i="21"/>
  <c r="CT22" i="21"/>
  <c r="CO53" i="21"/>
  <c r="CM85" i="21"/>
  <c r="CL37" i="21"/>
  <c r="CN85" i="21"/>
  <c r="CP81" i="21"/>
  <c r="CN15" i="21"/>
  <c r="CP101" i="21"/>
  <c r="CP31" i="21"/>
  <c r="CL20" i="21"/>
  <c r="CM15" i="21"/>
  <c r="CL110" i="21"/>
  <c r="CT49" i="21"/>
  <c r="CP12" i="21"/>
  <c r="CL14" i="21"/>
  <c r="CN56" i="21"/>
  <c r="CL29" i="21"/>
  <c r="CN72" i="21"/>
  <c r="CO16" i="21"/>
  <c r="CM21" i="21"/>
  <c r="CL48" i="21"/>
  <c r="CL23" i="21"/>
  <c r="CO82" i="21"/>
  <c r="CP13" i="21"/>
  <c r="CP18" i="21"/>
  <c r="CO48" i="21"/>
  <c r="CM18" i="21"/>
  <c r="O115" i="17"/>
  <c r="CM73" i="21"/>
  <c r="CL36" i="21"/>
  <c r="CO88" i="21"/>
  <c r="CP29" i="21"/>
  <c r="CL22" i="21"/>
  <c r="CO56" i="21"/>
  <c r="CP85" i="21"/>
  <c r="CT84" i="21"/>
  <c r="CM25" i="21"/>
  <c r="CL62" i="21"/>
  <c r="CM88" i="21"/>
  <c r="CN13" i="21"/>
  <c r="CP86" i="21"/>
  <c r="CT23" i="21"/>
  <c r="CN101" i="21"/>
  <c r="CP78" i="21"/>
  <c r="CT56" i="21"/>
  <c r="CO107" i="21"/>
  <c r="CM78" i="21"/>
  <c r="CM58" i="21"/>
  <c r="CN51" i="21"/>
  <c r="CO100" i="21"/>
  <c r="CP21" i="21"/>
  <c r="CO12" i="21"/>
  <c r="CO73" i="21"/>
  <c r="CL26" i="21"/>
  <c r="CO83" i="21"/>
  <c r="CN104" i="21"/>
  <c r="CM83" i="21"/>
  <c r="CL107" i="21"/>
  <c r="CM40" i="21"/>
  <c r="CP99" i="21"/>
  <c r="CP27" i="21"/>
  <c r="CL58" i="21"/>
  <c r="CO57" i="21"/>
  <c r="CL87" i="21"/>
  <c r="CN49" i="21"/>
  <c r="CP110" i="21"/>
  <c r="CO22" i="21"/>
  <c r="CO77" i="21"/>
  <c r="CO29" i="21"/>
  <c r="CM22" i="21"/>
  <c r="CT29" i="21"/>
  <c r="CO21" i="21"/>
  <c r="CP20" i="21"/>
  <c r="CN82" i="21"/>
  <c r="CN35" i="21"/>
  <c r="CM16" i="21"/>
  <c r="CN20" i="21"/>
  <c r="CP25" i="21"/>
  <c r="CN48" i="21"/>
  <c r="CT42" i="21"/>
  <c r="CL72" i="21"/>
  <c r="CO36" i="21"/>
  <c r="CT100" i="21"/>
  <c r="CP28" i="21"/>
  <c r="CP58" i="21"/>
  <c r="CL35" i="21"/>
  <c r="CP88" i="21"/>
  <c r="CP16" i="21"/>
  <c r="CT31" i="21"/>
  <c r="CN89" i="21"/>
  <c r="CN57" i="21"/>
  <c r="CL18" i="21"/>
  <c r="CO109" i="21"/>
  <c r="CP105" i="21"/>
  <c r="CM28" i="21"/>
  <c r="CN79" i="21"/>
  <c r="CP26" i="21"/>
  <c r="CL55" i="21"/>
  <c r="CL49" i="21"/>
  <c r="CL50" i="21"/>
  <c r="CT104" i="21"/>
  <c r="CT107" i="21"/>
  <c r="CM14" i="21"/>
  <c r="CT88" i="21"/>
  <c r="CM34" i="21"/>
  <c r="CM20" i="21"/>
  <c r="CM57" i="21"/>
  <c r="CL99" i="21"/>
  <c r="CT47" i="21"/>
  <c r="CT25" i="21"/>
  <c r="CO104" i="21"/>
  <c r="CM100" i="21"/>
  <c r="CP53" i="21"/>
  <c r="CM23" i="21"/>
  <c r="CO59" i="21"/>
  <c r="CO17" i="21"/>
  <c r="CN77" i="21"/>
  <c r="CN37" i="21"/>
  <c r="CO85" i="21"/>
  <c r="CT89" i="21"/>
  <c r="CP54" i="21"/>
  <c r="CM91" i="21"/>
  <c r="CP75" i="21"/>
  <c r="CO35" i="21"/>
  <c r="CL59" i="21"/>
  <c r="CO40" i="21"/>
  <c r="CM105" i="21"/>
  <c r="CM53" i="21"/>
  <c r="CN54" i="21"/>
  <c r="CM76" i="21"/>
  <c r="CT81" i="21"/>
  <c r="CO39" i="21"/>
  <c r="CP89" i="21"/>
  <c r="CP57" i="21"/>
  <c r="CM26" i="21"/>
  <c r="CO89" i="21"/>
  <c r="CN109" i="21"/>
  <c r="CT78" i="21"/>
  <c r="CO105" i="21"/>
  <c r="G128" i="12" a="1"/>
  <c r="CM75" i="21"/>
  <c r="CM72" i="21"/>
  <c r="CN36" i="21"/>
  <c r="CT63" i="21"/>
  <c r="CP38" i="21"/>
  <c r="CT21" i="21"/>
  <c r="CT57" i="21"/>
  <c r="CT85" i="21"/>
  <c r="CT20" i="21"/>
  <c r="CM31" i="21"/>
  <c r="CM19" i="21"/>
  <c r="CM104" i="21"/>
  <c r="CL39" i="21"/>
  <c r="CL34" i="21"/>
  <c r="CT27" i="21"/>
  <c r="CL38" i="21"/>
  <c r="CN28" i="21"/>
  <c r="CT74" i="21"/>
  <c r="CO86" i="21"/>
  <c r="CN58" i="21"/>
  <c r="CM48" i="21"/>
  <c r="CL53" i="21"/>
  <c r="CL16" i="21"/>
  <c r="CM110" i="21"/>
  <c r="CN34" i="21"/>
  <c r="CM37" i="21"/>
  <c r="CP52" i="21"/>
  <c r="CL78" i="21"/>
  <c r="CO20" i="21"/>
  <c r="CM12" i="21"/>
  <c r="CT95" i="21"/>
  <c r="CO50" i="21"/>
  <c r="CN24" i="21"/>
  <c r="CL21" i="21"/>
  <c r="CM41" i="21" l="1"/>
  <c r="CL41" i="21"/>
  <c r="CM32" i="21"/>
  <c r="CL32" i="21"/>
  <c r="CN8" i="21"/>
  <c r="CM98" i="21"/>
  <c r="CK98" i="21" s="1"/>
  <c r="CU104" i="21"/>
  <c r="CT112" i="21"/>
  <c r="CK8" i="21"/>
  <c r="CM33" i="21"/>
  <c r="CM122" i="21" s="1"/>
  <c r="CM140" i="21" s="1"/>
  <c r="CV23" i="21"/>
  <c r="CM106" i="21"/>
  <c r="CM125" i="21"/>
  <c r="CV80" i="21"/>
  <c r="CV84" i="21"/>
  <c r="CV82" i="21"/>
  <c r="CV85" i="21"/>
  <c r="CV86" i="21"/>
  <c r="CP126" i="21"/>
  <c r="CO41" i="21"/>
  <c r="CV89" i="21"/>
  <c r="CL106" i="21"/>
  <c r="CP127" i="21"/>
  <c r="CO32" i="21"/>
  <c r="CL124" i="21"/>
  <c r="CN66" i="21"/>
  <c r="CN94" i="21" s="1"/>
  <c r="CL127" i="21"/>
  <c r="CL125" i="21"/>
  <c r="CN32" i="21"/>
  <c r="CP41" i="21"/>
  <c r="CM128" i="21"/>
  <c r="CV21" i="21"/>
  <c r="CV73" i="21"/>
  <c r="CV74" i="21"/>
  <c r="CN125" i="21"/>
  <c r="CO66" i="21"/>
  <c r="CO94" i="21" s="1"/>
  <c r="CM66" i="21"/>
  <c r="CM94" i="21" s="1"/>
  <c r="CV75" i="21"/>
  <c r="CV78" i="21"/>
  <c r="CV81" i="21"/>
  <c r="CV83" i="21"/>
  <c r="CV88" i="21"/>
  <c r="CP66" i="21"/>
  <c r="CP94" i="21" s="1"/>
  <c r="CN128" i="21"/>
  <c r="CN129" i="21"/>
  <c r="CO129" i="21"/>
  <c r="CL129" i="21"/>
  <c r="CL126" i="21"/>
  <c r="CP32" i="21"/>
  <c r="CN124" i="21"/>
  <c r="CO124" i="21"/>
  <c r="CL66" i="21"/>
  <c r="CL112" i="21" s="1"/>
  <c r="CN126" i="21"/>
  <c r="CM124" i="21"/>
  <c r="CV14" i="21"/>
  <c r="CL128" i="21"/>
  <c r="CN127" i="21"/>
  <c r="CV18" i="21"/>
  <c r="CO126" i="21"/>
  <c r="CM126" i="21"/>
  <c r="CV26" i="21"/>
  <c r="CO127" i="21"/>
  <c r="CO125" i="21"/>
  <c r="CV77" i="21"/>
  <c r="CV79" i="21"/>
  <c r="CP125" i="21"/>
  <c r="CP129" i="21"/>
  <c r="CM129" i="21"/>
  <c r="CM127" i="21"/>
  <c r="CO128" i="21"/>
  <c r="CV72" i="21"/>
  <c r="CV76" i="21"/>
  <c r="CV87" i="21"/>
  <c r="CP124" i="21"/>
  <c r="CP128" i="21"/>
  <c r="CN41" i="21"/>
  <c r="CL102" i="21"/>
  <c r="CM97" i="21"/>
  <c r="CM46" i="21"/>
  <c r="CM71" i="21"/>
  <c r="CN98" i="21"/>
  <c r="CN33" i="21"/>
  <c r="CM102" i="21"/>
  <c r="CL122" i="21"/>
  <c r="CL140" i="21" s="1"/>
  <c r="CL97" i="21"/>
  <c r="CL71" i="21"/>
  <c r="CL46" i="21"/>
  <c r="CO8" i="21"/>
  <c r="K116" i="17"/>
  <c r="G128" i="12"/>
  <c r="CY95" i="18"/>
  <c r="CY69" i="18"/>
  <c r="CY44" i="18"/>
  <c r="CX95" i="2"/>
  <c r="CX44" i="2"/>
  <c r="CX69" i="2"/>
  <c r="CY96" i="2"/>
  <c r="CY70" i="2"/>
  <c r="CZ9" i="2"/>
  <c r="CY3" i="2"/>
  <c r="CY8" i="2"/>
  <c r="CY45" i="2"/>
  <c r="CZ70" i="18"/>
  <c r="CZ96" i="18"/>
  <c r="CZ45" i="18"/>
  <c r="CZ8" i="18"/>
  <c r="G129" i="12" a="1"/>
  <c r="P116" i="17"/>
  <c r="O116" i="17"/>
  <c r="CW84" i="21" l="1"/>
  <c r="CY84" i="21" s="1"/>
  <c r="CO112" i="21"/>
  <c r="CN112" i="21"/>
  <c r="CM112" i="21"/>
  <c r="CM115" i="21" s="1"/>
  <c r="CP112" i="21"/>
  <c r="CW79" i="21"/>
  <c r="CY79" i="21" s="1"/>
  <c r="CN122" i="21"/>
  <c r="CN140" i="21" s="1"/>
  <c r="CN97" i="21"/>
  <c r="CN71" i="21"/>
  <c r="CN46" i="21"/>
  <c r="CL115" i="21"/>
  <c r="CP134" i="21"/>
  <c r="CP135" i="21" s="1"/>
  <c r="CP123" i="21"/>
  <c r="CV28" i="21"/>
  <c r="CV31" i="21" s="1"/>
  <c r="CN102" i="21"/>
  <c r="DG98" i="21"/>
  <c r="CW87" i="21"/>
  <c r="CY87" i="21" s="1"/>
  <c r="CO98" i="21"/>
  <c r="CO33" i="21"/>
  <c r="CW76" i="21"/>
  <c r="CY76" i="21" s="1"/>
  <c r="CM134" i="21"/>
  <c r="CM123" i="21"/>
  <c r="CO134" i="21"/>
  <c r="CO135" i="21" s="1"/>
  <c r="CO123" i="21"/>
  <c r="CW82" i="21"/>
  <c r="CY82" i="21" s="1"/>
  <c r="CN106" i="21"/>
  <c r="CN134" i="21"/>
  <c r="CN123" i="21"/>
  <c r="CL134" i="21"/>
  <c r="CL135" i="21" s="1"/>
  <c r="CL123" i="21"/>
  <c r="CP8" i="21"/>
  <c r="CL94" i="21"/>
  <c r="CS66" i="21"/>
  <c r="K117" i="17"/>
  <c r="G129" i="12"/>
  <c r="CY95" i="2"/>
  <c r="CY69" i="2"/>
  <c r="CY44" i="2"/>
  <c r="CZ95" i="18"/>
  <c r="CZ69" i="18"/>
  <c r="CZ44" i="18"/>
  <c r="CZ96" i="2"/>
  <c r="CZ3" i="2"/>
  <c r="CZ70" i="2"/>
  <c r="DA9" i="2"/>
  <c r="CZ8" i="2"/>
  <c r="CZ45" i="2"/>
  <c r="G130" i="12" a="1"/>
  <c r="P117" i="17"/>
  <c r="O117" i="17"/>
  <c r="CM135" i="21" l="1"/>
  <c r="CN135" i="21" s="1"/>
  <c r="CO151" i="21"/>
  <c r="CO93" i="21"/>
  <c r="CO95" i="21" s="1"/>
  <c r="CP136" i="21"/>
  <c r="CP130" i="21" s="1"/>
  <c r="CP131" i="21" s="1"/>
  <c r="CO136" i="21"/>
  <c r="CO137" i="21" s="1"/>
  <c r="CL151" i="21"/>
  <c r="CL93" i="21"/>
  <c r="CL136" i="21"/>
  <c r="CL130" i="21" s="1"/>
  <c r="CN151" i="21"/>
  <c r="CN93" i="21"/>
  <c r="CN95" i="21" s="1"/>
  <c r="CO102" i="21"/>
  <c r="CO106" i="21"/>
  <c r="CT114" i="21"/>
  <c r="CM151" i="21"/>
  <c r="CM93" i="21"/>
  <c r="CM95" i="21" s="1"/>
  <c r="CO122" i="21"/>
  <c r="CO140" i="21" s="1"/>
  <c r="CO97" i="21"/>
  <c r="CO71" i="21"/>
  <c r="CO46" i="21"/>
  <c r="CP98" i="21"/>
  <c r="CP33" i="21"/>
  <c r="CT115" i="21"/>
  <c r="CP151" i="21"/>
  <c r="CP93" i="21"/>
  <c r="CP95" i="21" s="1"/>
  <c r="K118" i="17"/>
  <c r="G130" i="12"/>
  <c r="DA96" i="2"/>
  <c r="DA45" i="2"/>
  <c r="DA70" i="2"/>
  <c r="DB9" i="2"/>
  <c r="DA3" i="2"/>
  <c r="DA8" i="2"/>
  <c r="CZ95" i="2"/>
  <c r="CZ69" i="2"/>
  <c r="CZ44" i="2"/>
  <c r="O118" i="17"/>
  <c r="P118" i="17"/>
  <c r="G131" i="12" a="1"/>
  <c r="CM136" i="21" l="1"/>
  <c r="CM130" i="21" s="1"/>
  <c r="CM131" i="21" s="1"/>
  <c r="CN136" i="21"/>
  <c r="CN130" i="21" s="1"/>
  <c r="CN131" i="21" s="1"/>
  <c r="CP102" i="21"/>
  <c r="CP106" i="21"/>
  <c r="CL131" i="21"/>
  <c r="CP137" i="21"/>
  <c r="CL95" i="21"/>
  <c r="CP122" i="21"/>
  <c r="CP140" i="21" s="1"/>
  <c r="CP97" i="21"/>
  <c r="CP46" i="21"/>
  <c r="CP71" i="21"/>
  <c r="CL137" i="21"/>
  <c r="K119" i="17"/>
  <c r="G131" i="12"/>
  <c r="DA95" i="2"/>
  <c r="DA44" i="2"/>
  <c r="DA69" i="2"/>
  <c r="DB96" i="2"/>
  <c r="DB70" i="2"/>
  <c r="DC9" i="2"/>
  <c r="DB3" i="2"/>
  <c r="DB8" i="2"/>
  <c r="DB45" i="2"/>
  <c r="O119" i="17"/>
  <c r="G132" i="12" a="1"/>
  <c r="P119" i="17"/>
  <c r="CM137" i="21" l="1"/>
  <c r="CT102" i="21"/>
  <c r="CU109" i="21"/>
  <c r="CT106" i="21"/>
  <c r="CU106" i="21" s="1"/>
  <c r="CU105" i="21"/>
  <c r="CU107" i="21"/>
  <c r="CU110" i="21"/>
  <c r="CU99" i="21"/>
  <c r="CW99" i="21" s="1"/>
  <c r="CU100" i="21"/>
  <c r="CW100" i="21" s="1"/>
  <c r="CU108" i="21"/>
  <c r="CU101" i="21"/>
  <c r="CW101" i="21" s="1"/>
  <c r="CU112" i="21"/>
  <c r="CN137" i="21"/>
  <c r="CK102" i="21"/>
  <c r="CK106" i="21"/>
  <c r="K120" i="17"/>
  <c r="G132" i="12"/>
  <c r="DC96" i="2"/>
  <c r="DC70" i="2"/>
  <c r="DD9" i="2"/>
  <c r="DC3" i="2"/>
  <c r="DC8" i="2"/>
  <c r="DC45" i="2"/>
  <c r="DB95" i="2"/>
  <c r="DB69" i="2"/>
  <c r="DB44" i="2"/>
  <c r="O120" i="17"/>
  <c r="P120" i="17"/>
  <c r="G133" i="12" a="1"/>
  <c r="CU102" i="21" l="1"/>
  <c r="CW102" i="21" s="1"/>
  <c r="K121" i="17"/>
  <c r="G133" i="12"/>
  <c r="DC69" i="2"/>
  <c r="DC95" i="2"/>
  <c r="DC44" i="2"/>
  <c r="DD96" i="2"/>
  <c r="DD70" i="2"/>
  <c r="DD8" i="2"/>
  <c r="DD3" i="2"/>
  <c r="DD45" i="2"/>
  <c r="DE9" i="2"/>
  <c r="P121" i="17"/>
  <c r="G134" i="12" a="1"/>
  <c r="O121" i="17"/>
  <c r="K122" i="17" l="1"/>
  <c r="G134" i="12"/>
  <c r="DE96" i="2"/>
  <c r="DE45" i="2"/>
  <c r="DE70" i="2"/>
  <c r="DE3" i="2"/>
  <c r="DF9" i="2"/>
  <c r="DE8" i="2"/>
  <c r="DD69" i="2"/>
  <c r="DD95" i="2"/>
  <c r="DD44" i="2"/>
  <c r="O122" i="17"/>
  <c r="P122" i="17"/>
  <c r="G135" i="12" a="1"/>
  <c r="K123" i="17" l="1"/>
  <c r="G135" i="12"/>
  <c r="DE95" i="2"/>
  <c r="DE44" i="2"/>
  <c r="DE69" i="2"/>
  <c r="DF96" i="2"/>
  <c r="DF70" i="2"/>
  <c r="DF3" i="2"/>
  <c r="DG9" i="2"/>
  <c r="DF45" i="2"/>
  <c r="DF8" i="2"/>
  <c r="G136" i="12" a="1"/>
  <c r="P123" i="17"/>
  <c r="O123" i="17"/>
  <c r="K124" i="17" l="1"/>
  <c r="G136" i="12"/>
  <c r="DF69" i="2"/>
  <c r="DF95" i="2"/>
  <c r="DF44" i="2"/>
  <c r="DG96" i="2"/>
  <c r="DG70" i="2"/>
  <c r="DG8" i="2"/>
  <c r="DG45" i="2"/>
  <c r="DH9" i="2"/>
  <c r="DG3" i="2"/>
  <c r="O124" i="17"/>
  <c r="P124" i="17"/>
  <c r="G137" i="12" a="1"/>
  <c r="K125" i="17" l="1"/>
  <c r="G137" i="12"/>
  <c r="DH96" i="2"/>
  <c r="DH70" i="2"/>
  <c r="DH45" i="2"/>
  <c r="DI9" i="2"/>
  <c r="DH3" i="2"/>
  <c r="DH8" i="2"/>
  <c r="DG95" i="2"/>
  <c r="DG69" i="2"/>
  <c r="DG44" i="2"/>
  <c r="P125" i="17"/>
  <c r="G138" i="12" a="1"/>
  <c r="O125" i="17"/>
  <c r="K126" i="17" l="1"/>
  <c r="G138" i="12"/>
  <c r="DH95" i="2"/>
  <c r="DH69" i="2"/>
  <c r="DH44" i="2"/>
  <c r="DI96" i="2"/>
  <c r="DI70" i="2"/>
  <c r="DI45" i="2"/>
  <c r="DJ9" i="2"/>
  <c r="DI3" i="2"/>
  <c r="DI8" i="2"/>
  <c r="P126" i="17"/>
  <c r="O126" i="17"/>
  <c r="K127" i="17" l="1"/>
  <c r="DI95" i="2"/>
  <c r="DI69" i="2"/>
  <c r="DI44" i="2"/>
  <c r="DJ96" i="2"/>
  <c r="DJ70" i="2"/>
  <c r="DJ45" i="2"/>
  <c r="DK9" i="2"/>
  <c r="DJ3" i="2"/>
  <c r="DJ8" i="2"/>
  <c r="O127" i="17"/>
  <c r="P127" i="17"/>
  <c r="K128" i="17" l="1"/>
  <c r="DJ95" i="2"/>
  <c r="DJ44" i="2"/>
  <c r="DJ69" i="2"/>
  <c r="DK96" i="2"/>
  <c r="DK70" i="2"/>
  <c r="DK45" i="2"/>
  <c r="DL9" i="2"/>
  <c r="DK3" i="2"/>
  <c r="DK8" i="2"/>
  <c r="O128" i="17"/>
  <c r="P128" i="17"/>
  <c r="K129" i="17" l="1"/>
  <c r="DK95" i="2"/>
  <c r="DK69" i="2"/>
  <c r="DK44" i="2"/>
  <c r="DL96" i="2"/>
  <c r="DL45" i="2"/>
  <c r="DL3" i="2"/>
  <c r="DM9" i="2"/>
  <c r="DL8" i="2"/>
  <c r="DL70" i="2"/>
  <c r="O129" i="17"/>
  <c r="P129" i="17"/>
  <c r="K130" i="17" l="1"/>
  <c r="DM96" i="2"/>
  <c r="DM45" i="2"/>
  <c r="DN9" i="2"/>
  <c r="DM3" i="2"/>
  <c r="DM8" i="2"/>
  <c r="DM70" i="2"/>
  <c r="DL95" i="2"/>
  <c r="DL44" i="2"/>
  <c r="DL69" i="2"/>
  <c r="O130" i="17"/>
  <c r="P130" i="17"/>
  <c r="K131" i="17" l="1"/>
  <c r="DM95" i="2"/>
  <c r="DM44" i="2"/>
  <c r="DM69" i="2"/>
  <c r="DN96" i="2"/>
  <c r="DN70" i="2"/>
  <c r="DO9" i="2"/>
  <c r="DN3" i="2"/>
  <c r="DN8" i="2"/>
  <c r="DN45" i="2"/>
  <c r="O131" i="17"/>
  <c r="P131" i="17"/>
  <c r="K132" i="17" l="1"/>
  <c r="DN95" i="2"/>
  <c r="DN69" i="2"/>
  <c r="DN44" i="2"/>
  <c r="DO70" i="2"/>
  <c r="DO96" i="2"/>
  <c r="DP9" i="2"/>
  <c r="DO3" i="2"/>
  <c r="DO8" i="2"/>
  <c r="DO45" i="2"/>
  <c r="P132" i="17"/>
  <c r="O132" i="17"/>
  <c r="K133" i="17" l="1"/>
  <c r="DO69" i="2"/>
  <c r="DO95" i="2"/>
  <c r="DO44" i="2"/>
  <c r="DP70" i="2"/>
  <c r="DP96" i="2"/>
  <c r="DP8" i="2"/>
  <c r="DP3" i="2"/>
  <c r="DP45" i="2"/>
  <c r="DQ9" i="2"/>
  <c r="DR9" i="2" s="1"/>
  <c r="P133" i="17"/>
  <c r="O133" i="17"/>
  <c r="DR8" i="2" l="1"/>
  <c r="DR70" i="2"/>
  <c r="DR96" i="2"/>
  <c r="DR45" i="2"/>
  <c r="DR3" i="2"/>
  <c r="DS9" i="2"/>
  <c r="K134" i="17"/>
  <c r="DQ96" i="2"/>
  <c r="DQ45" i="2"/>
  <c r="DQ70" i="2"/>
  <c r="DQ3" i="2"/>
  <c r="DQ8" i="2"/>
  <c r="DP69" i="2"/>
  <c r="DP95" i="2"/>
  <c r="DP44" i="2"/>
  <c r="O134" i="17"/>
  <c r="P134" i="17"/>
  <c r="K135" i="17" l="1"/>
  <c r="DS96" i="2"/>
  <c r="DS45" i="2"/>
  <c r="DS3" i="2"/>
  <c r="DS70" i="2"/>
  <c r="DT9" i="2"/>
  <c r="DS8" i="2"/>
  <c r="DR69" i="2"/>
  <c r="DR95" i="2"/>
  <c r="DR44" i="2"/>
  <c r="DQ95" i="2"/>
  <c r="DQ44" i="2"/>
  <c r="DQ69" i="2"/>
  <c r="P135" i="17"/>
  <c r="O135" i="17"/>
  <c r="DT45" i="2" l="1"/>
  <c r="DT3" i="2"/>
  <c r="DT70" i="2"/>
  <c r="DT96" i="2"/>
  <c r="DT8" i="2"/>
  <c r="DU9" i="2"/>
  <c r="DS69" i="2"/>
  <c r="DS95" i="2"/>
  <c r="DS44" i="2"/>
  <c r="K136" i="17"/>
  <c r="FH9" i="2"/>
  <c r="FG9" i="2"/>
  <c r="FF10" i="2"/>
  <c r="FJ9" i="2"/>
  <c r="FF8" i="2"/>
  <c r="FI9" i="2"/>
  <c r="FG10" i="2"/>
  <c r="FH10" i="2"/>
  <c r="FI10" i="2"/>
  <c r="FF81" i="2"/>
  <c r="FG24" i="2"/>
  <c r="FH101" i="2"/>
  <c r="FH77" i="2"/>
  <c r="FI59" i="2"/>
  <c r="FG40" i="2"/>
  <c r="FF99" i="2"/>
  <c r="FI51" i="2"/>
  <c r="FG31" i="2"/>
  <c r="FF34" i="2"/>
  <c r="FI54" i="2"/>
  <c r="FI80" i="2"/>
  <c r="FI86" i="2"/>
  <c r="FH72" i="2"/>
  <c r="FH17" i="2"/>
  <c r="FG105" i="2"/>
  <c r="FG25" i="2"/>
  <c r="FI38" i="2"/>
  <c r="FG83" i="2"/>
  <c r="FG47" i="2"/>
  <c r="FH89" i="2"/>
  <c r="FI89" i="2"/>
  <c r="FF54" i="2"/>
  <c r="FH35" i="2"/>
  <c r="FF17" i="2"/>
  <c r="FG89" i="2"/>
  <c r="FI25" i="2"/>
  <c r="FF86" i="2"/>
  <c r="FF80" i="2"/>
  <c r="FI21" i="2"/>
  <c r="FH107" i="2"/>
  <c r="FI49" i="2"/>
  <c r="FI27" i="2"/>
  <c r="FH24" i="2"/>
  <c r="FG13" i="2"/>
  <c r="FF82" i="2"/>
  <c r="FI100" i="2"/>
  <c r="FH99" i="2"/>
  <c r="FF20" i="2"/>
  <c r="FI109" i="2"/>
  <c r="FF22" i="2"/>
  <c r="FH12" i="2"/>
  <c r="FI37" i="2"/>
  <c r="FI53" i="2"/>
  <c r="FG52" i="2"/>
  <c r="FG12" i="2"/>
  <c r="FI14" i="2"/>
  <c r="FF83" i="2"/>
  <c r="FI26" i="2"/>
  <c r="FF14" i="2"/>
  <c r="FI60" i="2"/>
  <c r="FH59" i="2"/>
  <c r="FH25" i="2"/>
  <c r="FI13" i="2"/>
  <c r="FH52" i="2"/>
  <c r="FF56" i="2"/>
  <c r="FF35" i="2"/>
  <c r="FI82" i="2"/>
  <c r="FH81" i="2"/>
  <c r="FG27" i="2"/>
  <c r="FI40" i="2"/>
  <c r="FG20" i="2"/>
  <c r="FI79" i="2"/>
  <c r="FH104" i="2"/>
  <c r="FF108" i="2"/>
  <c r="FH39" i="2"/>
  <c r="FG50" i="2"/>
  <c r="FH29" i="2"/>
  <c r="FG109" i="2"/>
  <c r="FH78" i="2"/>
  <c r="FG79" i="2"/>
  <c r="FI36" i="2"/>
  <c r="FI77" i="2"/>
  <c r="FG74" i="2"/>
  <c r="FH36" i="2"/>
  <c r="FI78" i="2"/>
  <c r="FG62" i="2"/>
  <c r="FI75" i="2"/>
  <c r="FG77" i="2"/>
  <c r="FF37" i="2"/>
  <c r="FH87" i="2"/>
  <c r="FF73" i="2"/>
  <c r="FH85" i="2"/>
  <c r="FG23" i="2"/>
  <c r="FF107" i="2"/>
  <c r="FG60" i="2"/>
  <c r="FG29" i="2"/>
  <c r="FH73" i="2"/>
  <c r="FH13" i="2"/>
  <c r="FG39" i="2"/>
  <c r="FG55" i="2"/>
  <c r="FH83" i="2"/>
  <c r="FI15" i="2"/>
  <c r="FF29" i="2"/>
  <c r="FI47" i="2"/>
  <c r="FI31" i="2"/>
  <c r="FH76" i="2"/>
  <c r="FF88" i="2"/>
  <c r="FF75" i="2"/>
  <c r="FG82" i="2"/>
  <c r="FF87" i="2"/>
  <c r="FG80" i="2"/>
  <c r="FG86" i="2"/>
  <c r="FH53" i="2"/>
  <c r="FF109" i="2"/>
  <c r="FG15" i="2"/>
  <c r="FH26" i="2"/>
  <c r="FG51" i="2"/>
  <c r="FG28" i="2"/>
  <c r="FH51" i="2"/>
  <c r="FF62" i="2"/>
  <c r="FG110" i="2"/>
  <c r="FG14" i="2"/>
  <c r="FH84" i="2"/>
  <c r="FI81" i="2"/>
  <c r="FH55" i="2"/>
  <c r="FF49" i="2"/>
  <c r="FI99" i="2"/>
  <c r="FI28" i="2"/>
  <c r="FG84" i="2"/>
  <c r="FF21" i="2"/>
  <c r="FF77" i="2"/>
  <c r="FI74" i="2"/>
  <c r="FH57" i="2"/>
  <c r="FF84" i="2"/>
  <c r="FG34" i="2"/>
  <c r="FF15" i="2"/>
  <c r="FF23" i="2"/>
  <c r="FG49" i="2"/>
  <c r="FF91" i="2"/>
  <c r="FH88" i="2"/>
  <c r="FH75" i="2"/>
  <c r="FI85" i="2"/>
  <c r="FH16" i="2"/>
  <c r="FI17" i="2"/>
  <c r="FI34" i="2"/>
  <c r="FI16" i="2"/>
  <c r="FH14" i="2"/>
  <c r="FH60" i="2"/>
  <c r="FG85" i="2"/>
  <c r="FG18" i="2"/>
  <c r="FF48" i="2"/>
  <c r="FG57" i="2"/>
  <c r="FF104" i="2"/>
  <c r="FF59" i="2"/>
  <c r="FF24" i="2"/>
  <c r="FI88" i="2"/>
  <c r="FG36" i="2"/>
  <c r="FI12" i="2"/>
  <c r="FI105" i="2"/>
  <c r="FI62" i="2"/>
  <c r="FG19" i="2"/>
  <c r="FF31" i="2"/>
  <c r="FH15" i="2"/>
  <c r="FG108" i="2"/>
  <c r="FG54" i="2"/>
  <c r="FH91" i="2"/>
  <c r="FF57" i="2"/>
  <c r="FI48" i="2"/>
  <c r="FF110" i="2"/>
  <c r="FH74" i="2"/>
  <c r="FI35" i="2"/>
  <c r="FI58" i="2"/>
  <c r="FG76" i="2"/>
  <c r="FF16" i="2"/>
  <c r="FH47" i="2"/>
  <c r="FG22" i="2"/>
  <c r="FI20" i="2"/>
  <c r="FH109" i="2"/>
  <c r="FH105" i="2"/>
  <c r="FG17" i="2"/>
  <c r="FF38" i="2"/>
  <c r="FH28" i="2"/>
  <c r="FG87" i="2"/>
  <c r="FI52" i="2"/>
  <c r="P136" i="17"/>
  <c r="FG56" i="2"/>
  <c r="FF100" i="2"/>
  <c r="FG59" i="2"/>
  <c r="FH80" i="2"/>
  <c r="FH50" i="2"/>
  <c r="FH61" i="2"/>
  <c r="FG104" i="2"/>
  <c r="FG75" i="2"/>
  <c r="FI19" i="2"/>
  <c r="FI23" i="2"/>
  <c r="FI108" i="2"/>
  <c r="FH54" i="2"/>
  <c r="FH19" i="2"/>
  <c r="FG73" i="2"/>
  <c r="FH38" i="2"/>
  <c r="FG21" i="2"/>
  <c r="FF19" i="2"/>
  <c r="FF51" i="2"/>
  <c r="FH79" i="2"/>
  <c r="FF53" i="2"/>
  <c r="FI39" i="2"/>
  <c r="FH34" i="2"/>
  <c r="FH110" i="2"/>
  <c r="FG107" i="2"/>
  <c r="FH48" i="2"/>
  <c r="FG38" i="2"/>
  <c r="FH100" i="2"/>
  <c r="FH21" i="2"/>
  <c r="FI110" i="2"/>
  <c r="FG58" i="2"/>
  <c r="FI91" i="2"/>
  <c r="FH82" i="2"/>
  <c r="FH18" i="2"/>
  <c r="FI101" i="2"/>
  <c r="FF105" i="2"/>
  <c r="FG100" i="2"/>
  <c r="FI104" i="2"/>
  <c r="FH56" i="2"/>
  <c r="FH20" i="2"/>
  <c r="FG53" i="2"/>
  <c r="FG61" i="2"/>
  <c r="FF76" i="2"/>
  <c r="FH49" i="2"/>
  <c r="FH27" i="2"/>
  <c r="FF101" i="2"/>
  <c r="FG37" i="2"/>
  <c r="FF47" i="2"/>
  <c r="FF85" i="2"/>
  <c r="FH40" i="2"/>
  <c r="FG81" i="2"/>
  <c r="O136" i="17"/>
  <c r="FF26" i="2"/>
  <c r="FG78" i="2"/>
  <c r="FI84" i="2"/>
  <c r="FH108" i="2"/>
  <c r="FH37" i="2"/>
  <c r="FH62" i="2"/>
  <c r="FG101" i="2"/>
  <c r="FG16" i="2"/>
  <c r="FI76" i="2"/>
  <c r="FH23" i="2"/>
  <c r="FF18" i="2"/>
  <c r="FF28" i="2"/>
  <c r="FF78" i="2"/>
  <c r="FI29" i="2"/>
  <c r="FI72" i="2"/>
  <c r="FF36" i="2"/>
  <c r="FI18" i="2"/>
  <c r="FH86" i="2"/>
  <c r="FF61" i="2"/>
  <c r="FH58" i="2"/>
  <c r="FF58" i="2"/>
  <c r="FF27" i="2"/>
  <c r="FF60" i="2"/>
  <c r="FF39" i="2"/>
  <c r="FI57" i="2"/>
  <c r="FF74" i="2"/>
  <c r="FH31" i="2"/>
  <c r="FI83" i="2"/>
  <c r="FF40" i="2"/>
  <c r="FG35" i="2"/>
  <c r="FI24" i="2"/>
  <c r="FG91" i="2"/>
  <c r="FG48" i="2"/>
  <c r="FI56" i="2"/>
  <c r="FF12" i="2"/>
  <c r="FF52" i="2"/>
  <c r="FF25" i="2"/>
  <c r="FF72" i="2"/>
  <c r="FG72" i="2"/>
  <c r="FI55" i="2"/>
  <c r="FI22" i="2"/>
  <c r="FF50" i="2"/>
  <c r="FH22" i="2"/>
  <c r="FI50" i="2"/>
  <c r="FG88" i="2"/>
  <c r="FF89" i="2"/>
  <c r="FF55" i="2"/>
  <c r="FI87" i="2"/>
  <c r="FI73" i="2"/>
  <c r="FI61" i="2"/>
  <c r="FG26" i="2"/>
  <c r="FG99" i="2"/>
  <c r="FF13" i="2"/>
  <c r="FI107" i="2"/>
  <c r="FF79" i="2"/>
  <c r="DU8" i="2" l="1"/>
  <c r="DU70" i="2"/>
  <c r="DU96" i="2"/>
  <c r="DU3" i="2"/>
  <c r="FJ10" i="2" s="1"/>
  <c r="DU45" i="2"/>
  <c r="DT44" i="2"/>
  <c r="DT69" i="2"/>
  <c r="DT95" i="2"/>
  <c r="K137" i="17"/>
  <c r="FG41" i="2"/>
  <c r="FF41" i="2"/>
  <c r="FI41" i="2"/>
  <c r="FH41" i="2"/>
  <c r="FP18" i="2"/>
  <c r="FG129" i="2"/>
  <c r="FF129" i="2"/>
  <c r="FI129" i="2"/>
  <c r="FH129" i="2"/>
  <c r="FI66" i="2"/>
  <c r="FI94" i="2" s="1"/>
  <c r="FI125" i="2"/>
  <c r="FI124" i="2"/>
  <c r="FI127" i="2"/>
  <c r="FI128" i="2"/>
  <c r="FI126" i="2"/>
  <c r="FI32" i="2"/>
  <c r="FF66" i="2"/>
  <c r="FF112" i="2" s="1"/>
  <c r="FF124" i="2"/>
  <c r="FF125" i="2"/>
  <c r="FF126" i="2"/>
  <c r="FF128" i="2"/>
  <c r="FF127" i="2"/>
  <c r="FF32" i="2"/>
  <c r="FG128" i="2"/>
  <c r="FG127" i="2"/>
  <c r="FP26" i="2"/>
  <c r="FG126" i="2"/>
  <c r="FP21" i="2"/>
  <c r="FP14" i="2"/>
  <c r="FG124" i="2"/>
  <c r="FP23" i="2"/>
  <c r="FG66" i="2"/>
  <c r="FG94" i="2" s="1"/>
  <c r="FG125" i="2"/>
  <c r="FG32" i="2"/>
  <c r="FQ109" i="2"/>
  <c r="FH124" i="2"/>
  <c r="FH127" i="2"/>
  <c r="FH66" i="2"/>
  <c r="FH94" i="2" s="1"/>
  <c r="FH125" i="2"/>
  <c r="FH128" i="2"/>
  <c r="FH126" i="2"/>
  <c r="FH32" i="2"/>
  <c r="FG8" i="2"/>
  <c r="FF98" i="2"/>
  <c r="FF33" i="2"/>
  <c r="FJ76" i="2"/>
  <c r="FJ99" i="2"/>
  <c r="FJ79" i="2"/>
  <c r="FJ21" i="2"/>
  <c r="FJ75" i="2"/>
  <c r="FJ61" i="2"/>
  <c r="FJ80" i="2"/>
  <c r="FJ86" i="2"/>
  <c r="FJ29" i="2"/>
  <c r="FJ35" i="2"/>
  <c r="FJ31" i="2"/>
  <c r="FJ38" i="2"/>
  <c r="FJ26" i="2"/>
  <c r="FJ20" i="2"/>
  <c r="O137" i="17"/>
  <c r="FJ23" i="2"/>
  <c r="FJ28" i="2"/>
  <c r="FJ19" i="2"/>
  <c r="FJ34" i="2"/>
  <c r="FJ12" i="2"/>
  <c r="FJ74" i="2"/>
  <c r="FJ88" i="2"/>
  <c r="FJ57" i="2"/>
  <c r="FJ72" i="2"/>
  <c r="FJ59" i="2"/>
  <c r="FJ54" i="2"/>
  <c r="FJ100" i="2"/>
  <c r="FJ105" i="2"/>
  <c r="FJ104" i="2"/>
  <c r="FJ14" i="2"/>
  <c r="FJ16" i="2"/>
  <c r="FJ24" i="2"/>
  <c r="FJ49" i="2"/>
  <c r="FJ77" i="2"/>
  <c r="FJ18" i="2"/>
  <c r="FJ50" i="2"/>
  <c r="FJ78" i="2"/>
  <c r="FJ109" i="2"/>
  <c r="FJ73" i="2"/>
  <c r="FJ110" i="2"/>
  <c r="FJ15" i="2"/>
  <c r="FJ27" i="2"/>
  <c r="FJ87" i="2"/>
  <c r="FJ83" i="2"/>
  <c r="FJ85" i="2"/>
  <c r="FJ91" i="2"/>
  <c r="FJ56" i="2"/>
  <c r="FJ22" i="2"/>
  <c r="FJ39" i="2"/>
  <c r="FJ81" i="2"/>
  <c r="P137" i="17"/>
  <c r="FJ84" i="2"/>
  <c r="FJ107" i="2"/>
  <c r="FJ13" i="2"/>
  <c r="FJ47" i="2"/>
  <c r="FJ37" i="2"/>
  <c r="FJ48" i="2"/>
  <c r="FJ36" i="2"/>
  <c r="FJ51" i="2"/>
  <c r="FJ89" i="2"/>
  <c r="FJ25" i="2"/>
  <c r="FJ55" i="2"/>
  <c r="FJ62" i="2"/>
  <c r="FJ40" i="2"/>
  <c r="FJ108" i="2"/>
  <c r="FJ58" i="2"/>
  <c r="FJ53" i="2"/>
  <c r="FJ82" i="2"/>
  <c r="FJ17" i="2"/>
  <c r="FJ60" i="2"/>
  <c r="FJ52" i="2"/>
  <c r="FJ101" i="2"/>
  <c r="FN101" i="2" l="1"/>
  <c r="FN83" i="2"/>
  <c r="FP83" i="2" s="1"/>
  <c r="FN80" i="2"/>
  <c r="FP80" i="2" s="1"/>
  <c r="FN37" i="2"/>
  <c r="FN22" i="2"/>
  <c r="FN50" i="2"/>
  <c r="FN81" i="2"/>
  <c r="FP81" i="2" s="1"/>
  <c r="FN31" i="2"/>
  <c r="FJ32" i="2"/>
  <c r="FN32" i="2" s="1"/>
  <c r="FN49" i="2"/>
  <c r="FN74" i="2"/>
  <c r="FP74" i="2" s="1"/>
  <c r="FN72" i="2"/>
  <c r="FP72" i="2" s="1"/>
  <c r="FN75" i="2"/>
  <c r="FP75" i="2" s="1"/>
  <c r="FN86" i="2"/>
  <c r="FP86" i="2" s="1"/>
  <c r="FJ66" i="2"/>
  <c r="FJ94" i="2" s="1"/>
  <c r="FN47" i="2"/>
  <c r="FN54" i="2"/>
  <c r="FN59" i="2"/>
  <c r="FN58" i="2"/>
  <c r="FN21" i="2"/>
  <c r="FN100" i="2"/>
  <c r="FN23" i="2"/>
  <c r="FN35" i="2"/>
  <c r="FN28" i="2"/>
  <c r="FN51" i="2"/>
  <c r="FN48" i="2"/>
  <c r="FN38" i="2"/>
  <c r="FN62" i="2"/>
  <c r="FN20" i="2"/>
  <c r="FJ129" i="2"/>
  <c r="FN129" i="2" s="1"/>
  <c r="FN109" i="2"/>
  <c r="FN87" i="2"/>
  <c r="FP87" i="2" s="1"/>
  <c r="FN25" i="2"/>
  <c r="FJ126" i="2"/>
  <c r="FN126" i="2" s="1"/>
  <c r="FN89" i="2"/>
  <c r="FP89" i="2" s="1"/>
  <c r="FN40" i="2"/>
  <c r="FN42" i="2" s="1"/>
  <c r="FJ41" i="2"/>
  <c r="FN41" i="2" s="1"/>
  <c r="FJ125" i="2"/>
  <c r="FN125" i="2" s="1"/>
  <c r="FN18" i="2"/>
  <c r="FN57" i="2"/>
  <c r="FN52" i="2"/>
  <c r="FN24" i="2"/>
  <c r="FN110" i="2"/>
  <c r="FN104" i="2"/>
  <c r="FN79" i="2"/>
  <c r="FP79" i="2" s="1"/>
  <c r="FN15" i="2"/>
  <c r="FN91" i="2"/>
  <c r="FN108" i="2"/>
  <c r="FN29" i="2"/>
  <c r="FN84" i="2"/>
  <c r="FP84" i="2" s="1"/>
  <c r="FJ124" i="2"/>
  <c r="FN124" i="2" s="1"/>
  <c r="FN12" i="2"/>
  <c r="FN61" i="2"/>
  <c r="FN13" i="2"/>
  <c r="FN107" i="2"/>
  <c r="FN55" i="2"/>
  <c r="FN82" i="2"/>
  <c r="FP82" i="2" s="1"/>
  <c r="FN53" i="2"/>
  <c r="FN78" i="2"/>
  <c r="FP78" i="2" s="1"/>
  <c r="FN85" i="2"/>
  <c r="FP85" i="2" s="1"/>
  <c r="FN73" i="2"/>
  <c r="FP73" i="2" s="1"/>
  <c r="FN76" i="2"/>
  <c r="FP76" i="2" s="1"/>
  <c r="FN77" i="2"/>
  <c r="FP77" i="2" s="1"/>
  <c r="FN14" i="2"/>
  <c r="FN99" i="2"/>
  <c r="FN19" i="2"/>
  <c r="FN56" i="2"/>
  <c r="FN88" i="2"/>
  <c r="FP88" i="2" s="1"/>
  <c r="FN17" i="2"/>
  <c r="FN16" i="2"/>
  <c r="FJ128" i="2"/>
  <c r="FN128" i="2" s="1"/>
  <c r="FN27" i="2"/>
  <c r="FJ127" i="2"/>
  <c r="FN127" i="2" s="1"/>
  <c r="FN26" i="2"/>
  <c r="FN34" i="2"/>
  <c r="FN39" i="2"/>
  <c r="FN36" i="2"/>
  <c r="FN105" i="2"/>
  <c r="FN60" i="2"/>
  <c r="K138" i="17"/>
  <c r="DU69" i="2"/>
  <c r="DU95" i="2"/>
  <c r="DU44" i="2"/>
  <c r="FF102" i="2"/>
  <c r="FF134" i="2"/>
  <c r="FF135" i="2" s="1"/>
  <c r="FG134" i="2"/>
  <c r="FI134" i="2"/>
  <c r="FI135" i="2" s="1"/>
  <c r="FI136" i="2" s="1"/>
  <c r="FI131" i="2" s="1"/>
  <c r="FH134" i="2"/>
  <c r="FI123" i="2"/>
  <c r="FH123" i="2"/>
  <c r="FG112" i="2"/>
  <c r="FG115" i="2" s="1"/>
  <c r="FF123" i="2"/>
  <c r="FF122" i="2"/>
  <c r="FF140" i="2" s="1"/>
  <c r="FF97" i="2"/>
  <c r="FF46" i="2"/>
  <c r="FF71" i="2"/>
  <c r="FG98" i="2"/>
  <c r="FG33" i="2"/>
  <c r="FF94" i="2"/>
  <c r="FH8" i="2"/>
  <c r="FH112" i="2"/>
  <c r="FF115" i="2"/>
  <c r="FF106" i="2"/>
  <c r="FG123" i="2"/>
  <c r="FI112" i="2"/>
  <c r="O138" i="17"/>
  <c r="P138" i="17"/>
  <c r="FQ87" i="2" l="1"/>
  <c r="FS87" i="2" s="1"/>
  <c r="FQ84" i="2"/>
  <c r="FS84" i="2" s="1"/>
  <c r="FQ82" i="2"/>
  <c r="FS82" i="2" s="1"/>
  <c r="FQ76" i="2"/>
  <c r="FS76" i="2" s="1"/>
  <c r="FQ79" i="2"/>
  <c r="FS79" i="2" s="1"/>
  <c r="FJ112" i="2"/>
  <c r="FN112" i="2" s="1"/>
  <c r="FN66" i="2"/>
  <c r="FM66" i="2"/>
  <c r="FN94" i="2"/>
  <c r="FJ134" i="2"/>
  <c r="FJ135" i="2" s="1"/>
  <c r="FJ136" i="2" s="1"/>
  <c r="FJ130" i="2" s="1"/>
  <c r="FJ131" i="2" s="1"/>
  <c r="FP28" i="2"/>
  <c r="FP31" i="2" s="1"/>
  <c r="FJ123" i="2"/>
  <c r="FJ93" i="2" s="1"/>
  <c r="FJ95" i="2" s="1"/>
  <c r="K139" i="17"/>
  <c r="FG135" i="2"/>
  <c r="FG136" i="2" s="1"/>
  <c r="FG130" i="2" s="1"/>
  <c r="FG131" i="2" s="1"/>
  <c r="FI137" i="2"/>
  <c r="FH33" i="2"/>
  <c r="FH98" i="2"/>
  <c r="FH114" i="2"/>
  <c r="FI8" i="2"/>
  <c r="FI114" i="2" s="1"/>
  <c r="FQ105" i="2"/>
  <c r="FQ110" i="2"/>
  <c r="FQ108" i="2"/>
  <c r="FQ107" i="2"/>
  <c r="FQ101" i="2"/>
  <c r="FQ104" i="2"/>
  <c r="FQ100" i="2"/>
  <c r="FG102" i="2"/>
  <c r="FQ99" i="2"/>
  <c r="FG106" i="2"/>
  <c r="FI151" i="2"/>
  <c r="FI93" i="2"/>
  <c r="FG93" i="2"/>
  <c r="FG95" i="2" s="1"/>
  <c r="FG151" i="2"/>
  <c r="FF136" i="2"/>
  <c r="FF130" i="2" s="1"/>
  <c r="FF93" i="2"/>
  <c r="FF95" i="2" s="1"/>
  <c r="FF151" i="2"/>
  <c r="FH151" i="2"/>
  <c r="FH93" i="2"/>
  <c r="FH95" i="2" s="1"/>
  <c r="FG122" i="2"/>
  <c r="FG140" i="2" s="1"/>
  <c r="FG97" i="2"/>
  <c r="FG71" i="2"/>
  <c r="FG46" i="2"/>
  <c r="P139" i="17"/>
  <c r="O139" i="17"/>
  <c r="FN123" i="2" l="1"/>
  <c r="FJ151" i="2"/>
  <c r="K140" i="17"/>
  <c r="FH115" i="2"/>
  <c r="FH135" i="2"/>
  <c r="FH136" i="2" s="1"/>
  <c r="FH130" i="2" s="1"/>
  <c r="FH131" i="2" s="1"/>
  <c r="FG137" i="2"/>
  <c r="FF137" i="2"/>
  <c r="FI33" i="2"/>
  <c r="FI98" i="2"/>
  <c r="FI115" i="2"/>
  <c r="FJ8" i="2"/>
  <c r="FQ98" i="2"/>
  <c r="GA98" i="2" s="1"/>
  <c r="FH102" i="2"/>
  <c r="FH106" i="2"/>
  <c r="FJ137" i="2"/>
  <c r="FF131" i="2"/>
  <c r="FN93" i="2"/>
  <c r="FI95" i="2"/>
  <c r="FH122" i="2"/>
  <c r="FH140" i="2" s="1"/>
  <c r="FH97" i="2"/>
  <c r="FH71" i="2"/>
  <c r="FH46" i="2"/>
  <c r="FN95" i="2"/>
  <c r="O140" i="17"/>
  <c r="P140" i="17"/>
  <c r="FJ114" i="2" l="1"/>
  <c r="FN114" i="2" s="1"/>
  <c r="K141" i="17"/>
  <c r="FH137" i="2"/>
  <c r="FE8" i="2"/>
  <c r="FJ33" i="2"/>
  <c r="FJ98" i="2"/>
  <c r="FN98" i="2" s="1"/>
  <c r="FN130" i="2"/>
  <c r="FI102" i="2"/>
  <c r="FI106" i="2"/>
  <c r="FN131" i="2"/>
  <c r="FI122" i="2"/>
  <c r="FI140" i="2" s="1"/>
  <c r="FI97" i="2"/>
  <c r="FI71" i="2"/>
  <c r="FI46" i="2"/>
  <c r="P141" i="17"/>
  <c r="O141" i="17"/>
  <c r="K142" i="17" l="1"/>
  <c r="FJ115" i="2"/>
  <c r="FN115" i="2" s="1"/>
  <c r="FJ102" i="2"/>
  <c r="FJ106" i="2"/>
  <c r="FE98" i="2"/>
  <c r="FJ122" i="2"/>
  <c r="FJ140" i="2" s="1"/>
  <c r="FJ97" i="2"/>
  <c r="FJ71" i="2"/>
  <c r="FJ46" i="2"/>
  <c r="P142" i="17"/>
  <c r="O142" i="17"/>
  <c r="K143" i="17" l="1"/>
  <c r="FE106" i="2"/>
  <c r="FE102" i="2"/>
  <c r="FO108" i="2"/>
  <c r="FO109" i="2"/>
  <c r="FO100" i="2"/>
  <c r="FO101" i="2"/>
  <c r="FO110" i="2"/>
  <c r="FN106" i="2"/>
  <c r="FO106" i="2" s="1"/>
  <c r="FO104" i="2"/>
  <c r="FO105" i="2"/>
  <c r="FO99" i="2"/>
  <c r="FN102" i="2"/>
  <c r="FO107" i="2"/>
  <c r="FO112" i="2"/>
  <c r="P143" i="17"/>
  <c r="O143" i="17"/>
  <c r="K144" i="17" l="1"/>
  <c r="FO102" i="2"/>
  <c r="N26" i="20"/>
  <c r="O26" i="20"/>
  <c r="P26" i="20"/>
  <c r="O144" i="17"/>
  <c r="P144" i="17"/>
  <c r="K145" i="17" l="1"/>
  <c r="R27" i="20"/>
  <c r="S27" i="20"/>
  <c r="T26" i="20"/>
  <c r="O27" i="20"/>
  <c r="N27" i="20"/>
  <c r="Q27" i="20"/>
  <c r="Q32" i="20" s="1"/>
  <c r="Q33" i="20" s="1"/>
  <c r="P27" i="20"/>
  <c r="P32" i="20" s="1"/>
  <c r="P33" i="20" s="1"/>
  <c r="O145" i="17"/>
  <c r="P145" i="17"/>
  <c r="K146" i="17" l="1"/>
  <c r="G13" i="20"/>
  <c r="T29" i="20"/>
  <c r="T31" i="20" s="1"/>
  <c r="P36" i="20"/>
  <c r="C9" i="20"/>
  <c r="D9" i="20"/>
  <c r="D11" i="20" s="1"/>
  <c r="G9" i="20"/>
  <c r="O146" i="17"/>
  <c r="P146" i="17"/>
  <c r="K147" i="17" l="1"/>
  <c r="G11" i="20"/>
  <c r="G15" i="20"/>
  <c r="C19" i="20" s="1"/>
  <c r="E9" i="20"/>
  <c r="G10" i="20" s="1"/>
  <c r="C11" i="20"/>
  <c r="O147" i="17"/>
  <c r="P147" i="17"/>
  <c r="K148" i="17" l="1"/>
  <c r="O148" i="17"/>
  <c r="P148" i="17"/>
  <c r="K149" i="17" l="1"/>
  <c r="O149" i="17"/>
  <c r="P149" i="17"/>
  <c r="K150" i="17" l="1"/>
  <c r="O150" i="17"/>
  <c r="P150" i="17"/>
  <c r="K151" i="17" l="1"/>
  <c r="P151" i="17"/>
  <c r="O151" i="17"/>
  <c r="K152" i="17" l="1"/>
  <c r="O152" i="17"/>
  <c r="P152" i="17"/>
  <c r="K153" i="17" l="1"/>
  <c r="P153" i="17"/>
  <c r="O153" i="17"/>
  <c r="K154" i="17" l="1"/>
  <c r="P154" i="17"/>
  <c r="O154" i="17"/>
  <c r="K155" i="17" l="1"/>
  <c r="P155" i="17"/>
  <c r="O155" i="17"/>
  <c r="K156" i="17" l="1"/>
  <c r="P156" i="17"/>
  <c r="O156" i="17"/>
  <c r="K157" i="17" l="1"/>
  <c r="P157" i="17"/>
  <c r="O157" i="17"/>
  <c r="K158" i="17" l="1"/>
  <c r="P158" i="17"/>
  <c r="O158" i="17"/>
  <c r="K159" i="17" l="1"/>
  <c r="O159" i="17"/>
  <c r="P159" i="17"/>
  <c r="K160" i="17" l="1"/>
  <c r="P160" i="17"/>
  <c r="O160" i="17"/>
  <c r="K161" i="17" l="1"/>
  <c r="O161" i="17"/>
  <c r="P161" i="17"/>
  <c r="K162" i="17" l="1"/>
  <c r="O162" i="17"/>
  <c r="P162" i="17"/>
  <c r="K163" i="17" l="1"/>
  <c r="P163" i="17"/>
  <c r="O163" i="17"/>
  <c r="K164" i="17" l="1"/>
  <c r="P164" i="17"/>
  <c r="O164" i="17"/>
  <c r="K165" i="17" l="1"/>
  <c r="O165" i="17"/>
  <c r="P165" i="17"/>
  <c r="K166" i="17" l="1"/>
  <c r="O166" i="17"/>
  <c r="P166" i="17"/>
  <c r="K167" i="17" l="1"/>
  <c r="O167" i="17"/>
  <c r="P167" i="17"/>
  <c r="K168" i="17" l="1"/>
  <c r="O168" i="17"/>
  <c r="P168" i="17"/>
  <c r="K169" i="17" l="1"/>
  <c r="O169" i="17"/>
  <c r="P169" i="17"/>
  <c r="K170" i="17" l="1"/>
  <c r="O170" i="17"/>
  <c r="P170" i="17"/>
  <c r="K171" i="17" l="1"/>
  <c r="P171" i="17"/>
  <c r="O171" i="17"/>
  <c r="K172" i="17" l="1"/>
  <c r="P172" i="17"/>
  <c r="O172" i="17"/>
  <c r="K173" i="17" l="1"/>
  <c r="O173" i="17"/>
  <c r="P173" i="17"/>
  <c r="K174" i="17" l="1"/>
  <c r="P174" i="17"/>
  <c r="O174" i="17"/>
  <c r="K175" i="17" l="1"/>
  <c r="O175" i="17"/>
  <c r="P175" i="17"/>
  <c r="K176" i="17" l="1"/>
  <c r="O176" i="17"/>
  <c r="P176" i="17"/>
  <c r="K177" i="17" l="1"/>
  <c r="O177" i="17"/>
  <c r="P177" i="17"/>
  <c r="K178" i="17" l="1"/>
  <c r="P178" i="17"/>
  <c r="O178" i="17"/>
  <c r="K179" i="17" l="1"/>
  <c r="O179" i="17"/>
  <c r="P179" i="17"/>
  <c r="K180" i="17" l="1"/>
  <c r="O180" i="17"/>
  <c r="P180" i="17"/>
  <c r="K181" i="17" l="1"/>
  <c r="P181" i="17"/>
  <c r="O181" i="17"/>
  <c r="K182" i="17" l="1"/>
  <c r="O182" i="17"/>
  <c r="P182" i="17"/>
  <c r="K183" i="17" l="1"/>
  <c r="P183" i="17"/>
  <c r="O183" i="17"/>
  <c r="K184" i="17" l="1"/>
  <c r="O184" i="17"/>
  <c r="P184" i="17"/>
  <c r="K185" i="17" l="1"/>
  <c r="P185" i="17"/>
  <c r="O185" i="17"/>
  <c r="K186" i="17" l="1"/>
  <c r="O186" i="17"/>
  <c r="P186" i="17"/>
  <c r="K187" i="17" l="1"/>
  <c r="P187" i="17"/>
  <c r="O187" i="17"/>
  <c r="K188" i="17" l="1"/>
  <c r="P188" i="17"/>
  <c r="O188" i="17"/>
  <c r="K189" i="17" l="1"/>
  <c r="O189" i="17"/>
  <c r="P189" i="17"/>
  <c r="K190" i="17" l="1"/>
  <c r="P190" i="17"/>
  <c r="O190" i="17"/>
  <c r="K191" i="17" l="1"/>
  <c r="P191" i="17"/>
  <c r="O191" i="17"/>
  <c r="K192" i="17" l="1"/>
  <c r="P192" i="17"/>
  <c r="O192" i="17"/>
  <c r="K193" i="17" l="1"/>
  <c r="O193" i="17"/>
  <c r="P193" i="17"/>
  <c r="K194" i="17" l="1"/>
  <c r="O194" i="17"/>
  <c r="P194" i="17"/>
  <c r="K195" i="17" l="1"/>
  <c r="P195" i="17"/>
  <c r="O195" i="17"/>
  <c r="K196" i="17" l="1"/>
  <c r="P196" i="17"/>
  <c r="O196" i="17"/>
  <c r="K197" i="17" l="1"/>
  <c r="O197" i="17"/>
  <c r="P197" i="17"/>
  <c r="K198" i="17" l="1"/>
  <c r="P198" i="17"/>
  <c r="O198" i="17"/>
  <c r="K199" i="17" l="1"/>
  <c r="O199" i="17"/>
  <c r="P199" i="17"/>
  <c r="K200" i="17" l="1"/>
  <c r="O200" i="17"/>
  <c r="P200" i="17"/>
  <c r="K201" i="17" l="1"/>
  <c r="O201" i="17"/>
  <c r="P201" i="17"/>
  <c r="K202" i="17" l="1"/>
  <c r="O202" i="17"/>
  <c r="P202" i="17"/>
  <c r="K203" i="17" l="1"/>
  <c r="O203" i="17"/>
  <c r="P203" i="17"/>
  <c r="K204" i="17" l="1"/>
  <c r="O204" i="17"/>
  <c r="P204" i="17"/>
  <c r="K205" i="17" l="1"/>
  <c r="P205" i="17"/>
  <c r="O205" i="17"/>
  <c r="K206" i="17" l="1"/>
  <c r="O206" i="17"/>
  <c r="P206" i="17"/>
  <c r="K207" i="17" l="1"/>
  <c r="P207" i="17"/>
  <c r="O207" i="17"/>
  <c r="K208" i="17" l="1"/>
  <c r="P208" i="17"/>
  <c r="O208" i="17"/>
  <c r="K209" i="17" l="1"/>
  <c r="O209" i="17"/>
  <c r="P209" i="17"/>
  <c r="K210" i="17" l="1"/>
  <c r="O210" i="17"/>
  <c r="P210" i="17"/>
  <c r="K211" i="17" l="1"/>
  <c r="O211" i="17"/>
  <c r="P211" i="17"/>
  <c r="K212" i="17" l="1"/>
  <c r="P212" i="17"/>
  <c r="O212" i="17"/>
  <c r="K213" i="17" l="1"/>
  <c r="O213" i="17"/>
  <c r="P213" i="17"/>
  <c r="K214" i="17" l="1"/>
  <c r="O214" i="17"/>
  <c r="P214" i="17"/>
  <c r="K215" i="17" l="1"/>
  <c r="P215" i="17"/>
  <c r="O215" i="17"/>
  <c r="K216" i="17" l="1"/>
  <c r="O216" i="17"/>
  <c r="P216" i="17"/>
  <c r="K217" i="17" l="1"/>
  <c r="P217" i="17"/>
  <c r="O217" i="17"/>
  <c r="K218" i="17" l="1"/>
  <c r="P218" i="17"/>
  <c r="O218" i="17"/>
  <c r="K219" i="17" l="1"/>
  <c r="P219" i="17"/>
  <c r="O219" i="17"/>
  <c r="K220" i="17" l="1"/>
  <c r="P220" i="17"/>
  <c r="O220" i="17"/>
  <c r="K221" i="17" l="1"/>
  <c r="P221" i="17"/>
  <c r="O221" i="17"/>
  <c r="K222" i="17" l="1"/>
  <c r="P222" i="17"/>
  <c r="O222" i="17"/>
  <c r="K223" i="17" l="1"/>
  <c r="O223" i="17"/>
  <c r="P223" i="17"/>
  <c r="K224" i="17" l="1"/>
  <c r="O224" i="17"/>
  <c r="P224" i="17"/>
  <c r="K225" i="17" l="1"/>
  <c r="P225" i="17"/>
  <c r="O225" i="17"/>
  <c r="K226" i="17" l="1"/>
  <c r="O226" i="17"/>
  <c r="P226" i="17"/>
  <c r="K227" i="17" l="1"/>
  <c r="P227" i="17"/>
  <c r="O227" i="17"/>
  <c r="K228" i="17" l="1"/>
  <c r="O228" i="17"/>
  <c r="P228" i="17"/>
  <c r="K229" i="17" l="1"/>
  <c r="O229" i="17"/>
  <c r="P229" i="17"/>
  <c r="K230" i="17" l="1"/>
  <c r="O230" i="17"/>
  <c r="P230" i="17"/>
  <c r="K231" i="17" l="1"/>
  <c r="O231" i="17"/>
  <c r="P231" i="17"/>
  <c r="K232" i="17" l="1"/>
  <c r="O232" i="17"/>
  <c r="P232" i="17"/>
  <c r="K233" i="17" l="1"/>
  <c r="P233" i="17"/>
  <c r="O233" i="17"/>
  <c r="K234" i="17" l="1"/>
  <c r="O234" i="17"/>
  <c r="P234" i="17"/>
  <c r="K235" i="17" l="1"/>
  <c r="O235" i="17"/>
  <c r="P235" i="17"/>
  <c r="K236" i="17" l="1"/>
  <c r="O236" i="17"/>
  <c r="P236" i="17"/>
  <c r="K237" i="17" l="1"/>
  <c r="P237" i="17"/>
  <c r="O237" i="17"/>
  <c r="K238" i="17" l="1"/>
  <c r="O238" i="17"/>
  <c r="P238" i="17"/>
  <c r="K239" i="17" l="1"/>
  <c r="O239" i="17"/>
  <c r="P239" i="17"/>
  <c r="K240" i="17" l="1"/>
  <c r="P240" i="17"/>
  <c r="O240" i="17"/>
  <c r="K241" i="17" l="1"/>
  <c r="P241" i="17"/>
  <c r="O241" i="17"/>
  <c r="K242" i="17" l="1"/>
  <c r="O242" i="17"/>
  <c r="P242" i="17"/>
  <c r="K243" i="17" l="1"/>
  <c r="O243" i="17"/>
  <c r="P243" i="17"/>
  <c r="K244" i="17" l="1"/>
  <c r="P244" i="17"/>
  <c r="O244" i="17"/>
  <c r="K245" i="17" l="1"/>
  <c r="O245" i="17"/>
  <c r="P245" i="17"/>
  <c r="K246" i="17" l="1"/>
  <c r="O246" i="17"/>
  <c r="P246" i="17"/>
  <c r="K247" i="17" l="1"/>
  <c r="P247" i="17"/>
  <c r="O247" i="17"/>
  <c r="K248" i="17" l="1"/>
  <c r="P248" i="17"/>
  <c r="O248" i="17"/>
  <c r="K249" i="17" l="1"/>
  <c r="P249" i="17"/>
  <c r="O249" i="17"/>
  <c r="K250" i="17" l="1"/>
  <c r="O250" i="17"/>
  <c r="P250" i="17"/>
  <c r="K251" i="17" l="1"/>
  <c r="O251" i="17"/>
  <c r="P251" i="17"/>
  <c r="K252" i="17" l="1"/>
  <c r="O252" i="17"/>
  <c r="P252" i="17"/>
  <c r="K253" i="17" l="1"/>
  <c r="O253" i="17"/>
  <c r="P253" i="17"/>
  <c r="K254" i="17" l="1"/>
  <c r="O254" i="17"/>
  <c r="P254" i="17"/>
  <c r="K255" i="17" l="1"/>
  <c r="P255" i="17"/>
  <c r="O255" i="17"/>
  <c r="K256" i="17" l="1"/>
  <c r="P256" i="17"/>
  <c r="O256" i="17"/>
  <c r="K257" i="17" l="1"/>
  <c r="P257" i="17"/>
  <c r="O257" i="17"/>
  <c r="K258" i="17" l="1"/>
  <c r="O258" i="17"/>
  <c r="P258" i="17"/>
  <c r="K259" i="17" l="1"/>
  <c r="P259" i="17"/>
  <c r="O259" i="17"/>
  <c r="K260" i="17" l="1"/>
  <c r="P260" i="17"/>
  <c r="O260" i="17"/>
  <c r="K261" i="17" l="1"/>
  <c r="O261" i="17"/>
  <c r="P261" i="17"/>
  <c r="K262" i="17" l="1"/>
  <c r="O262" i="17"/>
  <c r="P262" i="17"/>
  <c r="K263" i="17" l="1"/>
  <c r="P263" i="17"/>
  <c r="O263" i="17"/>
  <c r="K264" i="17" l="1"/>
  <c r="O264" i="17"/>
  <c r="P264" i="17"/>
  <c r="K265" i="17" l="1"/>
  <c r="P265" i="17"/>
  <c r="O265" i="17"/>
  <c r="K266" i="17" l="1"/>
  <c r="P266" i="17"/>
  <c r="O266" i="17"/>
  <c r="K267" i="17" l="1"/>
  <c r="P267" i="17"/>
  <c r="O267" i="17"/>
  <c r="K268" i="17" l="1"/>
  <c r="P268" i="17"/>
  <c r="O268" i="17"/>
  <c r="K269" i="17" l="1"/>
  <c r="P269" i="17"/>
  <c r="O269" i="17"/>
  <c r="K270" i="17" l="1"/>
  <c r="P270" i="17"/>
  <c r="O270" i="17"/>
  <c r="K271" i="17" l="1"/>
  <c r="O271" i="17"/>
  <c r="P271" i="17"/>
  <c r="K272" i="17" l="1"/>
  <c r="O272" i="17"/>
  <c r="P272" i="17"/>
  <c r="K273" i="17" l="1"/>
  <c r="O273" i="17"/>
  <c r="P273" i="17"/>
  <c r="K274" i="17" l="1"/>
  <c r="O274" i="17"/>
  <c r="P274" i="17"/>
  <c r="K275" i="17" l="1"/>
  <c r="O275" i="17"/>
  <c r="P275" i="17"/>
  <c r="K276" i="17" l="1"/>
  <c r="O276" i="17"/>
  <c r="P276" i="17"/>
  <c r="K277" i="17" l="1"/>
  <c r="O277" i="17"/>
  <c r="P277" i="17"/>
  <c r="K278" i="17" l="1"/>
  <c r="P278" i="17"/>
  <c r="O278" i="17"/>
  <c r="K279" i="17" l="1"/>
  <c r="O279" i="17"/>
  <c r="P279" i="17"/>
  <c r="K280" i="17" l="1"/>
  <c r="P280" i="17"/>
  <c r="O280" i="17"/>
  <c r="K281" i="17" l="1"/>
  <c r="O281" i="17"/>
  <c r="P281" i="17"/>
  <c r="K282" i="17" l="1"/>
  <c r="P282" i="17"/>
  <c r="O282" i="17"/>
  <c r="K283" i="17" l="1"/>
  <c r="P283" i="17"/>
  <c r="O283" i="17"/>
  <c r="K284" i="17" l="1"/>
  <c r="P284" i="17"/>
  <c r="O284" i="17"/>
  <c r="K285" i="17" l="1"/>
  <c r="P285" i="17"/>
  <c r="O285" i="17"/>
  <c r="K286" i="17" l="1"/>
  <c r="P286" i="17"/>
  <c r="O286" i="17"/>
  <c r="K287" i="17" l="1"/>
  <c r="O287" i="17"/>
  <c r="P287" i="17"/>
  <c r="K288" i="17" l="1"/>
  <c r="O288" i="17"/>
  <c r="P288" i="17"/>
  <c r="K289" i="17" l="1"/>
  <c r="P289" i="17"/>
  <c r="O289" i="17"/>
  <c r="K290" i="17" l="1"/>
  <c r="P290" i="17"/>
  <c r="O290" i="17"/>
  <c r="K291" i="17" l="1"/>
  <c r="P291" i="17"/>
  <c r="O291" i="17"/>
  <c r="K292" i="17" l="1"/>
  <c r="P292" i="17"/>
  <c r="O292" i="17"/>
  <c r="K293" i="17" l="1"/>
  <c r="O293" i="17"/>
  <c r="P293" i="17"/>
  <c r="K294" i="17" l="1"/>
  <c r="P294" i="17"/>
  <c r="O294" i="17"/>
  <c r="K295" i="17" l="1"/>
  <c r="O295" i="17"/>
  <c r="P295" i="17"/>
  <c r="K296" i="17" l="1"/>
  <c r="P296" i="17"/>
  <c r="O296" i="17"/>
  <c r="K297" i="17" l="1"/>
  <c r="O297" i="17"/>
  <c r="P297" i="17"/>
  <c r="K298" i="17" l="1"/>
  <c r="O298" i="17"/>
  <c r="P298" i="17"/>
  <c r="K299" i="17" l="1"/>
  <c r="P299" i="17"/>
  <c r="O299" i="17"/>
  <c r="K300" i="17" l="1"/>
  <c r="O300" i="17"/>
  <c r="P300" i="17"/>
  <c r="K301" i="17" l="1"/>
  <c r="P301" i="17"/>
  <c r="O301" i="17"/>
  <c r="K302" i="17" l="1"/>
  <c r="P302" i="17"/>
  <c r="O302" i="17"/>
  <c r="K303" i="17" l="1"/>
  <c r="O303" i="17"/>
  <c r="P303" i="17"/>
  <c r="K304" i="17" l="1"/>
  <c r="O304" i="17"/>
  <c r="P304" i="17"/>
  <c r="K305" i="17" l="1"/>
  <c r="P305" i="17"/>
  <c r="O305" i="17"/>
  <c r="K306" i="17" l="1"/>
  <c r="O306" i="17"/>
  <c r="P306" i="17"/>
  <c r="K307" i="17" l="1"/>
  <c r="P307" i="17"/>
  <c r="O307" i="17"/>
  <c r="K308" i="17" l="1"/>
  <c r="P308" i="17"/>
  <c r="O308" i="17"/>
  <c r="K309" i="17" l="1"/>
  <c r="O309" i="17"/>
  <c r="P309" i="17"/>
  <c r="K310" i="17" l="1"/>
  <c r="P310" i="17"/>
  <c r="O310" i="17"/>
  <c r="K311" i="17" l="1"/>
  <c r="O311" i="17"/>
  <c r="P311" i="17"/>
  <c r="K312" i="17" l="1"/>
  <c r="P312" i="17"/>
  <c r="O312" i="17"/>
  <c r="K313" i="17" l="1"/>
  <c r="O313" i="17"/>
  <c r="P313" i="17"/>
  <c r="K314" i="17" l="1"/>
  <c r="O314" i="17"/>
  <c r="P314" i="17"/>
  <c r="K315" i="17" l="1"/>
  <c r="P315" i="17"/>
  <c r="O315" i="17"/>
  <c r="K316" i="17" l="1"/>
  <c r="O316" i="17"/>
  <c r="P316" i="17"/>
  <c r="K317" i="17" l="1"/>
  <c r="O317" i="17"/>
  <c r="P317" i="17"/>
  <c r="K318" i="17" l="1"/>
  <c r="P318" i="17"/>
  <c r="O318" i="17"/>
  <c r="K319" i="17" l="1"/>
  <c r="P319" i="17"/>
  <c r="O319" i="17"/>
  <c r="K320" i="17" l="1"/>
  <c r="O320" i="17"/>
  <c r="P320" i="17"/>
  <c r="K321" i="17" l="1"/>
  <c r="P321" i="17"/>
  <c r="O321" i="17"/>
  <c r="K322" i="17" l="1"/>
  <c r="O322" i="17"/>
  <c r="P322" i="17"/>
  <c r="K323" i="17" l="1"/>
  <c r="P323" i="17"/>
  <c r="O323" i="17"/>
  <c r="K324" i="17" l="1"/>
  <c r="P324" i="17"/>
  <c r="O324" i="17"/>
  <c r="K325" i="17" l="1"/>
  <c r="P325" i="17"/>
  <c r="O325" i="17"/>
  <c r="K326" i="17" l="1"/>
  <c r="O326" i="17"/>
  <c r="P326" i="17"/>
  <c r="K327" i="17" l="1"/>
  <c r="O327" i="17"/>
  <c r="P327" i="17"/>
  <c r="K328" i="17" l="1"/>
  <c r="P328" i="17"/>
  <c r="O328" i="17"/>
  <c r="K329" i="17" l="1"/>
  <c r="O329" i="17"/>
  <c r="P329" i="17"/>
  <c r="K330" i="17" l="1"/>
  <c r="O330" i="17"/>
  <c r="P330" i="17"/>
  <c r="K331" i="17" l="1"/>
  <c r="P331" i="17"/>
  <c r="O331" i="17"/>
  <c r="K332" i="17" l="1"/>
  <c r="P332" i="17"/>
  <c r="O332" i="17"/>
  <c r="K333" i="17" l="1"/>
  <c r="O333" i="17"/>
  <c r="P333" i="17"/>
  <c r="K334" i="17" l="1"/>
  <c r="O334" i="17"/>
  <c r="P334" i="17"/>
  <c r="K335" i="17" l="1"/>
  <c r="P335" i="17"/>
  <c r="O335" i="17"/>
  <c r="K336" i="17" l="1"/>
  <c r="P336" i="17"/>
  <c r="O336" i="17"/>
  <c r="K337" i="17" l="1"/>
  <c r="O337" i="17"/>
  <c r="P337" i="17"/>
  <c r="K338" i="17" l="1"/>
  <c r="O338" i="17"/>
  <c r="P338" i="17"/>
  <c r="K339" i="17" l="1"/>
  <c r="O339" i="17"/>
  <c r="P339" i="17"/>
  <c r="K340" i="17" l="1"/>
  <c r="P340" i="17"/>
  <c r="O340" i="17"/>
  <c r="K341" i="17" l="1"/>
  <c r="P341" i="17"/>
  <c r="O341" i="17"/>
  <c r="K342" i="17" l="1"/>
  <c r="P342" i="17"/>
  <c r="O342" i="17"/>
  <c r="K343" i="17" l="1"/>
  <c r="O343" i="17"/>
  <c r="P343" i="17"/>
  <c r="K344" i="17" l="1"/>
  <c r="P344" i="17"/>
  <c r="O344" i="17"/>
  <c r="K345" i="17" l="1"/>
  <c r="P345" i="17"/>
  <c r="O345" i="17"/>
  <c r="K346" i="17" l="1"/>
  <c r="O346" i="17"/>
  <c r="P346" i="17"/>
  <c r="K347" i="17" l="1"/>
  <c r="O347" i="17"/>
  <c r="P347" i="17"/>
  <c r="K348" i="17" l="1"/>
  <c r="O348" i="17"/>
  <c r="P348" i="17"/>
  <c r="K349" i="17" l="1"/>
  <c r="O349" i="17"/>
  <c r="P349" i="17"/>
  <c r="K350" i="17" l="1"/>
  <c r="O350" i="17"/>
  <c r="P350" i="17"/>
  <c r="K351" i="17" l="1"/>
  <c r="O351" i="17"/>
  <c r="P351" i="17"/>
  <c r="K352" i="17" l="1"/>
  <c r="P352" i="17"/>
  <c r="O352" i="17"/>
  <c r="K353" i="17" l="1"/>
  <c r="O353" i="17"/>
  <c r="P353" i="17"/>
  <c r="K354" i="17" l="1"/>
  <c r="P354" i="17"/>
  <c r="O354" i="17"/>
  <c r="K355" i="17" l="1"/>
  <c r="O355" i="17"/>
  <c r="P355" i="17"/>
  <c r="K356" i="17" l="1"/>
  <c r="P356" i="17"/>
  <c r="O356" i="17"/>
  <c r="K357" i="17" l="1"/>
  <c r="P357" i="17"/>
  <c r="O357" i="17"/>
  <c r="K358" i="17" l="1"/>
  <c r="O358" i="17"/>
  <c r="P358" i="17"/>
  <c r="K359" i="17" l="1"/>
  <c r="P359" i="17"/>
  <c r="O359" i="17"/>
  <c r="K360" i="17" l="1"/>
  <c r="O360" i="17"/>
  <c r="P360" i="17"/>
  <c r="K361" i="17" l="1"/>
  <c r="P361" i="17"/>
  <c r="O361" i="17"/>
  <c r="K362" i="17" l="1"/>
  <c r="P362" i="17"/>
  <c r="O362" i="17"/>
  <c r="K363" i="17" l="1"/>
  <c r="O363" i="17"/>
  <c r="P363" i="17"/>
  <c r="K364" i="17" l="1"/>
  <c r="P364" i="17"/>
  <c r="O364" i="17"/>
  <c r="K365" i="17" l="1"/>
  <c r="P365" i="17"/>
  <c r="O365" i="17"/>
  <c r="K366" i="17" l="1"/>
  <c r="O366" i="17"/>
  <c r="P366" i="17"/>
  <c r="K367" i="17" l="1"/>
  <c r="O367" i="17"/>
  <c r="P367" i="17"/>
  <c r="K368" i="17" l="1"/>
  <c r="P368" i="17"/>
  <c r="O368" i="17"/>
  <c r="K369" i="17" l="1"/>
  <c r="O369" i="17"/>
  <c r="P369" i="17"/>
  <c r="K370" i="17" l="1"/>
  <c r="O370" i="17"/>
  <c r="P370" i="17"/>
  <c r="K371" i="17" l="1"/>
  <c r="P371" i="17"/>
  <c r="O371" i="17"/>
  <c r="K372" i="17" l="1"/>
  <c r="O372" i="17"/>
  <c r="P372" i="17"/>
  <c r="K373" i="17" l="1"/>
  <c r="O373" i="17"/>
  <c r="P373" i="17"/>
  <c r="K374" i="17" l="1"/>
  <c r="P374" i="17"/>
  <c r="O374" i="17"/>
  <c r="K375" i="17" l="1"/>
  <c r="O375" i="17"/>
  <c r="P375" i="17"/>
  <c r="K376" i="17" l="1"/>
  <c r="O376" i="17"/>
  <c r="P376" i="17"/>
  <c r="K377" i="17" l="1"/>
  <c r="P377" i="17"/>
  <c r="O377" i="17"/>
  <c r="K378" i="17" l="1"/>
  <c r="P378" i="17"/>
  <c r="O378" i="17"/>
  <c r="K379" i="17" l="1"/>
  <c r="P379" i="17"/>
  <c r="O379" i="17"/>
  <c r="K380" i="17" l="1"/>
  <c r="O380" i="17"/>
  <c r="P380" i="17"/>
  <c r="K381" i="17" l="1"/>
  <c r="P381" i="17"/>
  <c r="O381" i="17"/>
  <c r="K382" i="17" l="1"/>
  <c r="P382" i="17"/>
  <c r="O382" i="17"/>
  <c r="K383" i="17" l="1"/>
  <c r="P383" i="17"/>
  <c r="O383" i="17"/>
  <c r="K384" i="17" l="1"/>
  <c r="P384" i="17"/>
  <c r="O384" i="17"/>
  <c r="K385" i="17" l="1"/>
  <c r="O385" i="17"/>
  <c r="P385" i="17"/>
  <c r="K386" i="17" l="1"/>
  <c r="P386" i="17"/>
  <c r="O386" i="17"/>
  <c r="K387" i="17" l="1"/>
  <c r="P387" i="17"/>
  <c r="O387" i="17"/>
  <c r="K388" i="17" l="1"/>
  <c r="O388" i="17"/>
  <c r="P388" i="17"/>
  <c r="K389" i="17" l="1"/>
  <c r="O389" i="17"/>
  <c r="P389" i="17"/>
  <c r="K390" i="17" l="1"/>
  <c r="O390" i="17"/>
  <c r="P390" i="17"/>
  <c r="K391" i="17" l="1"/>
  <c r="P391" i="17"/>
  <c r="O391" i="17"/>
  <c r="K392" i="17" l="1"/>
  <c r="O392" i="17"/>
  <c r="P392" i="17"/>
  <c r="K393" i="17" l="1"/>
  <c r="O393" i="17"/>
  <c r="P393" i="17"/>
  <c r="K394" i="17" l="1"/>
  <c r="O394" i="17"/>
  <c r="P394" i="17"/>
  <c r="K395" i="17" l="1"/>
  <c r="P395" i="17"/>
  <c r="O395" i="17"/>
  <c r="K396" i="17" l="1"/>
  <c r="O396" i="17"/>
  <c r="P396" i="17"/>
  <c r="K397" i="17" l="1"/>
  <c r="O397" i="17"/>
  <c r="P397" i="17"/>
  <c r="K398" i="17" l="1"/>
  <c r="P398" i="17"/>
  <c r="O398" i="17"/>
  <c r="K399" i="17" l="1"/>
  <c r="P399" i="17"/>
  <c r="O399" i="17"/>
  <c r="K400" i="17" l="1"/>
  <c r="P400" i="17"/>
  <c r="O400" i="17"/>
  <c r="K401" i="17" l="1"/>
  <c r="P401" i="17"/>
  <c r="O401" i="17"/>
  <c r="K402" i="17" l="1"/>
  <c r="P402" i="17"/>
  <c r="O402" i="17"/>
  <c r="K403" i="17" l="1"/>
  <c r="P403" i="17"/>
  <c r="O403" i="17"/>
  <c r="K404" i="17" l="1"/>
  <c r="O404" i="17"/>
  <c r="P404" i="17"/>
  <c r="K405" i="17" l="1"/>
  <c r="P405" i="17"/>
  <c r="O405" i="17"/>
  <c r="K406" i="17" l="1"/>
  <c r="P406" i="17"/>
  <c r="O406" i="17"/>
  <c r="K407" i="17" l="1"/>
  <c r="O407" i="17"/>
  <c r="P407" i="17"/>
  <c r="K408" i="17" l="1"/>
  <c r="P408" i="17"/>
  <c r="O408" i="17"/>
  <c r="K409" i="17" l="1"/>
  <c r="O409" i="17"/>
  <c r="P409" i="17"/>
  <c r="K410" i="17" l="1"/>
  <c r="P410" i="17"/>
  <c r="O410" i="17"/>
  <c r="K411" i="17" l="1"/>
  <c r="P411" i="17"/>
  <c r="O411" i="17"/>
  <c r="K412" i="17" l="1"/>
  <c r="O412" i="17"/>
  <c r="P412" i="17"/>
  <c r="K413" i="17" l="1"/>
  <c r="P413" i="17"/>
  <c r="O413" i="17"/>
  <c r="K414" i="17" l="1"/>
  <c r="P414" i="17"/>
  <c r="O414" i="17"/>
  <c r="K415" i="17" l="1"/>
  <c r="P415" i="17"/>
  <c r="O415" i="17"/>
  <c r="K416" i="17" l="1"/>
  <c r="O416" i="17"/>
  <c r="P416" i="17"/>
  <c r="K417" i="17" l="1"/>
  <c r="P417" i="17"/>
  <c r="O417" i="17"/>
  <c r="K418" i="17" l="1"/>
  <c r="O418" i="17"/>
  <c r="P418" i="17"/>
  <c r="K419" i="17" l="1"/>
  <c r="O419" i="17"/>
  <c r="P419" i="17"/>
  <c r="K420" i="17" l="1"/>
  <c r="P420" i="17"/>
  <c r="O420" i="17"/>
  <c r="K421" i="17" l="1"/>
  <c r="O421" i="17"/>
  <c r="P421" i="17"/>
  <c r="K422" i="17" l="1"/>
  <c r="P422" i="17"/>
  <c r="O422" i="17"/>
  <c r="K423" i="17" l="1"/>
  <c r="O423" i="17"/>
  <c r="P423" i="17"/>
  <c r="K424" i="17" l="1"/>
  <c r="O424" i="17"/>
  <c r="P424" i="17"/>
  <c r="K425" i="17" l="1"/>
  <c r="O425" i="17"/>
  <c r="P425" i="17"/>
  <c r="K426" i="17" l="1"/>
  <c r="P426" i="17"/>
  <c r="O426" i="17"/>
  <c r="K427" i="17" l="1"/>
  <c r="P427" i="17"/>
  <c r="O427" i="17"/>
  <c r="K428" i="17" l="1"/>
  <c r="O428" i="17"/>
  <c r="P428" i="17"/>
  <c r="K429" i="17" l="1"/>
  <c r="P429" i="17"/>
  <c r="O429" i="17"/>
  <c r="K430" i="17" l="1"/>
  <c r="P430" i="17"/>
  <c r="O430" i="17"/>
  <c r="K431" i="17" l="1"/>
  <c r="O431" i="17"/>
  <c r="P431" i="17"/>
  <c r="K432" i="17" l="1"/>
  <c r="P432" i="17"/>
  <c r="O432" i="17"/>
  <c r="K433" i="17" l="1"/>
  <c r="O433" i="17"/>
  <c r="P433" i="17"/>
  <c r="K434" i="17" l="1"/>
  <c r="P434" i="17"/>
  <c r="O434" i="17"/>
  <c r="K435" i="17" l="1"/>
  <c r="P435" i="17"/>
  <c r="O435" i="17"/>
  <c r="K436" i="17" l="1"/>
  <c r="P436" i="17"/>
  <c r="O436" i="17"/>
  <c r="K437" i="17" l="1"/>
  <c r="P437" i="17"/>
  <c r="O437" i="17"/>
  <c r="K438" i="17" l="1"/>
  <c r="O438" i="17"/>
  <c r="P438" i="17"/>
  <c r="K439" i="17" l="1"/>
  <c r="O439" i="17"/>
  <c r="P439" i="17"/>
  <c r="K440" i="17" l="1"/>
  <c r="P440" i="17"/>
  <c r="O440" i="17"/>
  <c r="K441" i="17" l="1"/>
  <c r="O441" i="17"/>
  <c r="P441" i="17"/>
  <c r="K442" i="17" l="1"/>
  <c r="O442" i="17"/>
  <c r="P442" i="17"/>
  <c r="K443" i="17" l="1"/>
  <c r="O443" i="17"/>
  <c r="P443" i="17"/>
  <c r="K444" i="17" l="1"/>
  <c r="O444" i="17"/>
  <c r="P444" i="17"/>
  <c r="K445" i="17" l="1"/>
  <c r="O445" i="17"/>
  <c r="P445" i="17"/>
  <c r="K446" i="17" l="1"/>
  <c r="O446" i="17"/>
  <c r="P446" i="17"/>
  <c r="K447" i="17" l="1"/>
  <c r="O447" i="17"/>
  <c r="P447" i="17"/>
  <c r="K448" i="17" l="1"/>
  <c r="P448" i="17"/>
  <c r="O448" i="17"/>
  <c r="K449" i="17" l="1"/>
  <c r="P449" i="17"/>
  <c r="O449" i="17"/>
  <c r="K450" i="17" l="1"/>
  <c r="O450" i="17"/>
  <c r="P450" i="17"/>
  <c r="K451" i="17" l="1"/>
  <c r="O451" i="17"/>
  <c r="P451" i="17"/>
  <c r="K452" i="17" l="1"/>
  <c r="P452" i="17"/>
  <c r="O452" i="17"/>
  <c r="K453" i="17" l="1"/>
  <c r="O453" i="17"/>
  <c r="P453" i="17"/>
  <c r="K454" i="17" l="1"/>
  <c r="P454" i="17"/>
  <c r="O454" i="17"/>
  <c r="K455" i="17" l="1"/>
  <c r="O455" i="17"/>
  <c r="P455" i="17"/>
  <c r="K456" i="17" l="1"/>
  <c r="P456" i="17"/>
  <c r="O456" i="17"/>
  <c r="K457" i="17" l="1"/>
  <c r="P457" i="17"/>
  <c r="O457" i="17"/>
  <c r="K458" i="17" l="1"/>
  <c r="O458" i="17"/>
  <c r="P458" i="17"/>
  <c r="K459" i="17" l="1"/>
  <c r="O459" i="17"/>
  <c r="P459" i="17"/>
  <c r="K460" i="17" l="1"/>
  <c r="O460" i="17"/>
  <c r="P460" i="17"/>
  <c r="K461" i="17" l="1"/>
  <c r="O461" i="17"/>
  <c r="P461" i="17"/>
  <c r="K462" i="17" l="1"/>
  <c r="O462" i="17"/>
  <c r="P462" i="17"/>
  <c r="K463" i="17" l="1"/>
  <c r="P463" i="17"/>
  <c r="O463" i="17"/>
  <c r="K464" i="17" l="1"/>
  <c r="O464" i="17"/>
  <c r="P464" i="17"/>
  <c r="K465" i="17" l="1"/>
  <c r="P465" i="17"/>
  <c r="O465" i="17"/>
  <c r="K466" i="17" l="1"/>
  <c r="P466" i="17"/>
  <c r="O466" i="17"/>
  <c r="K467" i="17" l="1"/>
  <c r="O467" i="17"/>
  <c r="P467" i="17"/>
  <c r="K468" i="17" l="1"/>
  <c r="P468" i="17"/>
  <c r="O468" i="17"/>
  <c r="K469" i="17" l="1"/>
  <c r="P469" i="17"/>
  <c r="O469" i="17"/>
  <c r="K470" i="17" l="1"/>
  <c r="P470" i="17"/>
  <c r="O470" i="17"/>
  <c r="K471" i="17" l="1"/>
  <c r="O471" i="17"/>
  <c r="P471" i="17"/>
  <c r="K472" i="17" l="1"/>
  <c r="O472" i="17"/>
  <c r="P472" i="17"/>
  <c r="K473" i="17" l="1"/>
  <c r="O473" i="17"/>
  <c r="P473" i="17"/>
  <c r="K474" i="17" l="1"/>
  <c r="P474" i="17"/>
  <c r="O474" i="17"/>
  <c r="K475" i="17" l="1"/>
  <c r="O475" i="17"/>
  <c r="P475" i="17"/>
  <c r="K476" i="17" l="1"/>
  <c r="O476" i="17"/>
  <c r="P476" i="17"/>
  <c r="K477" i="17" l="1"/>
  <c r="O477" i="17"/>
  <c r="P477" i="17"/>
  <c r="K478" i="17" l="1"/>
  <c r="O478" i="17"/>
  <c r="P478" i="17"/>
  <c r="K479" i="17" l="1"/>
  <c r="P479" i="17"/>
  <c r="O479" i="17"/>
  <c r="K480" i="17" l="1"/>
  <c r="P480" i="17"/>
  <c r="O480" i="17"/>
  <c r="K481" i="17" l="1"/>
  <c r="P481" i="17"/>
  <c r="O481" i="17"/>
  <c r="K482" i="17" l="1"/>
  <c r="P482" i="17"/>
  <c r="O482" i="17"/>
  <c r="K483" i="17" l="1"/>
  <c r="O483" i="17"/>
  <c r="P483" i="17"/>
  <c r="K484" i="17" l="1"/>
  <c r="P484" i="17"/>
  <c r="O484" i="17"/>
  <c r="K485" i="17" l="1"/>
  <c r="P485" i="17"/>
  <c r="O485" i="17"/>
  <c r="K486" i="17" l="1"/>
  <c r="O486" i="17"/>
  <c r="P486" i="17"/>
  <c r="K487" i="17" l="1"/>
  <c r="O487" i="17"/>
  <c r="P487" i="17"/>
  <c r="K488" i="17" l="1"/>
  <c r="O488" i="17"/>
  <c r="P488" i="17"/>
  <c r="K489" i="17" l="1"/>
  <c r="P489" i="17"/>
  <c r="O489" i="17"/>
  <c r="K490" i="17" l="1"/>
  <c r="O490" i="17"/>
  <c r="P490" i="17"/>
  <c r="K491" i="17" l="1"/>
  <c r="O491" i="17"/>
  <c r="P491" i="17"/>
  <c r="K492" i="17" l="1"/>
  <c r="O492" i="17"/>
  <c r="P492" i="17"/>
  <c r="K493" i="17" l="1"/>
  <c r="P493" i="17"/>
  <c r="O493" i="17"/>
  <c r="K494" i="17" l="1"/>
  <c r="P494" i="17"/>
  <c r="O494" i="17"/>
  <c r="K495" i="17" l="1"/>
  <c r="O495" i="17"/>
  <c r="P495" i="17"/>
  <c r="K496" i="17" l="1"/>
  <c r="P496" i="17"/>
  <c r="O496" i="17"/>
  <c r="K497" i="17" l="1"/>
  <c r="O497" i="17"/>
  <c r="P497" i="17"/>
  <c r="K498" i="17" l="1"/>
  <c r="P498" i="17"/>
  <c r="O498" i="17"/>
  <c r="K499" i="17" l="1"/>
  <c r="P499" i="17"/>
  <c r="O499" i="17"/>
  <c r="K500" i="17" l="1"/>
  <c r="P500" i="17"/>
  <c r="O500" i="17"/>
  <c r="K501" i="17" l="1"/>
  <c r="O501" i="17"/>
  <c r="P501" i="17"/>
  <c r="K502" i="17" l="1"/>
  <c r="P502" i="17"/>
  <c r="O502" i="17"/>
  <c r="K503" i="17" l="1"/>
  <c r="P503" i="17"/>
  <c r="O503" i="17"/>
  <c r="K504" i="17" l="1"/>
  <c r="O504" i="17"/>
  <c r="P504" i="17"/>
  <c r="K505" i="17" l="1"/>
  <c r="P505" i="17"/>
  <c r="O505" i="17"/>
  <c r="K506" i="17" l="1"/>
  <c r="P506" i="17"/>
  <c r="O506" i="17"/>
  <c r="K507" i="17" l="1"/>
  <c r="O507" i="17"/>
  <c r="P507" i="17"/>
  <c r="K508" i="17" l="1"/>
  <c r="O508" i="17"/>
  <c r="P508" i="17"/>
  <c r="K509" i="17" l="1"/>
  <c r="P509" i="17"/>
  <c r="O509" i="17"/>
  <c r="K510" i="17" l="1"/>
  <c r="O510" i="17"/>
  <c r="P510" i="17"/>
  <c r="K511" i="17" l="1"/>
  <c r="P511" i="17"/>
  <c r="O511" i="17"/>
  <c r="K512" i="17" l="1"/>
  <c r="P512" i="17"/>
  <c r="O512" i="17"/>
  <c r="K513" i="17" l="1"/>
  <c r="O513" i="17"/>
  <c r="P513" i="17"/>
  <c r="K514" i="17" l="1"/>
  <c r="O514" i="17"/>
  <c r="P514" i="17"/>
  <c r="K515" i="17" l="1"/>
  <c r="O515" i="17"/>
  <c r="P515" i="17"/>
  <c r="K516" i="17" l="1"/>
  <c r="P516" i="17"/>
  <c r="O516" i="17"/>
  <c r="K517" i="17" l="1"/>
  <c r="P517" i="17"/>
  <c r="O517" i="17"/>
  <c r="K518" i="17" l="1"/>
  <c r="O518" i="17"/>
  <c r="P518" i="17"/>
  <c r="K519" i="17" l="1"/>
  <c r="O519" i="17"/>
  <c r="P519" i="17"/>
  <c r="K520" i="17" l="1"/>
  <c r="O520" i="17"/>
  <c r="P520" i="17"/>
  <c r="K521" i="17" l="1"/>
  <c r="O521" i="17"/>
  <c r="P521" i="17"/>
  <c r="K522" i="17" l="1"/>
  <c r="P522" i="17"/>
  <c r="O522" i="17"/>
  <c r="K523" i="17" l="1"/>
  <c r="O523" i="17"/>
  <c r="P523" i="17"/>
  <c r="K524" i="17" l="1"/>
  <c r="O524" i="17"/>
  <c r="P524" i="17"/>
  <c r="K525" i="17" l="1"/>
  <c r="P525" i="17"/>
  <c r="O525" i="17"/>
  <c r="K526" i="17" l="1"/>
  <c r="O526" i="17"/>
  <c r="P526" i="17"/>
  <c r="K527" i="17" l="1"/>
  <c r="P527" i="17"/>
  <c r="O527" i="17"/>
  <c r="K528" i="17" l="1"/>
  <c r="P528" i="17"/>
  <c r="O528" i="17"/>
  <c r="K529" i="17" l="1"/>
  <c r="P529" i="17"/>
  <c r="O529" i="17"/>
  <c r="K530" i="17" l="1"/>
  <c r="P530" i="17"/>
  <c r="O530" i="17"/>
  <c r="K531" i="17" l="1"/>
  <c r="P531" i="17"/>
  <c r="O531" i="17"/>
  <c r="K532" i="17" l="1"/>
  <c r="P532" i="17"/>
  <c r="O532" i="17"/>
  <c r="K533" i="17" l="1"/>
  <c r="P533" i="17"/>
  <c r="O533" i="17"/>
  <c r="K534" i="17" l="1"/>
  <c r="O534" i="17"/>
  <c r="P534" i="17"/>
  <c r="K535" i="17" l="1"/>
  <c r="O535" i="17"/>
  <c r="P535" i="17"/>
  <c r="K536" i="17" l="1"/>
  <c r="P536" i="17"/>
  <c r="O536" i="17"/>
  <c r="K537" i="17" l="1"/>
  <c r="P537" i="17"/>
  <c r="O537" i="17"/>
  <c r="K538" i="17" l="1"/>
  <c r="P538" i="17"/>
  <c r="O538" i="17"/>
  <c r="K539" i="17" l="1"/>
  <c r="O539" i="17"/>
  <c r="P539" i="17"/>
  <c r="K540" i="17" l="1"/>
  <c r="O540" i="17"/>
  <c r="P540" i="17"/>
  <c r="K541" i="17" l="1"/>
  <c r="O541" i="17"/>
  <c r="P541" i="17"/>
  <c r="K542" i="17" l="1"/>
  <c r="P542" i="17"/>
  <c r="O542" i="17"/>
  <c r="K543" i="17" l="1"/>
  <c r="O543" i="17"/>
  <c r="P543" i="17"/>
  <c r="K544" i="17" l="1"/>
  <c r="P544" i="17"/>
  <c r="O544" i="17"/>
  <c r="K545" i="17" l="1"/>
  <c r="O545" i="17"/>
  <c r="P545" i="17"/>
  <c r="K546" i="17" l="1"/>
  <c r="O546" i="17"/>
  <c r="P546" i="17"/>
  <c r="K547" i="17" l="1"/>
  <c r="O547" i="17"/>
  <c r="P547" i="17"/>
  <c r="K548" i="17" l="1"/>
  <c r="O548" i="17"/>
  <c r="P548" i="17"/>
  <c r="K549" i="17" l="1"/>
  <c r="P549" i="17"/>
  <c r="O549" i="17"/>
  <c r="K550" i="17" l="1"/>
  <c r="P550" i="17"/>
  <c r="O550" i="17"/>
  <c r="K551" i="17" l="1"/>
  <c r="O551" i="17"/>
  <c r="P551" i="17"/>
  <c r="K552" i="17" l="1"/>
  <c r="P552" i="17"/>
  <c r="O552" i="17"/>
  <c r="K553" i="17" l="1"/>
  <c r="O553" i="17"/>
  <c r="P553" i="17"/>
  <c r="K554" i="17" l="1"/>
  <c r="O554" i="17"/>
  <c r="P554" i="17"/>
  <c r="K555" i="17" l="1"/>
  <c r="O555" i="17"/>
  <c r="P555" i="17"/>
  <c r="K556" i="17" l="1"/>
  <c r="P556" i="17"/>
  <c r="O556" i="17"/>
  <c r="K557" i="17" l="1"/>
  <c r="P557" i="17"/>
  <c r="O557" i="17"/>
  <c r="K558" i="17" l="1"/>
  <c r="O558" i="17"/>
  <c r="P558" i="17"/>
  <c r="K559" i="17" l="1"/>
  <c r="O559" i="17"/>
  <c r="P559" i="17"/>
  <c r="K560" i="17" l="1"/>
  <c r="O560" i="17"/>
  <c r="P560" i="17"/>
  <c r="K561" i="17" l="1"/>
  <c r="P561" i="17"/>
  <c r="O561" i="17"/>
  <c r="K562" i="17" l="1"/>
  <c r="O562" i="17"/>
  <c r="P562" i="17"/>
  <c r="K563" i="17" l="1"/>
  <c r="O563" i="17"/>
  <c r="P563" i="17"/>
  <c r="K564" i="17" l="1"/>
  <c r="P564" i="17"/>
  <c r="O564" i="17"/>
  <c r="K565" i="17" l="1"/>
  <c r="O565" i="17"/>
  <c r="P565" i="17"/>
  <c r="K566" i="17" l="1"/>
  <c r="P566" i="17"/>
  <c r="O566" i="17"/>
  <c r="K567" i="17" l="1"/>
  <c r="O567" i="17"/>
  <c r="P567" i="17"/>
  <c r="K568" i="17" l="1"/>
  <c r="O568" i="17"/>
  <c r="P568" i="17"/>
  <c r="K569" i="17" l="1"/>
  <c r="P569" i="17"/>
  <c r="O569" i="17"/>
  <c r="K570" i="17" l="1"/>
  <c r="O570" i="17"/>
  <c r="P570" i="17"/>
  <c r="K571" i="17" l="1"/>
  <c r="O571" i="17"/>
  <c r="P571" i="17"/>
  <c r="K572" i="17" l="1"/>
  <c r="O572" i="17"/>
  <c r="P572" i="17"/>
  <c r="K573" i="17" l="1"/>
  <c r="P573" i="17"/>
  <c r="O573" i="17"/>
  <c r="K574" i="17" l="1"/>
  <c r="P574" i="17"/>
  <c r="O574" i="17"/>
  <c r="K575" i="17" l="1"/>
  <c r="P575" i="17"/>
  <c r="O575" i="17"/>
  <c r="K576" i="17" l="1"/>
  <c r="O576" i="17"/>
  <c r="P576" i="17"/>
  <c r="K577" i="17" l="1"/>
  <c r="O577" i="17"/>
  <c r="P577" i="17"/>
  <c r="K578" i="17" l="1"/>
  <c r="O578" i="17"/>
  <c r="P578" i="17"/>
  <c r="K579" i="17" l="1"/>
  <c r="O579" i="17"/>
  <c r="P579" i="17"/>
  <c r="K580" i="17" l="1"/>
  <c r="O580" i="17"/>
  <c r="P580" i="17"/>
  <c r="K581" i="17" l="1"/>
  <c r="O581" i="17"/>
  <c r="P581" i="17"/>
  <c r="K582" i="17" l="1"/>
  <c r="O582" i="17"/>
  <c r="P582" i="17"/>
  <c r="K583" i="17" l="1"/>
  <c r="P583" i="17"/>
  <c r="O583" i="17"/>
  <c r="K584" i="17" l="1"/>
  <c r="O584" i="17"/>
  <c r="P584" i="17"/>
  <c r="K585" i="17" l="1"/>
  <c r="O585" i="17"/>
  <c r="P585" i="17"/>
  <c r="K586" i="17" l="1"/>
  <c r="P586" i="17"/>
  <c r="O586" i="17"/>
  <c r="K587" i="17" l="1"/>
  <c r="P587" i="17"/>
  <c r="O587" i="17"/>
  <c r="K588" i="17" l="1"/>
  <c r="O588" i="17"/>
  <c r="P588" i="17"/>
  <c r="K589" i="17" l="1"/>
  <c r="O589" i="17"/>
  <c r="P589" i="17"/>
  <c r="K590" i="17" l="1"/>
  <c r="O590" i="17"/>
  <c r="P590" i="17"/>
  <c r="K591" i="17" l="1"/>
  <c r="P591" i="17"/>
  <c r="O591" i="17"/>
  <c r="K592" i="17" l="1"/>
  <c r="O592" i="17"/>
  <c r="P592" i="17"/>
  <c r="K594" i="17" l="1"/>
  <c r="P594" i="17"/>
  <c r="O594" i="17"/>
  <c r="K595" i="17" l="1"/>
  <c r="P595" i="17"/>
  <c r="O595" i="17"/>
</calcChain>
</file>

<file path=xl/comments1.xml><?xml version="1.0" encoding="utf-8"?>
<comments xmlns="http://schemas.openxmlformats.org/spreadsheetml/2006/main">
  <authors>
    <author>Paul HP</author>
  </authors>
  <commentList>
    <comment ref="AZ12" authorId="0" shapeId="0">
      <text>
        <r>
          <rPr>
            <b/>
            <sz val="9"/>
            <color indexed="81"/>
            <rFont val="Tahoma"/>
            <family val="2"/>
          </rPr>
          <t>Paul HP:</t>
        </r>
        <r>
          <rPr>
            <sz val="9"/>
            <color indexed="81"/>
            <rFont val="Tahoma"/>
            <family val="2"/>
          </rPr>
          <t xml:space="preserve">
tous les jours 550 ptit dej et sandwich 
et friits de la passion 2,5 kg 100</t>
        </r>
      </text>
    </comment>
    <comment ref="AX16" authorId="0" shapeId="0">
      <text>
        <r>
          <rPr>
            <b/>
            <sz val="9"/>
            <color indexed="81"/>
            <rFont val="Tahoma"/>
            <family val="2"/>
          </rPr>
          <t>Paul HP:</t>
        </r>
        <r>
          <rPr>
            <sz val="9"/>
            <color indexed="81"/>
            <rFont val="Tahoma"/>
            <family val="2"/>
          </rPr>
          <t xml:space="preserve">
</t>
        </r>
      </text>
    </comment>
    <comment ref="AS17" authorId="0" shapeId="0">
      <text>
        <r>
          <rPr>
            <b/>
            <sz val="9"/>
            <color indexed="81"/>
            <rFont val="Tahoma"/>
            <family val="2"/>
          </rPr>
          <t>Paul HP:</t>
        </r>
        <r>
          <rPr>
            <sz val="9"/>
            <color indexed="81"/>
            <rFont val="Tahoma"/>
            <family val="2"/>
          </rPr>
          <t xml:space="preserve">
2 litres d'essence dans l'epicerie
</t>
        </r>
      </text>
    </comment>
    <comment ref="AU17" authorId="0" shapeId="0">
      <text>
        <r>
          <rPr>
            <b/>
            <sz val="9"/>
            <color indexed="81"/>
            <rFont val="Tahoma"/>
            <family val="2"/>
          </rPr>
          <t>Paul HP:</t>
        </r>
        <r>
          <rPr>
            <sz val="9"/>
            <color indexed="81"/>
            <rFont val="Tahoma"/>
            <family val="2"/>
          </rPr>
          <t xml:space="preserve">
grab 20 et tip 80 ! ! ! 
C'est moi qui ait conduit
</t>
        </r>
      </text>
    </comment>
    <comment ref="AV17" authorId="0" shapeId="0">
      <text>
        <r>
          <rPr>
            <b/>
            <sz val="9"/>
            <color indexed="81"/>
            <rFont val="Tahoma"/>
            <family val="2"/>
          </rPr>
          <t>Paul HP:</t>
        </r>
        <r>
          <rPr>
            <sz val="9"/>
            <color indexed="81"/>
            <rFont val="Tahoma"/>
            <family val="2"/>
          </rPr>
          <t xml:space="preserve">
batterie qui me sera remboursé
</t>
        </r>
      </text>
    </comment>
    <comment ref="AZ17" authorId="0" shapeId="0">
      <text>
        <r>
          <rPr>
            <b/>
            <sz val="9"/>
            <color indexed="81"/>
            <rFont val="Tahoma"/>
            <family val="2"/>
          </rPr>
          <t>Paul HP:</t>
        </r>
        <r>
          <rPr>
            <sz val="9"/>
            <color indexed="81"/>
            <rFont val="Tahoma"/>
            <family val="2"/>
          </rPr>
          <t xml:space="preserve">
paiement 15 jours scoot 500 et remboursement batterie 330</t>
        </r>
      </text>
    </comment>
    <comment ref="G18" authorId="0" shapeId="0">
      <text>
        <r>
          <rPr>
            <b/>
            <sz val="9"/>
            <color indexed="81"/>
            <rFont val="Tahoma"/>
            <family val="2"/>
          </rPr>
          <t>Paul HP:</t>
        </r>
        <r>
          <rPr>
            <sz val="9"/>
            <color indexed="81"/>
            <rFont val="Tahoma"/>
            <family val="2"/>
          </rPr>
          <t xml:space="preserve">
coiffeur 70  tip 100 viettel 250</t>
        </r>
      </text>
    </comment>
    <comment ref="AF18" authorId="0" shapeId="0">
      <text>
        <r>
          <rPr>
            <b/>
            <sz val="9"/>
            <color indexed="81"/>
            <rFont val="Tahoma"/>
            <family val="2"/>
          </rPr>
          <t>Paul HP:</t>
        </r>
        <r>
          <rPr>
            <sz val="9"/>
            <color indexed="81"/>
            <rFont val="Tahoma"/>
            <family val="2"/>
          </rPr>
          <t xml:space="preserve">
19 litres d'eau a 65KD, et 45 de tip</t>
        </r>
      </text>
    </comment>
    <comment ref="AP18" authorId="0" shapeId="0">
      <text>
        <r>
          <rPr>
            <b/>
            <sz val="9"/>
            <color indexed="81"/>
            <rFont val="Tahoma"/>
            <family val="2"/>
          </rPr>
          <t>Paul HP:</t>
        </r>
        <r>
          <rPr>
            <sz val="9"/>
            <color indexed="81"/>
            <rFont val="Tahoma"/>
            <family val="2"/>
          </rPr>
          <t xml:space="preserve">
dispositif sccot phone
</t>
        </r>
      </text>
    </comment>
    <comment ref="AX18" authorId="0" shapeId="0">
      <text>
        <r>
          <rPr>
            <b/>
            <sz val="9"/>
            <color indexed="81"/>
            <rFont val="Tahoma"/>
            <family val="2"/>
          </rPr>
          <t>Paul HP:</t>
        </r>
        <r>
          <rPr>
            <sz val="9"/>
            <color indexed="81"/>
            <rFont val="Tahoma"/>
            <family val="2"/>
          </rPr>
          <t xml:space="preserve">
coiffeur 70</t>
        </r>
      </text>
    </comment>
    <comment ref="AZ18" authorId="0" shapeId="0">
      <text>
        <r>
          <rPr>
            <b/>
            <sz val="9"/>
            <color indexed="81"/>
            <rFont val="Tahoma"/>
            <family val="2"/>
          </rPr>
          <t>Paul HP:</t>
        </r>
        <r>
          <rPr>
            <sz val="9"/>
            <color indexed="81"/>
            <rFont val="Tahoma"/>
            <family val="2"/>
          </rPr>
          <t xml:space="preserve">
location balance 1 jour
</t>
        </r>
      </text>
    </comment>
    <comment ref="AZ19" authorId="0" shapeId="0">
      <text>
        <r>
          <rPr>
            <b/>
            <sz val="9"/>
            <color indexed="81"/>
            <rFont val="Tahoma"/>
            <family val="2"/>
          </rPr>
          <t>Paul HP:</t>
        </r>
        <r>
          <rPr>
            <sz val="9"/>
            <color indexed="81"/>
            <rFont val="Tahoma"/>
            <family val="2"/>
          </rPr>
          <t xml:space="preserve">
incorpore le resultat d'une nego 1080, qui est la moitié de la 'conso' depuis le 13 juillet</t>
        </r>
      </text>
    </comment>
    <comment ref="Y20" authorId="0" shapeId="0">
      <text>
        <r>
          <rPr>
            <b/>
            <sz val="9"/>
            <color indexed="81"/>
            <rFont val="Tahoma"/>
            <family val="2"/>
          </rPr>
          <t>Paul HP:</t>
        </r>
        <r>
          <rPr>
            <sz val="9"/>
            <color indexed="81"/>
            <rFont val="Tahoma"/>
            <family val="2"/>
          </rPr>
          <t xml:space="preserve">
pharmaciens
</t>
        </r>
      </text>
    </comment>
    <comment ref="AO20" authorId="0" shapeId="0">
      <text>
        <r>
          <rPr>
            <b/>
            <sz val="9"/>
            <color indexed="81"/>
            <rFont val="Tahoma"/>
            <family val="2"/>
          </rPr>
          <t>Paul HP:</t>
        </r>
        <r>
          <rPr>
            <sz val="9"/>
            <color indexed="81"/>
            <rFont val="Tahoma"/>
            <family val="2"/>
          </rPr>
          <t xml:space="preserve">
location scoot 180 180</t>
        </r>
      </text>
    </comment>
    <comment ref="AP20" authorId="0" shapeId="0">
      <text>
        <r>
          <rPr>
            <b/>
            <sz val="9"/>
            <color indexed="81"/>
            <rFont val="Tahoma"/>
            <family val="2"/>
          </rPr>
          <t>Paul HP:</t>
        </r>
        <r>
          <rPr>
            <sz val="9"/>
            <color indexed="81"/>
            <rFont val="Tahoma"/>
            <family val="2"/>
          </rPr>
          <t xml:space="preserve">
croisiere</t>
        </r>
      </text>
    </comment>
    <comment ref="AZ20" authorId="0" shapeId="0">
      <text>
        <r>
          <rPr>
            <b/>
            <sz val="9"/>
            <color indexed="81"/>
            <rFont val="Tahoma"/>
            <family val="2"/>
          </rPr>
          <t>Paul HP:</t>
        </r>
        <r>
          <rPr>
            <sz val="9"/>
            <color indexed="81"/>
            <rFont val="Tahoma"/>
            <family val="2"/>
          </rPr>
          <t xml:space="preserve">
correction
</t>
        </r>
      </text>
    </comment>
    <comment ref="N21" authorId="0" shapeId="0">
      <text>
        <r>
          <rPr>
            <b/>
            <sz val="9"/>
            <color indexed="81"/>
            <rFont val="Tahoma"/>
            <family val="2"/>
          </rPr>
          <t>Paul HP:</t>
        </r>
        <r>
          <rPr>
            <sz val="9"/>
            <color indexed="81"/>
            <rFont val="Tahoma"/>
            <family val="2"/>
          </rPr>
          <t xml:space="preserve">
Grattage corne talon de pied Trang 150</t>
        </r>
      </text>
    </comment>
    <comment ref="AT21" authorId="0" shapeId="0">
      <text>
        <r>
          <rPr>
            <b/>
            <sz val="9"/>
            <color indexed="81"/>
            <rFont val="Tahoma"/>
            <family val="2"/>
          </rPr>
          <t>Paul HP:</t>
        </r>
        <r>
          <rPr>
            <sz val="9"/>
            <color indexed="81"/>
            <rFont val="Tahoma"/>
            <family val="2"/>
          </rPr>
          <t xml:space="preserve">
correction
</t>
        </r>
      </text>
    </comment>
    <comment ref="AW21" authorId="0" shapeId="0">
      <text>
        <r>
          <rPr>
            <b/>
            <sz val="9"/>
            <color indexed="81"/>
            <rFont val="Tahoma"/>
            <family val="2"/>
          </rPr>
          <t>Paul HP:</t>
        </r>
        <r>
          <rPr>
            <sz val="9"/>
            <color indexed="81"/>
            <rFont val="Tahoma"/>
            <family val="2"/>
          </rPr>
          <t xml:space="preserve">
pedicure Thuy estra !
</t>
        </r>
      </text>
    </comment>
    <comment ref="AZ21" authorId="0" shapeId="0">
      <text>
        <r>
          <rPr>
            <b/>
            <sz val="9"/>
            <color indexed="81"/>
            <rFont val="Tahoma"/>
            <family val="2"/>
          </rPr>
          <t>Paul HP:</t>
        </r>
        <r>
          <rPr>
            <sz val="9"/>
            <color indexed="81"/>
            <rFont val="Tahoma"/>
            <family val="2"/>
          </rPr>
          <t xml:space="preserve">
correction
</t>
        </r>
      </text>
    </comment>
    <comment ref="AO23" authorId="0" shapeId="0">
      <text>
        <r>
          <rPr>
            <b/>
            <sz val="9"/>
            <color indexed="81"/>
            <rFont val="Tahoma"/>
            <family val="2"/>
          </rPr>
          <t>Paul HP:</t>
        </r>
        <r>
          <rPr>
            <sz val="9"/>
            <color indexed="81"/>
            <rFont val="Tahoma"/>
            <family val="2"/>
          </rPr>
          <t xml:space="preserve">
limousine 2 personnes
</t>
        </r>
      </text>
    </comment>
    <comment ref="AP23" authorId="0" shapeId="0">
      <text>
        <r>
          <rPr>
            <b/>
            <sz val="9"/>
            <color indexed="81"/>
            <rFont val="Tahoma"/>
            <family val="2"/>
          </rPr>
          <t>Paul HP:</t>
        </r>
        <r>
          <rPr>
            <sz val="9"/>
            <color indexed="81"/>
            <rFont val="Tahoma"/>
            <family val="2"/>
          </rPr>
          <t xml:space="preserve">
limousine 2 personnes
</t>
        </r>
      </text>
    </comment>
    <comment ref="G25" authorId="0" shapeId="0">
      <text>
        <r>
          <rPr>
            <b/>
            <sz val="9"/>
            <color indexed="81"/>
            <rFont val="Tahoma"/>
            <family val="2"/>
          </rPr>
          <t>Paul HP:</t>
        </r>
        <r>
          <rPr>
            <sz val="9"/>
            <color indexed="81"/>
            <rFont val="Tahoma"/>
            <family val="2"/>
          </rPr>
          <t xml:space="preserve">
apport initial 500 , ecart favorable</t>
        </r>
      </text>
    </comment>
    <comment ref="Z25" authorId="0" shapeId="0">
      <text>
        <r>
          <rPr>
            <b/>
            <sz val="9"/>
            <color indexed="81"/>
            <rFont val="Tahoma"/>
            <family val="2"/>
          </rPr>
          <t>Paul HP:</t>
        </r>
        <r>
          <rPr>
            <sz val="9"/>
            <color indexed="81"/>
            <rFont val="Tahoma"/>
            <family val="2"/>
          </rPr>
          <t xml:space="preserve">
3 earpods
</t>
        </r>
      </text>
    </comment>
    <comment ref="AW25" authorId="0" shapeId="0">
      <text>
        <r>
          <rPr>
            <b/>
            <sz val="9"/>
            <color indexed="81"/>
            <rFont val="Tahoma"/>
            <family val="2"/>
          </rPr>
          <t>Paul HP:</t>
        </r>
        <r>
          <rPr>
            <sz val="9"/>
            <color indexed="81"/>
            <rFont val="Tahoma"/>
            <family val="2"/>
          </rPr>
          <t xml:space="preserve">
2 
cartouche Thang Long Paul</t>
        </r>
      </text>
    </comment>
    <comment ref="AX25" authorId="0" shapeId="0">
      <text>
        <r>
          <rPr>
            <b/>
            <sz val="9"/>
            <color indexed="81"/>
            <rFont val="Tahoma"/>
            <family val="2"/>
          </rPr>
          <t>Paul HP:</t>
        </r>
        <r>
          <rPr>
            <sz val="9"/>
            <color indexed="81"/>
            <rFont val="Tahoma"/>
            <family val="2"/>
          </rPr>
          <t xml:space="preserve">
je paie le cadeau de Hoa, chaussures trop grandes pour moi</t>
        </r>
      </text>
    </comment>
    <comment ref="AY25" authorId="0" shapeId="0">
      <text>
        <r>
          <rPr>
            <b/>
            <sz val="9"/>
            <color indexed="81"/>
            <rFont val="Tahoma"/>
            <family val="2"/>
          </rPr>
          <t>Paul HP:</t>
        </r>
        <r>
          <rPr>
            <sz val="9"/>
            <color indexed="81"/>
            <rFont val="Tahoma"/>
            <family val="2"/>
          </rPr>
          <t xml:space="preserve">
filtre phone et coque</t>
        </r>
      </text>
    </comment>
    <comment ref="J26" authorId="0" shapeId="0">
      <text>
        <r>
          <rPr>
            <b/>
            <sz val="9"/>
            <color indexed="81"/>
            <rFont val="Tahoma"/>
            <family val="2"/>
          </rPr>
          <t>Paul HP:</t>
        </r>
        <r>
          <rPr>
            <sz val="9"/>
            <color indexed="81"/>
            <rFont val="Tahoma"/>
            <family val="2"/>
          </rPr>
          <t xml:space="preserve">
Payé tissu  540 pour tenue complète 3m et chemise 1,5 m</t>
        </r>
      </text>
    </comment>
    <comment ref="M26" authorId="0" shapeId="0">
      <text>
        <r>
          <rPr>
            <b/>
            <sz val="9"/>
            <color indexed="81"/>
            <rFont val="Tahoma"/>
            <family val="2"/>
          </rPr>
          <t>Paul HP:</t>
        </r>
        <r>
          <rPr>
            <sz val="9"/>
            <color indexed="81"/>
            <rFont val="Tahoma"/>
            <family val="2"/>
          </rPr>
          <t xml:space="preserve">
façon chemise ocre 500 + tenue marron 1000</t>
        </r>
      </text>
    </comment>
    <comment ref="AF26" authorId="0" shapeId="0">
      <text>
        <r>
          <rPr>
            <b/>
            <sz val="9"/>
            <color indexed="81"/>
            <rFont val="Tahoma"/>
            <family val="2"/>
          </rPr>
          <t>Paul HP:</t>
        </r>
        <r>
          <rPr>
            <sz val="9"/>
            <color indexed="81"/>
            <rFont val="Tahoma"/>
            <family val="2"/>
          </rPr>
          <t xml:space="preserve">
raccourcissement pantalon</t>
        </r>
      </text>
    </comment>
    <comment ref="AG26" authorId="0" shapeId="0">
      <text>
        <r>
          <rPr>
            <b/>
            <sz val="9"/>
            <color indexed="81"/>
            <rFont val="Tahoma"/>
            <family val="2"/>
          </rPr>
          <t>Paul HP:</t>
        </r>
        <r>
          <rPr>
            <sz val="9"/>
            <color indexed="81"/>
            <rFont val="Tahoma"/>
            <family val="2"/>
          </rPr>
          <t xml:space="preserve">
2 semelles orthopediques</t>
        </r>
      </text>
    </comment>
    <comment ref="AK26" authorId="0" shapeId="0">
      <text>
        <r>
          <rPr>
            <b/>
            <sz val="9"/>
            <color indexed="81"/>
            <rFont val="Tahoma"/>
            <family val="2"/>
          </rPr>
          <t>Paul HP:</t>
        </r>
        <r>
          <rPr>
            <sz val="9"/>
            <color indexed="81"/>
            <rFont val="Tahoma"/>
            <family val="2"/>
          </rPr>
          <t xml:space="preserve">
465 Tissu blanc pour deux Chemise, une manche courte, une manche longue</t>
        </r>
      </text>
    </comment>
    <comment ref="AQ26" authorId="0" shapeId="0">
      <text>
        <r>
          <rPr>
            <b/>
            <sz val="9"/>
            <color indexed="81"/>
            <rFont val="Tahoma"/>
            <family val="2"/>
          </rPr>
          <t>Paul HP:</t>
        </r>
        <r>
          <rPr>
            <sz val="9"/>
            <color indexed="81"/>
            <rFont val="Tahoma"/>
            <family val="2"/>
          </rPr>
          <t xml:space="preserve">
facon pour 2 chemises blanches</t>
        </r>
      </text>
    </comment>
    <comment ref="AS26" authorId="0" shapeId="0">
      <text>
        <r>
          <rPr>
            <b/>
            <sz val="9"/>
            <color indexed="81"/>
            <rFont val="Tahoma"/>
            <family val="2"/>
          </rPr>
          <t>Paul HP:</t>
        </r>
        <r>
          <rPr>
            <sz val="9"/>
            <color indexed="81"/>
            <rFont val="Tahoma"/>
            <family val="2"/>
          </rPr>
          <t xml:space="preserve">
tissu chemise marron clair</t>
        </r>
      </text>
    </comment>
    <comment ref="AX26" authorId="0" shapeId="0">
      <text>
        <r>
          <rPr>
            <b/>
            <sz val="9"/>
            <color indexed="81"/>
            <rFont val="Tahoma"/>
            <family val="2"/>
          </rPr>
          <t>Paul HP:</t>
        </r>
        <r>
          <rPr>
            <sz val="9"/>
            <color indexed="81"/>
            <rFont val="Tahoma"/>
            <family val="2"/>
          </rPr>
          <t xml:space="preserve">
500 facon chemise marron clair et 6 semelles orthopediques 500</t>
        </r>
      </text>
    </comment>
    <comment ref="G27" authorId="0" shapeId="0">
      <text>
        <r>
          <rPr>
            <b/>
            <sz val="9"/>
            <color indexed="81"/>
            <rFont val="Tahoma"/>
            <family val="2"/>
          </rPr>
          <t>Paul HP:</t>
        </r>
        <r>
          <rPr>
            <sz val="9"/>
            <color indexed="81"/>
            <rFont val="Tahoma"/>
            <family val="2"/>
          </rPr>
          <t xml:space="preserve">
cadeau Clarins belle fille
</t>
        </r>
      </text>
    </comment>
    <comment ref="K27" authorId="0" shapeId="0">
      <text>
        <r>
          <rPr>
            <b/>
            <sz val="9"/>
            <color indexed="81"/>
            <rFont val="Tahoma"/>
            <family val="2"/>
          </rPr>
          <t>Paul HP:</t>
        </r>
        <r>
          <rPr>
            <sz val="9"/>
            <color indexed="81"/>
            <rFont val="Tahoma"/>
            <family val="2"/>
          </rPr>
          <t xml:space="preserve">
 cadeau anniv Trang</t>
        </r>
      </text>
    </comment>
    <comment ref="X27" authorId="0" shapeId="0">
      <text>
        <r>
          <rPr>
            <b/>
            <sz val="9"/>
            <color indexed="81"/>
            <rFont val="Tahoma"/>
            <family val="2"/>
          </rPr>
          <t>Paul HP:</t>
        </r>
        <r>
          <rPr>
            <sz val="9"/>
            <color indexed="81"/>
            <rFont val="Tahoma"/>
            <family val="2"/>
          </rPr>
          <t xml:space="preserve">
Robe  mauve Hoa</t>
        </r>
      </text>
    </comment>
    <comment ref="Y27" authorId="0" shapeId="0">
      <text>
        <r>
          <rPr>
            <b/>
            <sz val="9"/>
            <color indexed="81"/>
            <rFont val="Tahoma"/>
            <family val="2"/>
          </rPr>
          <t>Paul HP:</t>
        </r>
        <r>
          <rPr>
            <sz val="9"/>
            <color indexed="81"/>
            <rFont val="Tahoma"/>
            <family val="2"/>
          </rPr>
          <t xml:space="preserve">
journée pharmaciens
</t>
        </r>
      </text>
    </comment>
    <comment ref="AV27" authorId="0" shapeId="0">
      <text>
        <r>
          <rPr>
            <b/>
            <sz val="9"/>
            <color indexed="81"/>
            <rFont val="Tahoma"/>
            <family val="2"/>
          </rPr>
          <t>Paul HP:</t>
        </r>
        <r>
          <rPr>
            <sz val="9"/>
            <color indexed="81"/>
            <rFont val="Tahoma"/>
            <family val="2"/>
          </rPr>
          <t xml:space="preserve">
remboursement caution scoot 
payée par Paul
</t>
        </r>
      </text>
    </comment>
    <comment ref="AW27" authorId="0" shapeId="0">
      <text>
        <r>
          <rPr>
            <b/>
            <sz val="9"/>
            <color indexed="81"/>
            <rFont val="Tahoma"/>
            <family val="2"/>
          </rPr>
          <t>Paul HP:</t>
        </r>
        <r>
          <rPr>
            <sz val="9"/>
            <color indexed="81"/>
            <rFont val="Tahoma"/>
            <family val="2"/>
          </rPr>
          <t xml:space="preserve">
1
cartouche Thang Long Jean Louis</t>
        </r>
      </text>
    </comment>
    <comment ref="AY27" authorId="0" shapeId="0">
      <text>
        <r>
          <rPr>
            <b/>
            <sz val="9"/>
            <color indexed="81"/>
            <rFont val="Tahoma"/>
            <family val="2"/>
          </rPr>
          <t>Paul HP:</t>
        </r>
        <r>
          <rPr>
            <sz val="9"/>
            <color indexed="81"/>
            <rFont val="Tahoma"/>
            <family val="2"/>
          </rPr>
          <t xml:space="preserve">
foulard Elodie 300, foulard Nathalie 200</t>
        </r>
      </text>
    </comment>
    <comment ref="AZ27" authorId="0" shapeId="0">
      <text>
        <r>
          <rPr>
            <b/>
            <sz val="9"/>
            <color indexed="81"/>
            <rFont val="Tahoma"/>
            <family val="2"/>
          </rPr>
          <t>Paul HP:</t>
        </r>
        <r>
          <rPr>
            <sz val="9"/>
            <color indexed="81"/>
            <rFont val="Tahoma"/>
            <family val="2"/>
          </rPr>
          <t xml:space="preserve">
700 cadres Elo et Maga, 300 tip Trang Linh, Thu, et 1600 fils de Hoa et Anh
</t>
        </r>
      </text>
    </comment>
    <comment ref="AZ29" authorId="0" shapeId="0">
      <text>
        <r>
          <rPr>
            <b/>
            <sz val="9"/>
            <color indexed="81"/>
            <rFont val="Tahoma"/>
            <family val="2"/>
          </rPr>
          <t>Paul HP:</t>
        </r>
        <r>
          <rPr>
            <sz val="9"/>
            <color indexed="81"/>
            <rFont val="Tahoma"/>
            <family val="2"/>
          </rPr>
          <t xml:space="preserve">
caution appart payée parHoa et rendue a Hoa
</t>
        </r>
      </text>
    </comment>
    <comment ref="E58" authorId="0" shapeId="0">
      <text>
        <r>
          <rPr>
            <b/>
            <sz val="9"/>
            <color indexed="81"/>
            <rFont val="Tahoma"/>
            <family val="2"/>
          </rPr>
          <t>Paul HP:</t>
        </r>
        <r>
          <rPr>
            <sz val="9"/>
            <color indexed="81"/>
            <rFont val="Tahoma"/>
            <family val="2"/>
          </rPr>
          <t xml:space="preserve">
retrait cash</t>
        </r>
      </text>
    </comment>
    <comment ref="E84" authorId="0" shapeId="0">
      <text>
        <r>
          <rPr>
            <b/>
            <sz val="9"/>
            <color indexed="81"/>
            <rFont val="Tahoma"/>
            <family val="2"/>
          </rPr>
          <t>Paul HP:</t>
        </r>
        <r>
          <rPr>
            <sz val="9"/>
            <color indexed="81"/>
            <rFont val="Tahoma"/>
            <family val="2"/>
          </rPr>
          <t xml:space="preserve">
Avion + taxi Jean Louis</t>
        </r>
      </text>
    </comment>
    <comment ref="M176" authorId="0" shapeId="0">
      <text>
        <r>
          <rPr>
            <b/>
            <sz val="9"/>
            <color indexed="81"/>
            <rFont val="Tahoma"/>
            <family val="2"/>
          </rPr>
          <t>Paul HP:</t>
        </r>
        <r>
          <rPr>
            <sz val="9"/>
            <color indexed="81"/>
            <rFont val="Tahoma"/>
            <family val="2"/>
          </rPr>
          <t xml:space="preserve">
biere avec Tuyeb</t>
        </r>
      </text>
    </comment>
    <comment ref="AI176" authorId="0" shapeId="0">
      <text>
        <r>
          <rPr>
            <b/>
            <sz val="9"/>
            <color indexed="81"/>
            <rFont val="Tahoma"/>
            <family val="2"/>
          </rPr>
          <t>Paul HP:</t>
        </r>
        <r>
          <rPr>
            <sz val="9"/>
            <color indexed="81"/>
            <rFont val="Tahoma"/>
            <family val="2"/>
          </rPr>
          <t xml:space="preserve">
W
</t>
        </r>
      </text>
    </comment>
    <comment ref="F178" authorId="0" shapeId="0">
      <text>
        <r>
          <rPr>
            <b/>
            <sz val="9"/>
            <color indexed="81"/>
            <rFont val="Tahoma"/>
            <family val="2"/>
          </rPr>
          <t>Paul HP:</t>
        </r>
        <r>
          <rPr>
            <sz val="9"/>
            <color indexed="81"/>
            <rFont val="Tahoma"/>
            <family val="2"/>
          </rPr>
          <t xml:space="preserve">
INTERNET
</t>
        </r>
      </text>
    </comment>
    <comment ref="Q178" authorId="0" shapeId="0">
      <text>
        <r>
          <rPr>
            <b/>
            <sz val="9"/>
            <color indexed="81"/>
            <rFont val="Tahoma"/>
            <family val="2"/>
          </rPr>
          <t>Paul HP:</t>
        </r>
        <r>
          <rPr>
            <sz val="9"/>
            <color indexed="81"/>
            <rFont val="Tahoma"/>
            <family val="2"/>
          </rPr>
          <t xml:space="preserve">
bag zipper</t>
        </r>
      </text>
    </comment>
    <comment ref="AD178" authorId="0" shapeId="0">
      <text>
        <r>
          <rPr>
            <b/>
            <sz val="9"/>
            <color indexed="81"/>
            <rFont val="Tahoma"/>
            <family val="2"/>
          </rPr>
          <t>Paul HP:</t>
        </r>
        <r>
          <rPr>
            <sz val="9"/>
            <color indexed="81"/>
            <rFont val="Tahoma"/>
            <family val="2"/>
          </rPr>
          <t xml:space="preserve">
zipper on red coat</t>
        </r>
      </text>
    </comment>
    <comment ref="AJ178" authorId="0" shapeId="0">
      <text>
        <r>
          <rPr>
            <b/>
            <sz val="9"/>
            <color indexed="81"/>
            <rFont val="Tahoma"/>
            <family val="2"/>
          </rPr>
          <t>Paul HP:</t>
        </r>
        <r>
          <rPr>
            <sz val="9"/>
            <color indexed="81"/>
            <rFont val="Tahoma"/>
            <family val="2"/>
          </rPr>
          <t xml:space="preserve">
telecom</t>
        </r>
      </text>
    </comment>
    <comment ref="AL178" authorId="0" shapeId="0">
      <text>
        <r>
          <rPr>
            <b/>
            <sz val="9"/>
            <color indexed="81"/>
            <rFont val="Tahoma"/>
            <family val="2"/>
          </rPr>
          <t>Paul HP:</t>
        </r>
        <r>
          <rPr>
            <sz val="9"/>
            <color indexed="81"/>
            <rFont val="Tahoma"/>
            <family val="2"/>
          </rPr>
          <t xml:space="preserve">
TELEPHONIE</t>
        </r>
      </text>
    </comment>
    <comment ref="H180" authorId="0" shapeId="0">
      <text>
        <r>
          <rPr>
            <b/>
            <sz val="9"/>
            <color indexed="81"/>
            <rFont val="Tahoma"/>
            <family val="2"/>
          </rPr>
          <t>Paul HP:</t>
        </r>
        <r>
          <rPr>
            <sz val="9"/>
            <color indexed="81"/>
            <rFont val="Tahoma"/>
            <family val="2"/>
          </rPr>
          <t xml:space="preserve">
essence 3,33 l à 30 KD</t>
        </r>
      </text>
    </comment>
    <comment ref="O180" authorId="0" shapeId="0">
      <text>
        <r>
          <rPr>
            <b/>
            <sz val="9"/>
            <color indexed="81"/>
            <rFont val="Tahoma"/>
            <family val="2"/>
          </rPr>
          <t>Paul HP:</t>
        </r>
        <r>
          <rPr>
            <sz val="9"/>
            <color indexed="81"/>
            <rFont val="Tahoma"/>
            <family val="2"/>
          </rPr>
          <t xml:space="preserve">
essence 3,33 l à 30 KD</t>
        </r>
      </text>
    </comment>
    <comment ref="AL180" authorId="0" shapeId="0">
      <text>
        <r>
          <rPr>
            <b/>
            <sz val="9"/>
            <color indexed="81"/>
            <rFont val="Tahoma"/>
            <family val="2"/>
          </rPr>
          <t>Paul HP:</t>
        </r>
        <r>
          <rPr>
            <sz val="9"/>
            <color indexed="81"/>
            <rFont val="Tahoma"/>
            <family val="2"/>
          </rPr>
          <t xml:space="preserve">
ESSENCE 100
</t>
        </r>
      </text>
    </comment>
    <comment ref="M183" authorId="0" shapeId="0">
      <text>
        <r>
          <rPr>
            <b/>
            <sz val="9"/>
            <color indexed="81"/>
            <rFont val="Tahoma"/>
            <family val="2"/>
          </rPr>
          <t>Paul HP:</t>
        </r>
        <r>
          <rPr>
            <sz val="9"/>
            <color indexed="81"/>
            <rFont val="Tahoma"/>
            <family val="2"/>
          </rPr>
          <t xml:space="preserve">
biere avec Tuyeb</t>
        </r>
      </text>
    </comment>
    <comment ref="AI183" authorId="0" shapeId="0">
      <text>
        <r>
          <rPr>
            <b/>
            <sz val="9"/>
            <color indexed="81"/>
            <rFont val="Tahoma"/>
            <family val="2"/>
          </rPr>
          <t>Paul HP:</t>
        </r>
        <r>
          <rPr>
            <sz val="9"/>
            <color indexed="81"/>
            <rFont val="Tahoma"/>
            <family val="2"/>
          </rPr>
          <t xml:space="preserve">
W
</t>
        </r>
      </text>
    </comment>
    <comment ref="H185" authorId="0" shapeId="0">
      <text>
        <r>
          <rPr>
            <b/>
            <sz val="9"/>
            <color indexed="81"/>
            <rFont val="Tahoma"/>
            <family val="2"/>
          </rPr>
          <t>Paul HP:</t>
        </r>
        <r>
          <rPr>
            <sz val="9"/>
            <color indexed="81"/>
            <rFont val="Tahoma"/>
            <family val="2"/>
          </rPr>
          <t xml:space="preserve">
essence 3,33 l à 30 KD</t>
        </r>
      </text>
    </comment>
    <comment ref="O185" authorId="0" shapeId="0">
      <text>
        <r>
          <rPr>
            <b/>
            <sz val="9"/>
            <color indexed="81"/>
            <rFont val="Tahoma"/>
            <family val="2"/>
          </rPr>
          <t>Paul HP:</t>
        </r>
        <r>
          <rPr>
            <sz val="9"/>
            <color indexed="81"/>
            <rFont val="Tahoma"/>
            <family val="2"/>
          </rPr>
          <t xml:space="preserve">
essence 3,33 l à 30 KD</t>
        </r>
      </text>
    </comment>
    <comment ref="AL185" authorId="0" shapeId="0">
      <text>
        <r>
          <rPr>
            <b/>
            <sz val="9"/>
            <color indexed="81"/>
            <rFont val="Tahoma"/>
            <family val="2"/>
          </rPr>
          <t>Paul HP:</t>
        </r>
        <r>
          <rPr>
            <sz val="9"/>
            <color indexed="81"/>
            <rFont val="Tahoma"/>
            <family val="2"/>
          </rPr>
          <t xml:space="preserve">
ESSENCE 100
</t>
        </r>
      </text>
    </comment>
    <comment ref="F186" authorId="0" shapeId="0">
      <text>
        <r>
          <rPr>
            <b/>
            <sz val="9"/>
            <color indexed="81"/>
            <rFont val="Tahoma"/>
            <family val="2"/>
          </rPr>
          <t>Paul HP:</t>
        </r>
        <r>
          <rPr>
            <sz val="9"/>
            <color indexed="81"/>
            <rFont val="Tahoma"/>
            <family val="2"/>
          </rPr>
          <t xml:space="preserve">
INTERNET
</t>
        </r>
      </text>
    </comment>
    <comment ref="Q186" authorId="0" shapeId="0">
      <text>
        <r>
          <rPr>
            <b/>
            <sz val="9"/>
            <color indexed="81"/>
            <rFont val="Tahoma"/>
            <family val="2"/>
          </rPr>
          <t>Paul HP:</t>
        </r>
        <r>
          <rPr>
            <sz val="9"/>
            <color indexed="81"/>
            <rFont val="Tahoma"/>
            <family val="2"/>
          </rPr>
          <t xml:space="preserve">
bag zipper</t>
        </r>
      </text>
    </comment>
    <comment ref="AD186" authorId="0" shapeId="0">
      <text>
        <r>
          <rPr>
            <b/>
            <sz val="9"/>
            <color indexed="81"/>
            <rFont val="Tahoma"/>
            <family val="2"/>
          </rPr>
          <t>Paul HP:</t>
        </r>
        <r>
          <rPr>
            <sz val="9"/>
            <color indexed="81"/>
            <rFont val="Tahoma"/>
            <family val="2"/>
          </rPr>
          <t xml:space="preserve">
zipper on red coat</t>
        </r>
      </text>
    </comment>
    <comment ref="AJ186" authorId="0" shapeId="0">
      <text>
        <r>
          <rPr>
            <b/>
            <sz val="9"/>
            <color indexed="81"/>
            <rFont val="Tahoma"/>
            <family val="2"/>
          </rPr>
          <t>Paul HP:</t>
        </r>
        <r>
          <rPr>
            <sz val="9"/>
            <color indexed="81"/>
            <rFont val="Tahoma"/>
            <family val="2"/>
          </rPr>
          <t xml:space="preserve">
telecom</t>
        </r>
      </text>
    </comment>
    <comment ref="AL186" authorId="0" shapeId="0">
      <text>
        <r>
          <rPr>
            <b/>
            <sz val="9"/>
            <color indexed="81"/>
            <rFont val="Tahoma"/>
            <family val="2"/>
          </rPr>
          <t>Paul HP:</t>
        </r>
        <r>
          <rPr>
            <sz val="9"/>
            <color indexed="81"/>
            <rFont val="Tahoma"/>
            <family val="2"/>
          </rPr>
          <t xml:space="preserve">
TELEPHONIE</t>
        </r>
      </text>
    </comment>
  </commentList>
</comments>
</file>

<file path=xl/comments2.xml><?xml version="1.0" encoding="utf-8"?>
<comments xmlns="http://schemas.openxmlformats.org/spreadsheetml/2006/main">
  <authors>
    <author>Paul HP</author>
  </authors>
  <commentList>
    <comment ref="BQ12" authorId="0" shapeId="0">
      <text>
        <r>
          <rPr>
            <b/>
            <sz val="9"/>
            <color indexed="81"/>
            <rFont val="Tahoma"/>
            <family val="2"/>
          </rPr>
          <t>Paul HP:</t>
        </r>
        <r>
          <rPr>
            <sz val="9"/>
            <color indexed="81"/>
            <rFont val="Tahoma"/>
            <family val="2"/>
          </rPr>
          <t xml:space="preserve">
CASSEROLE</t>
        </r>
      </text>
    </comment>
    <comment ref="BS12" authorId="0" shapeId="0">
      <text>
        <r>
          <rPr>
            <b/>
            <sz val="9"/>
            <color indexed="81"/>
            <rFont val="Tahoma"/>
            <family val="2"/>
          </rPr>
          <t>Paul HP:</t>
        </r>
        <r>
          <rPr>
            <sz val="9"/>
            <color indexed="81"/>
            <rFont val="Tahoma"/>
            <family val="2"/>
          </rPr>
          <t xml:space="preserve">
POUR SEMAINE TET
</t>
        </r>
      </text>
    </comment>
    <comment ref="BT12" authorId="0" shapeId="0">
      <text>
        <r>
          <rPr>
            <b/>
            <sz val="9"/>
            <color indexed="81"/>
            <rFont val="Tahoma"/>
            <family val="2"/>
          </rPr>
          <t>Paul HP:</t>
        </r>
        <r>
          <rPr>
            <sz val="9"/>
            <color indexed="81"/>
            <rFont val="Tahoma"/>
            <family val="2"/>
          </rPr>
          <t xml:space="preserve">
dont 300 pour tet </t>
        </r>
      </text>
    </comment>
    <comment ref="BU12" authorId="0" shapeId="0">
      <text>
        <r>
          <rPr>
            <b/>
            <sz val="9"/>
            <color indexed="81"/>
            <rFont val="Tahoma"/>
            <family val="2"/>
          </rPr>
          <t>Paul HP:</t>
        </r>
        <r>
          <rPr>
            <sz val="9"/>
            <color indexed="81"/>
            <rFont val="Tahoma"/>
            <family val="2"/>
          </rPr>
          <t xml:space="preserve">
dont 570 tet
</t>
        </r>
      </text>
    </comment>
    <comment ref="BV12" authorId="0" shapeId="0">
      <text>
        <r>
          <rPr>
            <b/>
            <sz val="9"/>
            <color indexed="81"/>
            <rFont val="Tahoma"/>
            <family val="2"/>
          </rPr>
          <t>Paul HP:</t>
        </r>
        <r>
          <rPr>
            <sz val="9"/>
            <color indexed="81"/>
            <rFont val="Tahoma"/>
            <family val="2"/>
          </rPr>
          <t xml:space="preserve">
Fujimart et saumon 800</t>
        </r>
      </text>
    </comment>
    <comment ref="CV12" authorId="0" shapeId="0">
      <text>
        <r>
          <rPr>
            <b/>
            <sz val="9"/>
            <color indexed="81"/>
            <rFont val="Tahoma"/>
            <family val="2"/>
          </rPr>
          <t>Paul HP:</t>
        </r>
        <r>
          <rPr>
            <sz val="9"/>
            <color indexed="81"/>
            <rFont val="Tahoma"/>
            <family val="2"/>
          </rPr>
          <t xml:space="preserve">
sauce Thu</t>
        </r>
      </text>
    </comment>
    <comment ref="G13" authorId="0" shapeId="0">
      <text>
        <r>
          <rPr>
            <b/>
            <sz val="9"/>
            <color indexed="81"/>
            <rFont val="Tahoma"/>
            <family val="2"/>
          </rPr>
          <t>Paul HP:</t>
        </r>
        <r>
          <rPr>
            <sz val="9"/>
            <color indexed="81"/>
            <rFont val="Tahoma"/>
            <family val="2"/>
          </rPr>
          <t xml:space="preserve">
Ga 36
</t>
        </r>
      </text>
    </comment>
    <comment ref="H13" authorId="0" shapeId="0">
      <text>
        <r>
          <rPr>
            <b/>
            <sz val="9"/>
            <color indexed="81"/>
            <rFont val="Tahoma"/>
            <family val="2"/>
          </rPr>
          <t>Paul HP:</t>
        </r>
        <r>
          <rPr>
            <sz val="9"/>
            <color indexed="81"/>
            <rFont val="Tahoma"/>
            <family val="2"/>
          </rPr>
          <t xml:space="preserve">
Pho
</t>
        </r>
      </text>
    </comment>
    <comment ref="Z13" authorId="0" shapeId="0">
      <text>
        <r>
          <rPr>
            <b/>
            <sz val="9"/>
            <color indexed="81"/>
            <rFont val="Tahoma"/>
            <family val="2"/>
          </rPr>
          <t>Paul HP:</t>
        </r>
        <r>
          <rPr>
            <sz val="9"/>
            <color indexed="81"/>
            <rFont val="Tahoma"/>
            <family val="2"/>
          </rPr>
          <t xml:space="preserve">
fondue de grenouille
</t>
        </r>
      </text>
    </comment>
    <comment ref="AI13" authorId="0" shapeId="0">
      <text>
        <r>
          <rPr>
            <b/>
            <sz val="9"/>
            <color indexed="81"/>
            <rFont val="Tahoma"/>
            <family val="2"/>
          </rPr>
          <t>Paul HP:</t>
        </r>
        <r>
          <rPr>
            <sz val="9"/>
            <color indexed="81"/>
            <rFont val="Tahoma"/>
            <family val="2"/>
          </rPr>
          <t xml:space="preserve">
Buffet Fdm Mark Bay</t>
        </r>
      </text>
    </comment>
    <comment ref="AJ13" authorId="0" shapeId="0">
      <text>
        <r>
          <rPr>
            <b/>
            <sz val="9"/>
            <color indexed="81"/>
            <rFont val="Tahoma"/>
            <family val="2"/>
          </rPr>
          <t>Paul HP:</t>
        </r>
        <r>
          <rPr>
            <sz val="9"/>
            <color indexed="81"/>
            <rFont val="Tahoma"/>
            <family val="2"/>
          </rPr>
          <t xml:space="preserve">
Bia Hoi frogs</t>
        </r>
      </text>
    </comment>
    <comment ref="AK13" authorId="0" shapeId="0">
      <text>
        <r>
          <rPr>
            <b/>
            <sz val="9"/>
            <color indexed="81"/>
            <rFont val="Tahoma"/>
            <family val="2"/>
          </rPr>
          <t>Paul HP:</t>
        </r>
        <r>
          <rPr>
            <sz val="9"/>
            <color indexed="81"/>
            <rFont val="Tahoma"/>
            <family val="2"/>
          </rPr>
          <t xml:space="preserve">
Ecopark</t>
        </r>
      </text>
    </comment>
    <comment ref="AL13" authorId="0" shapeId="0">
      <text>
        <r>
          <rPr>
            <b/>
            <sz val="9"/>
            <color indexed="81"/>
            <rFont val="Tahoma"/>
            <family val="2"/>
          </rPr>
          <t>Paul HP:</t>
        </r>
        <r>
          <rPr>
            <sz val="9"/>
            <color indexed="81"/>
            <rFont val="Tahoma"/>
            <family val="2"/>
          </rPr>
          <t xml:space="preserve">
BBQ</t>
        </r>
      </text>
    </comment>
    <comment ref="CX13" authorId="0" shapeId="0">
      <text>
        <r>
          <rPr>
            <b/>
            <sz val="9"/>
            <color indexed="81"/>
            <rFont val="Tahoma"/>
            <family val="2"/>
          </rPr>
          <t>Paul HP:</t>
        </r>
        <r>
          <rPr>
            <sz val="9"/>
            <color indexed="81"/>
            <rFont val="Tahoma"/>
            <family val="2"/>
          </rPr>
          <t xml:space="preserve">
repas Thai Nguyen joue, roti de jambonneau, galettes de 'squid'</t>
        </r>
      </text>
    </comment>
    <comment ref="DQ13" authorId="0" shapeId="0">
      <text>
        <r>
          <rPr>
            <b/>
            <sz val="9"/>
            <color indexed="81"/>
            <rFont val="Tahoma"/>
            <family val="2"/>
          </rPr>
          <t>Paul HP:</t>
        </r>
        <r>
          <rPr>
            <sz val="9"/>
            <color indexed="81"/>
            <rFont val="Tahoma"/>
            <family val="2"/>
          </rPr>
          <t xml:space="preserve">
BBQ Coreen Hoa</t>
        </r>
      </text>
    </comment>
    <comment ref="DT13" authorId="0" shapeId="0">
      <text>
        <r>
          <rPr>
            <b/>
            <sz val="9"/>
            <color indexed="81"/>
            <rFont val="Tahoma"/>
            <family val="2"/>
          </rPr>
          <t>Paul HP:</t>
        </r>
        <r>
          <rPr>
            <sz val="9"/>
            <color indexed="81"/>
            <rFont val="Tahoma"/>
            <family val="2"/>
          </rPr>
          <t xml:space="preserve">
restau Thai
</t>
        </r>
      </text>
    </comment>
    <comment ref="G14" authorId="0" shapeId="0">
      <text>
        <r>
          <rPr>
            <b/>
            <sz val="9"/>
            <color indexed="81"/>
            <rFont val="Tahoma"/>
            <family val="2"/>
          </rPr>
          <t>Paul HP:</t>
        </r>
        <r>
          <rPr>
            <sz val="9"/>
            <color indexed="81"/>
            <rFont val="Tahoma"/>
            <family val="2"/>
          </rPr>
          <t xml:space="preserve">
Bun Ca
</t>
        </r>
      </text>
    </comment>
    <comment ref="H14" authorId="0" shapeId="0">
      <text>
        <r>
          <rPr>
            <b/>
            <sz val="9"/>
            <color indexed="81"/>
            <rFont val="Tahoma"/>
            <family val="2"/>
          </rPr>
          <t>Paul HP:</t>
        </r>
        <r>
          <rPr>
            <sz val="9"/>
            <color indexed="81"/>
            <rFont val="Tahoma"/>
            <family val="2"/>
          </rPr>
          <t xml:space="preserve">
Dim Sum
</t>
        </r>
      </text>
    </comment>
    <comment ref="U14" authorId="0" shapeId="0">
      <text>
        <r>
          <rPr>
            <b/>
            <sz val="9"/>
            <color indexed="81"/>
            <rFont val="Tahoma"/>
            <family val="2"/>
          </rPr>
          <t>Paul HP:</t>
        </r>
        <r>
          <rPr>
            <sz val="9"/>
            <color indexed="81"/>
            <rFont val="Tahoma"/>
            <family val="2"/>
          </rPr>
          <t xml:space="preserve">
restau BROMIGO avec Steeve</t>
        </r>
      </text>
    </comment>
    <comment ref="V14" authorId="0" shapeId="0">
      <text>
        <r>
          <rPr>
            <b/>
            <sz val="9"/>
            <color indexed="81"/>
            <rFont val="Tahoma"/>
            <family val="2"/>
          </rPr>
          <t>Paul HP:</t>
        </r>
        <r>
          <rPr>
            <sz val="9"/>
            <color indexed="81"/>
            <rFont val="Tahoma"/>
            <family val="2"/>
          </rPr>
          <t xml:space="preserve">
restau coreen</t>
        </r>
      </text>
    </comment>
    <comment ref="AA14" authorId="0" shapeId="0">
      <text>
        <r>
          <rPr>
            <b/>
            <sz val="9"/>
            <color indexed="81"/>
            <rFont val="Tahoma"/>
            <family val="2"/>
          </rPr>
          <t>Paul HP:</t>
        </r>
        <r>
          <rPr>
            <sz val="9"/>
            <color indexed="81"/>
            <rFont val="Tahoma"/>
            <family val="2"/>
          </rPr>
          <t xml:space="preserve">
domino pizza </t>
        </r>
      </text>
    </comment>
    <comment ref="AG14" authorId="0" shapeId="0">
      <text>
        <r>
          <rPr>
            <b/>
            <sz val="9"/>
            <color indexed="81"/>
            <rFont val="Tahoma"/>
            <family val="2"/>
          </rPr>
          <t>Paul HP:</t>
        </r>
        <r>
          <rPr>
            <sz val="9"/>
            <color indexed="81"/>
            <rFont val="Tahoma"/>
            <family val="2"/>
          </rPr>
          <t xml:space="preserve">
Pizza Spa</t>
        </r>
      </text>
    </comment>
    <comment ref="AL14" authorId="0" shapeId="0">
      <text>
        <r>
          <rPr>
            <b/>
            <sz val="9"/>
            <color indexed="81"/>
            <rFont val="Tahoma"/>
            <family val="2"/>
          </rPr>
          <t>Paul HP:</t>
        </r>
        <r>
          <rPr>
            <sz val="9"/>
            <color indexed="81"/>
            <rFont val="Tahoma"/>
            <family val="2"/>
          </rPr>
          <t xml:space="preserve">
Buin Ca</t>
        </r>
      </text>
    </comment>
    <comment ref="BW14" authorId="0" shapeId="0">
      <text>
        <r>
          <rPr>
            <b/>
            <sz val="9"/>
            <color indexed="81"/>
            <rFont val="Tahoma"/>
            <family val="2"/>
          </rPr>
          <t>Paul HP:</t>
        </r>
        <r>
          <rPr>
            <sz val="9"/>
            <color indexed="81"/>
            <rFont val="Tahoma"/>
            <family val="2"/>
          </rPr>
          <t xml:space="preserve">
repas de reveillon chez José
</t>
        </r>
      </text>
    </comment>
    <comment ref="CK14" authorId="0" shapeId="0">
      <text>
        <r>
          <rPr>
            <b/>
            <sz val="9"/>
            <color indexed="81"/>
            <rFont val="Tahoma"/>
            <family val="2"/>
          </rPr>
          <t>Paul HP: restau indien avec Stephan at Foodshop 45</t>
        </r>
      </text>
    </comment>
    <comment ref="CU14" authorId="0" shapeId="0">
      <text>
        <r>
          <rPr>
            <b/>
            <sz val="9"/>
            <color indexed="81"/>
            <rFont val="Tahoma"/>
            <family val="2"/>
          </rPr>
          <t>Paul HP:</t>
        </r>
        <r>
          <rPr>
            <sz val="9"/>
            <color indexed="81"/>
            <rFont val="Tahoma"/>
            <family val="2"/>
          </rPr>
          <t xml:space="preserve">
BBQ Saint Valentin</t>
        </r>
      </text>
    </comment>
    <comment ref="CX14" authorId="0" shapeId="0">
      <text>
        <r>
          <rPr>
            <b/>
            <sz val="9"/>
            <color indexed="81"/>
            <rFont val="Tahoma"/>
            <family val="2"/>
          </rPr>
          <t>Paul HP:</t>
        </r>
        <r>
          <rPr>
            <sz val="9"/>
            <color indexed="81"/>
            <rFont val="Tahoma"/>
            <family val="2"/>
          </rPr>
          <t xml:space="preserve">
Pizza a 4 : 68 et 7B
</t>
        </r>
      </text>
    </comment>
    <comment ref="R16" authorId="0" shapeId="0">
      <text>
        <r>
          <rPr>
            <b/>
            <sz val="9"/>
            <color indexed="81"/>
            <rFont val="Tahoma"/>
            <family val="2"/>
          </rPr>
          <t>Paul HP:</t>
        </r>
        <r>
          <rPr>
            <sz val="9"/>
            <color indexed="81"/>
            <rFont val="Tahoma"/>
            <family val="2"/>
          </rPr>
          <t xml:space="preserve">
225-25 !  Spa
</t>
        </r>
      </text>
    </comment>
    <comment ref="AK16" authorId="0" shapeId="0">
      <text>
        <r>
          <rPr>
            <b/>
            <sz val="9"/>
            <color indexed="81"/>
            <rFont val="Tahoma"/>
            <family val="2"/>
          </rPr>
          <t>Paul HP:</t>
        </r>
        <r>
          <rPr>
            <sz val="9"/>
            <color indexed="81"/>
            <rFont val="Tahoma"/>
            <family val="2"/>
          </rPr>
          <t xml:space="preserve">
Vodka + cig</t>
        </r>
      </text>
    </comment>
    <comment ref="BS16" authorId="0" shapeId="0">
      <text>
        <r>
          <rPr>
            <b/>
            <sz val="9"/>
            <color indexed="81"/>
            <rFont val="Tahoma"/>
            <family val="2"/>
          </rPr>
          <t>Paul HP:</t>
        </r>
        <r>
          <rPr>
            <sz val="9"/>
            <color indexed="81"/>
            <rFont val="Tahoma"/>
            <family val="2"/>
          </rPr>
          <t xml:space="preserve">
4w + 1BTLE WhysKY</t>
        </r>
      </text>
    </comment>
    <comment ref="S17" authorId="0" shapeId="0">
      <text>
        <r>
          <rPr>
            <b/>
            <sz val="9"/>
            <color indexed="81"/>
            <rFont val="Tahoma"/>
            <family val="2"/>
          </rPr>
          <t>Paul HP:</t>
        </r>
        <r>
          <rPr>
            <sz val="9"/>
            <color indexed="81"/>
            <rFont val="Tahoma"/>
            <family val="2"/>
          </rPr>
          <t xml:space="preserve">
3 litres d'essence
</t>
        </r>
      </text>
    </comment>
    <comment ref="AB17" authorId="0" shapeId="0">
      <text>
        <r>
          <rPr>
            <b/>
            <sz val="9"/>
            <color indexed="81"/>
            <rFont val="Tahoma"/>
            <family val="2"/>
          </rPr>
          <t>Paul HP:</t>
        </r>
        <r>
          <rPr>
            <sz val="9"/>
            <color indexed="81"/>
            <rFont val="Tahoma"/>
            <family val="2"/>
          </rPr>
          <t xml:space="preserve">
90 essence</t>
        </r>
      </text>
    </comment>
    <comment ref="AF17" authorId="0" shapeId="0">
      <text>
        <r>
          <rPr>
            <b/>
            <sz val="9"/>
            <color indexed="81"/>
            <rFont val="Tahoma"/>
            <family val="2"/>
          </rPr>
          <t>Paul HP:</t>
        </r>
        <r>
          <rPr>
            <sz val="9"/>
            <color indexed="81"/>
            <rFont val="Tahoma"/>
            <family val="2"/>
          </rPr>
          <t xml:space="preserve">
huile scoot 
hoa</t>
        </r>
      </text>
    </comment>
    <comment ref="AV17" authorId="0" shapeId="0">
      <text>
        <r>
          <rPr>
            <b/>
            <sz val="9"/>
            <color indexed="81"/>
            <rFont val="Tahoma"/>
            <family val="2"/>
          </rPr>
          <t>Paul HP:</t>
        </r>
        <r>
          <rPr>
            <sz val="9"/>
            <color indexed="81"/>
            <rFont val="Tahoma"/>
            <family val="2"/>
          </rPr>
          <t xml:space="preserve">
dont 85 essence scoot Hoa</t>
        </r>
      </text>
    </comment>
    <comment ref="BS17" authorId="0" shapeId="0">
      <text>
        <r>
          <rPr>
            <b/>
            <sz val="9"/>
            <color indexed="81"/>
            <rFont val="Tahoma"/>
            <family val="2"/>
          </rPr>
          <t>Paul HP:</t>
        </r>
        <r>
          <rPr>
            <sz val="9"/>
            <color indexed="81"/>
            <rFont val="Tahoma"/>
            <family val="2"/>
          </rPr>
          <t xml:space="preserve">
essence scooter 21,5D/lit soit 4,2 lit km 18798</t>
        </r>
      </text>
    </comment>
    <comment ref="CC17" authorId="0" shapeId="0">
      <text>
        <r>
          <rPr>
            <b/>
            <sz val="9"/>
            <color indexed="81"/>
            <rFont val="Tahoma"/>
            <family val="2"/>
          </rPr>
          <t>Paul HP:</t>
        </r>
        <r>
          <rPr>
            <sz val="9"/>
            <color indexed="81"/>
            <rFont val="Tahoma"/>
            <family val="2"/>
          </rPr>
          <t xml:space="preserve">
Essence 98 KD a 22,15kd/l  soit 4,23 l </t>
        </r>
      </text>
    </comment>
    <comment ref="CZ17" authorId="0" shapeId="0">
      <text>
        <r>
          <rPr>
            <b/>
            <sz val="9"/>
            <color indexed="81"/>
            <rFont val="Tahoma"/>
            <family val="2"/>
          </rPr>
          <t>Paul HP:</t>
        </r>
        <r>
          <rPr>
            <sz val="9"/>
            <color indexed="81"/>
            <rFont val="Tahoma"/>
            <family val="2"/>
          </rPr>
          <t xml:space="preserve">
30 de parking, 150 de reparation et 50 de tip</t>
        </r>
      </text>
    </comment>
    <comment ref="DD17" authorId="0" shapeId="0">
      <text>
        <r>
          <rPr>
            <b/>
            <sz val="9"/>
            <color indexed="81"/>
            <rFont val="Tahoma"/>
            <family val="2"/>
          </rPr>
          <t>Paul HP:</t>
        </r>
        <r>
          <rPr>
            <sz val="9"/>
            <color indexed="81"/>
            <rFont val="Tahoma"/>
            <family val="2"/>
          </rPr>
          <t xml:space="preserve">
parkiing</t>
        </r>
      </text>
    </comment>
    <comment ref="DE17" authorId="0" shapeId="0">
      <text>
        <r>
          <rPr>
            <b/>
            <sz val="9"/>
            <color indexed="81"/>
            <rFont val="Tahoma"/>
            <family val="2"/>
          </rPr>
          <t>Paul HP:</t>
        </r>
        <r>
          <rPr>
            <sz val="9"/>
            <color indexed="81"/>
            <rFont val="Tahoma"/>
            <family val="2"/>
          </rPr>
          <t xml:space="preserve">
Essence 110 4,65 l a 23,44D à 19016 km</t>
        </r>
      </text>
    </comment>
    <comment ref="DF17" authorId="0" shapeId="0">
      <text>
        <r>
          <rPr>
            <b/>
            <sz val="9"/>
            <color indexed="81"/>
            <rFont val="Tahoma"/>
            <family val="2"/>
          </rPr>
          <t>Paul HP:</t>
        </r>
        <r>
          <rPr>
            <sz val="9"/>
            <color indexed="81"/>
            <rFont val="Tahoma"/>
            <family val="2"/>
          </rPr>
          <t xml:space="preserve">
parking 2 jours
</t>
        </r>
      </text>
    </comment>
    <comment ref="DM17" authorId="0" shapeId="0">
      <text>
        <r>
          <rPr>
            <b/>
            <sz val="9"/>
            <color indexed="81"/>
            <rFont val="Tahoma"/>
            <family val="2"/>
          </rPr>
          <t>Paul HP:</t>
        </r>
        <r>
          <rPr>
            <sz val="9"/>
            <color indexed="81"/>
            <rFont val="Tahoma"/>
            <family val="2"/>
          </rPr>
          <t xml:space="preserve">
parking 2 scoot </t>
        </r>
      </text>
    </comment>
    <comment ref="DN17" authorId="0" shapeId="0">
      <text>
        <r>
          <rPr>
            <b/>
            <sz val="9"/>
            <color indexed="81"/>
            <rFont val="Tahoma"/>
            <family val="2"/>
          </rPr>
          <t>Paul HP:</t>
        </r>
        <r>
          <rPr>
            <sz val="9"/>
            <color indexed="81"/>
            <rFont val="Tahoma"/>
            <family val="2"/>
          </rPr>
          <t xml:space="preserve">
parking 2 scoot </t>
        </r>
      </text>
    </comment>
    <comment ref="DR17" authorId="0" shapeId="0">
      <text>
        <r>
          <rPr>
            <b/>
            <sz val="9"/>
            <color indexed="81"/>
            <rFont val="Tahoma"/>
            <family val="2"/>
          </rPr>
          <t>Paul HP:</t>
        </r>
        <r>
          <rPr>
            <sz val="9"/>
            <color indexed="81"/>
            <rFont val="Tahoma"/>
            <family val="2"/>
          </rPr>
          <t xml:space="preserve">
paiement location scoot au fils de Hoa
</t>
        </r>
      </text>
    </comment>
    <comment ref="N18" authorId="0" shapeId="0">
      <text>
        <r>
          <rPr>
            <b/>
            <sz val="9"/>
            <color indexed="81"/>
            <rFont val="Tahoma"/>
            <family val="2"/>
          </rPr>
          <t>Paul HP:</t>
        </r>
        <r>
          <rPr>
            <sz val="9"/>
            <color indexed="81"/>
            <rFont val="Tahoma"/>
            <family val="2"/>
          </rPr>
          <t xml:space="preserve">
DIVERS AMENAGEMENTS</t>
        </r>
      </text>
    </comment>
    <comment ref="U18" authorId="0" shapeId="0">
      <text>
        <r>
          <rPr>
            <b/>
            <sz val="9"/>
            <color indexed="81"/>
            <rFont val="Tahoma"/>
            <family val="2"/>
          </rPr>
          <t>Paul HP:</t>
        </r>
        <r>
          <rPr>
            <sz val="9"/>
            <color indexed="81"/>
            <rFont val="Tahoma"/>
            <family val="2"/>
          </rPr>
          <t xml:space="preserve">
couvert d'occase</t>
        </r>
      </text>
    </comment>
    <comment ref="Y18" authorId="0" shapeId="0">
      <text>
        <r>
          <rPr>
            <b/>
            <sz val="9"/>
            <color indexed="81"/>
            <rFont val="Tahoma"/>
            <family val="2"/>
          </rPr>
          <t>Paul HP:</t>
        </r>
        <r>
          <rPr>
            <sz val="9"/>
            <color indexed="81"/>
            <rFont val="Tahoma"/>
            <family val="2"/>
          </rPr>
          <t xml:space="preserve">
telephonie</t>
        </r>
      </text>
    </comment>
    <comment ref="AK18" authorId="0" shapeId="0">
      <text>
        <r>
          <rPr>
            <b/>
            <sz val="9"/>
            <color indexed="81"/>
            <rFont val="Tahoma"/>
            <family val="2"/>
          </rPr>
          <t>Paul HP:</t>
        </r>
        <r>
          <rPr>
            <sz val="9"/>
            <color indexed="81"/>
            <rFont val="Tahoma"/>
            <family val="2"/>
          </rPr>
          <t xml:space="preserve">
tip au gardien et telephonie 100</t>
        </r>
      </text>
    </comment>
    <comment ref="AL18" authorId="0" shapeId="0">
      <text>
        <r>
          <rPr>
            <b/>
            <sz val="9"/>
            <color indexed="81"/>
            <rFont val="Tahoma"/>
            <family val="2"/>
          </rPr>
          <t>Paul HP:</t>
        </r>
        <r>
          <rPr>
            <sz val="9"/>
            <color indexed="81"/>
            <rFont val="Tahoma"/>
            <family val="2"/>
          </rPr>
          <t xml:space="preserve">
ERREUR</t>
        </r>
      </text>
    </comment>
    <comment ref="AX18" authorId="0" shapeId="0">
      <text>
        <r>
          <rPr>
            <b/>
            <sz val="9"/>
            <color indexed="81"/>
            <rFont val="Tahoma"/>
            <family val="2"/>
          </rPr>
          <t>Paul HP:</t>
        </r>
        <r>
          <rPr>
            <sz val="9"/>
            <color indexed="81"/>
            <rFont val="Tahoma"/>
            <family val="2"/>
          </rPr>
          <t xml:space="preserve">
tip concierge
</t>
        </r>
      </text>
    </comment>
    <comment ref="AZ18" authorId="0" shapeId="0">
      <text>
        <r>
          <rPr>
            <b/>
            <sz val="9"/>
            <color indexed="81"/>
            <rFont val="Tahoma"/>
            <family val="2"/>
          </rPr>
          <t>Paul HP:</t>
        </r>
        <r>
          <rPr>
            <sz val="9"/>
            <color indexed="81"/>
            <rFont val="Tahoma"/>
            <family val="2"/>
          </rPr>
          <t xml:space="preserve">
tip portier
</t>
        </r>
      </text>
    </comment>
    <comment ref="BO18" authorId="0" shapeId="0">
      <text>
        <r>
          <rPr>
            <b/>
            <sz val="9"/>
            <color indexed="81"/>
            <rFont val="Tahoma"/>
            <family val="2"/>
          </rPr>
          <t>Paul HP:</t>
        </r>
        <r>
          <rPr>
            <sz val="9"/>
            <color indexed="81"/>
            <rFont val="Tahoma"/>
            <family val="2"/>
          </rPr>
          <t xml:space="preserve">
ECART DE CHANGE SUR TRANSFERT
</t>
        </r>
      </text>
    </comment>
    <comment ref="BZ18" authorId="0" shapeId="0">
      <text>
        <r>
          <rPr>
            <b/>
            <sz val="9"/>
            <color indexed="81"/>
            <rFont val="Tahoma"/>
            <family val="2"/>
          </rPr>
          <t>Paul HP:</t>
        </r>
        <r>
          <rPr>
            <sz val="9"/>
            <color indexed="81"/>
            <rFont val="Tahoma"/>
            <family val="2"/>
          </rPr>
          <t xml:space="preserve">
ERREUR EN ATTENTE</t>
        </r>
      </text>
    </comment>
    <comment ref="CA18" authorId="0" shapeId="0">
      <text>
        <r>
          <rPr>
            <b/>
            <sz val="9"/>
            <color indexed="81"/>
            <rFont val="Tahoma"/>
            <family val="2"/>
          </rPr>
          <t>Paul HP:</t>
        </r>
        <r>
          <rPr>
            <sz val="9"/>
            <color indexed="81"/>
            <rFont val="Tahoma"/>
            <family val="2"/>
          </rPr>
          <t xml:space="preserve">
2 sensodyne dentifrice
</t>
        </r>
      </text>
    </comment>
    <comment ref="CH18" authorId="0" shapeId="0">
      <text>
        <r>
          <rPr>
            <b/>
            <sz val="9"/>
            <color indexed="81"/>
            <rFont val="Tahoma"/>
            <family val="2"/>
          </rPr>
          <t>Paul HP:</t>
        </r>
        <r>
          <rPr>
            <sz val="9"/>
            <color indexed="81"/>
            <rFont val="Tahoma"/>
            <family val="2"/>
          </rPr>
          <t xml:space="preserve">
dentiste</t>
        </r>
      </text>
    </comment>
    <comment ref="CY18" authorId="0" shapeId="0">
      <text>
        <r>
          <rPr>
            <b/>
            <sz val="9"/>
            <color indexed="81"/>
            <rFont val="Tahoma"/>
            <family val="2"/>
          </rPr>
          <t>Paul HP:</t>
        </r>
        <r>
          <rPr>
            <sz val="9"/>
            <color indexed="81"/>
            <rFont val="Tahoma"/>
            <family val="2"/>
          </rPr>
          <t xml:space="preserve">
2 fois 20 pour aumone</t>
        </r>
      </text>
    </comment>
    <comment ref="DB18" authorId="0" shapeId="0">
      <text>
        <r>
          <rPr>
            <b/>
            <sz val="9"/>
            <color indexed="81"/>
            <rFont val="Tahoma"/>
            <family val="2"/>
          </rPr>
          <t>Paul HP:</t>
        </r>
        <r>
          <rPr>
            <sz val="9"/>
            <color indexed="81"/>
            <rFont val="Tahoma"/>
            <family val="2"/>
          </rPr>
          <t xml:space="preserve">
reparation informatique
</t>
        </r>
      </text>
    </comment>
    <comment ref="BB19" authorId="0" shapeId="0">
      <text>
        <r>
          <rPr>
            <b/>
            <sz val="9"/>
            <color indexed="81"/>
            <rFont val="Tahoma"/>
            <family val="2"/>
          </rPr>
          <t>Paul HP:</t>
        </r>
        <r>
          <rPr>
            <sz val="9"/>
            <color indexed="81"/>
            <rFont val="Tahoma"/>
            <family val="2"/>
          </rPr>
          <t xml:space="preserve">
+ 960 electricité sur 41 jours</t>
        </r>
      </text>
    </comment>
    <comment ref="CG19" authorId="0" shapeId="0">
      <text>
        <r>
          <rPr>
            <b/>
            <sz val="9"/>
            <color indexed="81"/>
            <rFont val="Tahoma"/>
            <family val="2"/>
          </rPr>
          <t>Paul HP:</t>
        </r>
        <r>
          <rPr>
            <sz val="9"/>
            <color indexed="81"/>
            <rFont val="Tahoma"/>
            <family val="2"/>
          </rPr>
          <t xml:space="preserve">
dont 1296 pour l'electricité de Janvier
</t>
        </r>
      </text>
    </comment>
    <comment ref="DS19" authorId="0" shapeId="0">
      <text>
        <r>
          <rPr>
            <b/>
            <sz val="9"/>
            <color indexed="81"/>
            <rFont val="Tahoma"/>
            <family val="2"/>
          </rPr>
          <t>Paul HP:</t>
        </r>
        <r>
          <rPr>
            <sz val="9"/>
            <color indexed="81"/>
            <rFont val="Tahoma"/>
            <family val="2"/>
          </rPr>
          <t xml:space="preserve">
electricité</t>
        </r>
      </text>
    </comment>
    <comment ref="R20" authorId="0" shapeId="0">
      <text>
        <r>
          <rPr>
            <b/>
            <sz val="9"/>
            <color indexed="81"/>
            <rFont val="Tahoma"/>
            <family val="2"/>
          </rPr>
          <t>Paul HP:</t>
        </r>
        <r>
          <rPr>
            <sz val="9"/>
            <color indexed="81"/>
            <rFont val="Tahoma"/>
            <family val="2"/>
          </rPr>
          <t xml:space="preserve">
location scoot 250 + assurance 120 + 110 essence a 25€/l</t>
        </r>
      </text>
    </comment>
    <comment ref="S20" authorId="0" shapeId="0">
      <text>
        <r>
          <rPr>
            <b/>
            <sz val="9"/>
            <color indexed="81"/>
            <rFont val="Tahoma"/>
            <family val="2"/>
          </rPr>
          <t>Paul HP:</t>
        </r>
        <r>
          <rPr>
            <sz val="9"/>
            <color indexed="81"/>
            <rFont val="Tahoma"/>
            <family val="2"/>
          </rPr>
          <t xml:space="preserve">
location scoot 250 + assurance 120 + 3 litresb essence a 36KD</t>
        </r>
      </text>
    </comment>
    <comment ref="T20" authorId="0" shapeId="0">
      <text>
        <r>
          <rPr>
            <b/>
            <sz val="9"/>
            <color indexed="81"/>
            <rFont val="Tahoma"/>
            <family val="2"/>
          </rPr>
          <t>Paul HP:</t>
        </r>
        <r>
          <rPr>
            <sz val="9"/>
            <color indexed="81"/>
            <rFont val="Tahoma"/>
            <family val="2"/>
          </rPr>
          <t xml:space="preserve">
location scoot 250 + assurance 120</t>
        </r>
      </text>
    </comment>
    <comment ref="AD20" authorId="0" shapeId="0">
      <text>
        <r>
          <rPr>
            <b/>
            <sz val="9"/>
            <color indexed="81"/>
            <rFont val="Tahoma"/>
            <family val="2"/>
          </rPr>
          <t>Paul HP:</t>
        </r>
        <r>
          <rPr>
            <sz val="9"/>
            <color indexed="81"/>
            <rFont val="Tahoma"/>
            <family val="2"/>
          </rPr>
          <t xml:space="preserve">
cadeau bouffe Thai Nguyen
</t>
        </r>
      </text>
    </comment>
    <comment ref="BV20" authorId="0" shapeId="0">
      <text>
        <r>
          <rPr>
            <b/>
            <sz val="9"/>
            <color indexed="81"/>
            <rFont val="Tahoma"/>
            <family val="2"/>
          </rPr>
          <t>Paul HP:</t>
        </r>
        <r>
          <rPr>
            <sz val="9"/>
            <color indexed="81"/>
            <rFont val="Tahoma"/>
            <family val="2"/>
          </rPr>
          <t xml:space="preserve">
tip portier
</t>
        </r>
      </text>
    </comment>
    <comment ref="DG20" authorId="0" shapeId="0">
      <text>
        <r>
          <rPr>
            <b/>
            <sz val="9"/>
            <color indexed="81"/>
            <rFont val="Tahoma"/>
            <family val="2"/>
          </rPr>
          <t>Paul HP:</t>
        </r>
        <r>
          <rPr>
            <sz val="9"/>
            <color indexed="81"/>
            <rFont val="Tahoma"/>
            <family val="2"/>
          </rPr>
          <t xml:space="preserve">
location scoot</t>
        </r>
      </text>
    </comment>
    <comment ref="DH20" authorId="0" shapeId="0">
      <text>
        <r>
          <rPr>
            <b/>
            <sz val="9"/>
            <color indexed="81"/>
            <rFont val="Tahoma"/>
            <family val="2"/>
          </rPr>
          <t>Paul HP:</t>
        </r>
        <r>
          <rPr>
            <sz val="9"/>
            <color indexed="81"/>
            <rFont val="Tahoma"/>
            <family val="2"/>
          </rPr>
          <t xml:space="preserve">
essence 1lit</t>
        </r>
      </text>
    </comment>
    <comment ref="DI20" authorId="0" shapeId="0">
      <text>
        <r>
          <rPr>
            <b/>
            <sz val="9"/>
            <color indexed="81"/>
            <rFont val="Tahoma"/>
            <family val="2"/>
          </rPr>
          <t>Paul HP:</t>
        </r>
        <r>
          <rPr>
            <sz val="9"/>
            <color indexed="81"/>
            <rFont val="Tahoma"/>
            <family val="2"/>
          </rPr>
          <t xml:space="preserve">
location scoot</t>
        </r>
      </text>
    </comment>
    <comment ref="F21" authorId="0" shapeId="0">
      <text>
        <r>
          <rPr>
            <b/>
            <sz val="9"/>
            <color indexed="81"/>
            <rFont val="Tahoma"/>
            <family val="2"/>
          </rPr>
          <t>Paul HP:</t>
        </r>
        <r>
          <rPr>
            <sz val="9"/>
            <color indexed="81"/>
            <rFont val="Tahoma"/>
            <family val="2"/>
          </rPr>
          <t xml:space="preserve">
Massage 4 mains Thu &amp; little Hoa
</t>
        </r>
      </text>
    </comment>
    <comment ref="J21" authorId="0" shapeId="0">
      <text>
        <r>
          <rPr>
            <b/>
            <sz val="9"/>
            <color indexed="81"/>
            <rFont val="Tahoma"/>
            <family val="2"/>
          </rPr>
          <t>Paul HP:</t>
        </r>
        <r>
          <rPr>
            <sz val="9"/>
            <color indexed="81"/>
            <rFont val="Tahoma"/>
            <family val="2"/>
          </rPr>
          <t xml:space="preserve">
Inauguration Spa 3</t>
        </r>
      </text>
    </comment>
    <comment ref="CC21" authorId="0" shapeId="0">
      <text>
        <r>
          <rPr>
            <b/>
            <sz val="9"/>
            <color indexed="81"/>
            <rFont val="Tahoma"/>
            <family val="2"/>
          </rPr>
          <t>Paul HP:</t>
        </r>
        <r>
          <rPr>
            <sz val="9"/>
            <color indexed="81"/>
            <rFont val="Tahoma"/>
            <family val="2"/>
          </rPr>
          <t xml:space="preserve">
massage Kieu</t>
        </r>
      </text>
    </comment>
    <comment ref="CI21" authorId="0" shapeId="0">
      <text>
        <r>
          <rPr>
            <b/>
            <sz val="9"/>
            <color indexed="81"/>
            <rFont val="Tahoma"/>
            <family val="2"/>
          </rPr>
          <t>Paul HP:</t>
        </r>
        <r>
          <rPr>
            <sz val="9"/>
            <color indexed="81"/>
            <rFont val="Tahoma"/>
            <family val="2"/>
          </rPr>
          <t xml:space="preserve">
massage Kieu, HH</t>
        </r>
      </text>
    </comment>
    <comment ref="CU21" authorId="0" shapeId="0">
      <text>
        <r>
          <rPr>
            <b/>
            <sz val="9"/>
            <color indexed="81"/>
            <rFont val="Tahoma"/>
            <family val="2"/>
          </rPr>
          <t>Paul HP:</t>
        </r>
        <r>
          <rPr>
            <sz val="9"/>
            <color indexed="81"/>
            <rFont val="Tahoma"/>
            <family val="2"/>
          </rPr>
          <t xml:space="preserve">
Pediicure Trang</t>
        </r>
      </text>
    </comment>
    <comment ref="CN22" authorId="0" shapeId="0">
      <text>
        <r>
          <rPr>
            <b/>
            <sz val="9"/>
            <color indexed="81"/>
            <rFont val="Tahoma"/>
            <family val="2"/>
          </rPr>
          <t>Paul HP:</t>
        </r>
        <r>
          <rPr>
            <sz val="9"/>
            <color indexed="81"/>
            <rFont val="Tahoma"/>
            <family val="2"/>
          </rPr>
          <t xml:space="preserve">
en fait 52 €</t>
        </r>
      </text>
    </comment>
    <comment ref="CO22" authorId="0" shapeId="0">
      <text>
        <r>
          <rPr>
            <b/>
            <sz val="9"/>
            <color indexed="81"/>
            <rFont val="Tahoma"/>
            <family val="2"/>
          </rPr>
          <t>Paul HP:</t>
        </r>
        <r>
          <rPr>
            <sz val="9"/>
            <color indexed="81"/>
            <rFont val="Tahoma"/>
            <family val="2"/>
          </rPr>
          <t xml:space="preserve">
en fait 65 €</t>
        </r>
      </text>
    </comment>
    <comment ref="CP22" authorId="0" shapeId="0">
      <text>
        <r>
          <rPr>
            <b/>
            <sz val="9"/>
            <color indexed="81"/>
            <rFont val="Tahoma"/>
            <family val="2"/>
          </rPr>
          <t>Paul HP:</t>
        </r>
        <r>
          <rPr>
            <sz val="9"/>
            <color indexed="81"/>
            <rFont val="Tahoma"/>
            <family val="2"/>
          </rPr>
          <t xml:space="preserve">
en fait 52 €</t>
        </r>
      </text>
    </comment>
    <comment ref="CQ22" authorId="0" shapeId="0">
      <text>
        <r>
          <rPr>
            <b/>
            <sz val="9"/>
            <color indexed="81"/>
            <rFont val="Tahoma"/>
            <family val="2"/>
          </rPr>
          <t>Paul HP:</t>
        </r>
        <r>
          <rPr>
            <sz val="9"/>
            <color indexed="81"/>
            <rFont val="Tahoma"/>
            <family val="2"/>
          </rPr>
          <t xml:space="preserve">
en fait 60 €</t>
        </r>
      </text>
    </comment>
    <comment ref="F23" authorId="0" shapeId="0">
      <text>
        <r>
          <rPr>
            <b/>
            <sz val="9"/>
            <color indexed="81"/>
            <rFont val="Tahoma"/>
            <family val="2"/>
          </rPr>
          <t>Paul HP:</t>
        </r>
        <r>
          <rPr>
            <sz val="9"/>
            <color indexed="81"/>
            <rFont val="Tahoma"/>
            <family val="2"/>
          </rPr>
          <t xml:space="preserve">
JEAN Luis 50€
 et Hanoi 300</t>
        </r>
      </text>
    </comment>
    <comment ref="R23" authorId="0" shapeId="0">
      <text>
        <r>
          <rPr>
            <b/>
            <sz val="9"/>
            <color indexed="81"/>
            <rFont val="Tahoma"/>
            <family val="2"/>
          </rPr>
          <t>Paul HP:</t>
        </r>
        <r>
          <rPr>
            <sz val="9"/>
            <color indexed="81"/>
            <rFont val="Tahoma"/>
            <family val="2"/>
          </rPr>
          <t xml:space="preserve">
bus cabine
</t>
        </r>
      </text>
    </comment>
    <comment ref="T23" authorId="0" shapeId="0">
      <text>
        <r>
          <rPr>
            <b/>
            <sz val="9"/>
            <color indexed="81"/>
            <rFont val="Tahoma"/>
            <family val="2"/>
          </rPr>
          <t>Paul HP:</t>
        </r>
        <r>
          <rPr>
            <sz val="9"/>
            <color indexed="81"/>
            <rFont val="Tahoma"/>
            <family val="2"/>
          </rPr>
          <t xml:space="preserve">
bus cabine 400
</t>
        </r>
      </text>
    </comment>
    <comment ref="Z23" authorId="0" shapeId="0">
      <text>
        <r>
          <rPr>
            <b/>
            <sz val="9"/>
            <color indexed="81"/>
            <rFont val="Tahoma"/>
            <family val="2"/>
          </rPr>
          <t>Paul HP:</t>
        </r>
        <r>
          <rPr>
            <sz val="9"/>
            <color indexed="81"/>
            <rFont val="Tahoma"/>
            <family val="2"/>
          </rPr>
          <t xml:space="preserve">
80 + tip 20
</t>
        </r>
      </text>
    </comment>
    <comment ref="AD23" authorId="0" shapeId="0">
      <text>
        <r>
          <rPr>
            <b/>
            <sz val="9"/>
            <color indexed="81"/>
            <rFont val="Tahoma"/>
            <family val="2"/>
          </rPr>
          <t>Paul HP:</t>
        </r>
        <r>
          <rPr>
            <sz val="9"/>
            <color indexed="81"/>
            <rFont val="Tahoma"/>
            <family val="2"/>
          </rPr>
          <t xml:space="preserve">
limousine</t>
        </r>
      </text>
    </comment>
    <comment ref="BH23" authorId="0" shapeId="0">
      <text>
        <r>
          <rPr>
            <b/>
            <sz val="9"/>
            <color indexed="81"/>
            <rFont val="Tahoma"/>
            <family val="2"/>
          </rPr>
          <t>Paul HP:</t>
        </r>
        <r>
          <rPr>
            <sz val="9"/>
            <color indexed="81"/>
            <rFont val="Tahoma"/>
            <family val="2"/>
          </rPr>
          <t xml:space="preserve">
limousine mariage
</t>
        </r>
      </text>
    </comment>
    <comment ref="CX23" authorId="0" shapeId="0">
      <text>
        <r>
          <rPr>
            <b/>
            <sz val="9"/>
            <color indexed="81"/>
            <rFont val="Tahoma"/>
            <family val="2"/>
          </rPr>
          <t>Paul HP:</t>
        </r>
        <r>
          <rPr>
            <sz val="9"/>
            <color indexed="81"/>
            <rFont val="Tahoma"/>
            <family val="2"/>
          </rPr>
          <t xml:space="preserve">
limousine aller retour</t>
        </r>
      </text>
    </comment>
    <comment ref="DI23" authorId="0" shapeId="0">
      <text>
        <r>
          <rPr>
            <b/>
            <sz val="9"/>
            <color indexed="81"/>
            <rFont val="Tahoma"/>
            <family val="2"/>
          </rPr>
          <t>Paul HP:</t>
        </r>
        <r>
          <rPr>
            <sz val="9"/>
            <color indexed="81"/>
            <rFont val="Tahoma"/>
            <family val="2"/>
          </rPr>
          <t xml:space="preserve">
scoot Danang 170 et taxi Hanoi 300
</t>
        </r>
      </text>
    </comment>
    <comment ref="DR23" authorId="0" shapeId="0">
      <text>
        <r>
          <rPr>
            <b/>
            <sz val="9"/>
            <color indexed="81"/>
            <rFont val="Tahoma"/>
            <family val="2"/>
          </rPr>
          <t>Paul HP:</t>
        </r>
        <r>
          <rPr>
            <sz val="9"/>
            <color indexed="81"/>
            <rFont val="Tahoma"/>
            <family val="2"/>
          </rPr>
          <t xml:space="preserve">
tentative de depart avortée
</t>
        </r>
      </text>
    </comment>
    <comment ref="E24" authorId="0" shapeId="0">
      <text>
        <r>
          <rPr>
            <b/>
            <sz val="9"/>
            <color indexed="81"/>
            <rFont val="Tahoma"/>
            <family val="2"/>
          </rPr>
          <t>Paul HP:</t>
        </r>
        <r>
          <rPr>
            <sz val="9"/>
            <color indexed="81"/>
            <rFont val="Tahoma"/>
            <family val="2"/>
          </rPr>
          <t xml:space="preserve">
achat billet d'avion 800€
pris sur le virement de 2000 €. Acheté laux environs du 20 Janvier</t>
        </r>
      </text>
    </comment>
    <comment ref="CQ24" authorId="0" shapeId="0">
      <text>
        <r>
          <rPr>
            <b/>
            <sz val="9"/>
            <color indexed="81"/>
            <rFont val="Tahoma"/>
            <family val="2"/>
          </rPr>
          <t>Paul HP:</t>
        </r>
        <r>
          <rPr>
            <sz val="9"/>
            <color indexed="81"/>
            <rFont val="Tahoma"/>
            <family val="2"/>
          </rPr>
          <t xml:space="preserve">
voyage retour
</t>
        </r>
      </text>
    </comment>
    <comment ref="DI24" authorId="0" shapeId="0">
      <text>
        <r>
          <rPr>
            <b/>
            <sz val="9"/>
            <color indexed="81"/>
            <rFont val="Tahoma"/>
            <family val="2"/>
          </rPr>
          <t>Paul HP:</t>
        </r>
        <r>
          <rPr>
            <sz val="9"/>
            <color indexed="81"/>
            <rFont val="Tahoma"/>
            <family val="2"/>
          </rPr>
          <t xml:space="preserve">
achat billet d'avion 800€
pris sur le virement de 2000 €. Acheté laux environs du 20 Janvier</t>
        </r>
      </text>
    </comment>
    <comment ref="F25" authorId="0" shapeId="0">
      <text>
        <r>
          <rPr>
            <b/>
            <sz val="9"/>
            <color indexed="81"/>
            <rFont val="Tahoma"/>
            <family val="2"/>
          </rPr>
          <t>Paul HP:</t>
        </r>
        <r>
          <rPr>
            <sz val="9"/>
            <color indexed="81"/>
            <rFont val="Tahoma"/>
            <family val="2"/>
          </rPr>
          <t xml:space="preserve">
difference de change</t>
        </r>
      </text>
    </comment>
    <comment ref="G25" authorId="0" shapeId="0">
      <text>
        <r>
          <rPr>
            <b/>
            <sz val="9"/>
            <color indexed="81"/>
            <rFont val="Tahoma"/>
            <family val="2"/>
          </rPr>
          <t>Paul HP:</t>
        </r>
        <r>
          <rPr>
            <sz val="9"/>
            <color indexed="81"/>
            <rFont val="Tahoma"/>
            <family val="2"/>
          </rPr>
          <t xml:space="preserve">
portefeuille
</t>
        </r>
      </text>
    </comment>
    <comment ref="H26" authorId="0" shapeId="0">
      <text>
        <r>
          <rPr>
            <b/>
            <sz val="9"/>
            <color indexed="81"/>
            <rFont val="Tahoma"/>
            <family val="2"/>
          </rPr>
          <t>Paul HP:</t>
        </r>
        <r>
          <rPr>
            <sz val="9"/>
            <color indexed="81"/>
            <rFont val="Tahoma"/>
            <family val="2"/>
          </rPr>
          <t xml:space="preserve">
SHORT
</t>
        </r>
      </text>
    </comment>
    <comment ref="X26" authorId="0" shapeId="0">
      <text>
        <r>
          <rPr>
            <b/>
            <sz val="9"/>
            <color indexed="81"/>
            <rFont val="Tahoma"/>
            <family val="2"/>
          </rPr>
          <t>Paul HP:</t>
        </r>
        <r>
          <rPr>
            <sz val="9"/>
            <color indexed="81"/>
            <rFont val="Tahoma"/>
            <family val="2"/>
          </rPr>
          <t xml:space="preserve">
tissu chemise rouge</t>
        </r>
      </text>
    </comment>
    <comment ref="AB26" authorId="0" shapeId="0">
      <text>
        <r>
          <rPr>
            <b/>
            <sz val="9"/>
            <color indexed="81"/>
            <rFont val="Tahoma"/>
            <family val="2"/>
          </rPr>
          <t>Paul HP:</t>
        </r>
        <r>
          <rPr>
            <sz val="9"/>
            <color indexed="81"/>
            <rFont val="Tahoma"/>
            <family val="2"/>
          </rPr>
          <t xml:space="preserve">
Pikolinos recoloriés
</t>
        </r>
      </text>
    </comment>
    <comment ref="AC26" authorId="0" shapeId="0">
      <text>
        <r>
          <rPr>
            <b/>
            <sz val="9"/>
            <color indexed="81"/>
            <rFont val="Tahoma"/>
            <family val="2"/>
          </rPr>
          <t>Paul HP:</t>
        </r>
        <r>
          <rPr>
            <sz val="9"/>
            <color indexed="81"/>
            <rFont val="Tahoma"/>
            <family val="2"/>
          </rPr>
          <t xml:space="preserve">
chemise rouge, la façon</t>
        </r>
      </text>
    </comment>
    <comment ref="AE26" authorId="0" shapeId="0">
      <text>
        <r>
          <rPr>
            <b/>
            <sz val="9"/>
            <color indexed="81"/>
            <rFont val="Tahoma"/>
            <family val="2"/>
          </rPr>
          <t>Paul HP:</t>
        </r>
        <r>
          <rPr>
            <sz val="9"/>
            <color indexed="81"/>
            <rFont val="Tahoma"/>
            <family val="2"/>
          </rPr>
          <t xml:space="preserve">
gilet bleu chaud</t>
        </r>
      </text>
    </comment>
    <comment ref="AF26" authorId="0" shapeId="0">
      <text>
        <r>
          <rPr>
            <b/>
            <sz val="9"/>
            <color indexed="81"/>
            <rFont val="Tahoma"/>
            <family val="2"/>
          </rPr>
          <t>Paul HP:</t>
        </r>
        <r>
          <rPr>
            <sz val="9"/>
            <color indexed="81"/>
            <rFont val="Tahoma"/>
            <family val="2"/>
          </rPr>
          <t xml:space="preserve">
Tissu chemise marron</t>
        </r>
      </text>
    </comment>
    <comment ref="AJ26" authorId="0" shapeId="0">
      <text>
        <r>
          <rPr>
            <b/>
            <sz val="9"/>
            <color indexed="81"/>
            <rFont val="Tahoma"/>
            <family val="2"/>
          </rPr>
          <t>Paul HP:</t>
        </r>
        <r>
          <rPr>
            <sz val="9"/>
            <color indexed="81"/>
            <rFont val="Tahoma"/>
            <family val="2"/>
          </rPr>
          <t xml:space="preserve">
facon chemise marron clair
</t>
        </r>
      </text>
    </comment>
    <comment ref="CY26" authorId="0" shapeId="0">
      <text>
        <r>
          <rPr>
            <b/>
            <sz val="9"/>
            <color indexed="81"/>
            <rFont val="Tahoma"/>
            <family val="2"/>
          </rPr>
          <t>Paul HP:</t>
        </r>
        <r>
          <rPr>
            <sz val="9"/>
            <color indexed="81"/>
            <rFont val="Tahoma"/>
            <family val="2"/>
          </rPr>
          <t xml:space="preserve">
800 chemise verte a col Mao</t>
        </r>
      </text>
    </comment>
    <comment ref="DL26" authorId="0" shapeId="0">
      <text>
        <r>
          <rPr>
            <b/>
            <sz val="9"/>
            <color indexed="81"/>
            <rFont val="Tahoma"/>
            <family val="2"/>
          </rPr>
          <t>Paul HP:</t>
        </r>
        <r>
          <rPr>
            <sz val="9"/>
            <color indexed="81"/>
            <rFont val="Tahoma"/>
            <family val="2"/>
          </rPr>
          <t xml:space="preserve">
Tissu ;
2 chemises sur mesure 2 fois 500
vert pale et beige tres clairs
</t>
        </r>
      </text>
    </comment>
    <comment ref="DQ26" authorId="0" shapeId="0">
      <text>
        <r>
          <rPr>
            <b/>
            <sz val="9"/>
            <color indexed="81"/>
            <rFont val="Tahoma"/>
            <family val="2"/>
          </rPr>
          <t>Paul HP:</t>
        </r>
        <r>
          <rPr>
            <sz val="9"/>
            <color indexed="81"/>
            <rFont val="Tahoma"/>
            <family val="2"/>
          </rPr>
          <t xml:space="preserve">
2 chemises sur mesure 2 fois 500
vert pale et beige tres clairs
</t>
        </r>
      </text>
    </comment>
    <comment ref="W27" authorId="0" shapeId="0">
      <text>
        <r>
          <rPr>
            <b/>
            <sz val="9"/>
            <color indexed="81"/>
            <rFont val="Tahoma"/>
            <family val="2"/>
          </rPr>
          <t>Paul HP:</t>
        </r>
        <r>
          <rPr>
            <sz val="9"/>
            <color indexed="81"/>
            <rFont val="Tahoma"/>
            <family val="2"/>
          </rPr>
          <t xml:space="preserve">
oreillettes Hoa</t>
        </r>
      </text>
    </comment>
    <comment ref="Y27" authorId="0" shapeId="0">
      <text>
        <r>
          <rPr>
            <b/>
            <sz val="9"/>
            <color indexed="81"/>
            <rFont val="Tahoma"/>
            <family val="2"/>
          </rPr>
          <t>Paul HP:</t>
        </r>
        <r>
          <rPr>
            <sz val="9"/>
            <color indexed="81"/>
            <rFont val="Tahoma"/>
            <family val="2"/>
          </rPr>
          <t xml:space="preserve">
cadeau Mr Bon</t>
        </r>
      </text>
    </comment>
    <comment ref="AA27" authorId="0" shapeId="0">
      <text>
        <r>
          <rPr>
            <b/>
            <sz val="9"/>
            <color indexed="81"/>
            <rFont val="Tahoma"/>
            <family val="2"/>
          </rPr>
          <t>Paul HP:</t>
        </r>
        <r>
          <rPr>
            <sz val="9"/>
            <color indexed="81"/>
            <rFont val="Tahoma"/>
            <family val="2"/>
          </rPr>
          <t xml:space="preserve">
cadeau Ut 1 MD</t>
        </r>
      </text>
    </comment>
    <comment ref="AE27" authorId="0" shapeId="0">
      <text>
        <r>
          <rPr>
            <b/>
            <sz val="9"/>
            <color indexed="81"/>
            <rFont val="Tahoma"/>
            <family val="2"/>
          </rPr>
          <t>Paul HP:</t>
        </r>
        <r>
          <rPr>
            <sz val="9"/>
            <color indexed="81"/>
            <rFont val="Tahoma"/>
            <family val="2"/>
          </rPr>
          <t xml:space="preserve">
chargeur batterie Hoa
</t>
        </r>
      </text>
    </comment>
    <comment ref="AT27" authorId="0" shapeId="0">
      <text>
        <r>
          <rPr>
            <b/>
            <sz val="9"/>
            <color indexed="81"/>
            <rFont val="Tahoma"/>
            <family val="2"/>
          </rPr>
          <t>Paul HP:</t>
        </r>
        <r>
          <rPr>
            <sz val="9"/>
            <color indexed="81"/>
            <rFont val="Tahoma"/>
            <family val="2"/>
          </rPr>
          <t xml:space="preserve">
passes lumineux
</t>
        </r>
      </text>
    </comment>
    <comment ref="BB27" authorId="0" shapeId="0">
      <text>
        <r>
          <rPr>
            <b/>
            <sz val="9"/>
            <color indexed="81"/>
            <rFont val="Tahoma"/>
            <family val="2"/>
          </rPr>
          <t>Paul HP:</t>
        </r>
        <r>
          <rPr>
            <sz val="9"/>
            <color indexed="81"/>
            <rFont val="Tahoma"/>
            <family val="2"/>
          </rPr>
          <t xml:space="preserve">
 gâteau anniv Hoa + collier 6700</t>
        </r>
      </text>
    </comment>
    <comment ref="BH27" authorId="0" shapeId="0">
      <text>
        <r>
          <rPr>
            <b/>
            <sz val="9"/>
            <color indexed="81"/>
            <rFont val="Tahoma"/>
            <family val="2"/>
          </rPr>
          <t>Paul HP:</t>
        </r>
        <r>
          <rPr>
            <sz val="9"/>
            <color indexed="81"/>
            <rFont val="Tahoma"/>
            <family val="2"/>
          </rPr>
          <t xml:space="preserve">
cadeau mariage niece
</t>
        </r>
      </text>
    </comment>
    <comment ref="BJ27" authorId="0" shapeId="0">
      <text>
        <r>
          <rPr>
            <b/>
            <sz val="9"/>
            <color indexed="81"/>
            <rFont val="Tahoma"/>
            <family val="2"/>
          </rPr>
          <t>Paul HP:</t>
        </r>
        <r>
          <rPr>
            <sz val="9"/>
            <color indexed="81"/>
            <rFont val="Tahoma"/>
            <family val="2"/>
          </rPr>
          <t xml:space="preserve">
cadeau anniv fils Hoa</t>
        </r>
      </text>
    </comment>
    <comment ref="BO27" authorId="0" shapeId="0">
      <text>
        <r>
          <rPr>
            <b/>
            <sz val="9"/>
            <color indexed="81"/>
            <rFont val="Tahoma"/>
            <family val="2"/>
          </rPr>
          <t>Paul HP:</t>
        </r>
        <r>
          <rPr>
            <sz val="9"/>
            <color indexed="81"/>
            <rFont val="Tahoma"/>
            <family val="2"/>
          </rPr>
          <t xml:space="preserve">
ECART DE CHANGE SUR TRANSFERT sur collier du 31/12
</t>
        </r>
      </text>
    </comment>
    <comment ref="BY27" authorId="0" shapeId="0">
      <text>
        <r>
          <rPr>
            <b/>
            <sz val="9"/>
            <color indexed="81"/>
            <rFont val="Tahoma"/>
            <family val="2"/>
          </rPr>
          <t>Paul HP:</t>
        </r>
        <r>
          <rPr>
            <sz val="9"/>
            <color indexed="81"/>
            <rFont val="Tahoma"/>
            <family val="2"/>
          </rPr>
          <t xml:space="preserve">
en fait 1200, little son 500, Anh 400, 3 filles</t>
        </r>
      </text>
    </comment>
    <comment ref="CL27" authorId="0" shapeId="0">
      <text>
        <r>
          <rPr>
            <b/>
            <sz val="9"/>
            <color indexed="81"/>
            <rFont val="Tahoma"/>
            <family val="2"/>
          </rPr>
          <t>Paul HP:</t>
        </r>
        <r>
          <rPr>
            <sz val="9"/>
            <color indexed="81"/>
            <rFont val="Tahoma"/>
            <family val="2"/>
          </rPr>
          <t xml:space="preserve">
Lunettes Hoa</t>
        </r>
      </text>
    </comment>
    <comment ref="CX27" authorId="0" shapeId="0">
      <text>
        <r>
          <rPr>
            <b/>
            <sz val="9"/>
            <color indexed="81"/>
            <rFont val="Tahoma"/>
            <family val="2"/>
          </rPr>
          <t>Paul HP:</t>
        </r>
        <r>
          <rPr>
            <sz val="9"/>
            <color indexed="81"/>
            <rFont val="Tahoma"/>
            <family val="2"/>
          </rPr>
          <t xml:space="preserve">
 pâtisserie de coco cadeau</t>
        </r>
      </text>
    </comment>
    <comment ref="CZ27" authorId="0" shapeId="0">
      <text>
        <r>
          <rPr>
            <b/>
            <sz val="9"/>
            <color indexed="81"/>
            <rFont val="Tahoma"/>
            <family val="2"/>
          </rPr>
          <t>Paul HP:</t>
        </r>
        <r>
          <rPr>
            <sz val="9"/>
            <color indexed="81"/>
            <rFont val="Tahoma"/>
            <family val="2"/>
          </rPr>
          <t xml:space="preserve">
superbe robe de la Saint Valentin</t>
        </r>
      </text>
    </comment>
    <comment ref="DC27" authorId="0" shapeId="0">
      <text>
        <r>
          <rPr>
            <b/>
            <sz val="9"/>
            <color indexed="81"/>
            <rFont val="Tahoma"/>
            <family val="2"/>
          </rPr>
          <t>Paul HP:</t>
        </r>
        <r>
          <rPr>
            <sz val="9"/>
            <color indexed="81"/>
            <rFont val="Tahoma"/>
            <family val="2"/>
          </rPr>
          <t xml:space="preserve">
ceinture Hoa
</t>
        </r>
      </text>
    </comment>
    <comment ref="DD27" authorId="0" shapeId="0">
      <text>
        <r>
          <rPr>
            <b/>
            <sz val="9"/>
            <color indexed="81"/>
            <rFont val="Tahoma"/>
            <family val="2"/>
          </rPr>
          <t>Paul HP:</t>
        </r>
        <r>
          <rPr>
            <sz val="9"/>
            <color indexed="81"/>
            <rFont val="Tahoma"/>
            <family val="2"/>
          </rPr>
          <t xml:space="preserve">
repas brésilien pour les 4 ans</t>
        </r>
      </text>
    </comment>
    <comment ref="DH27" authorId="0" shapeId="0">
      <text>
        <r>
          <rPr>
            <b/>
            <sz val="9"/>
            <color indexed="81"/>
            <rFont val="Tahoma"/>
            <family val="2"/>
          </rPr>
          <t>Paul HP:</t>
        </r>
        <r>
          <rPr>
            <sz val="9"/>
            <color indexed="81"/>
            <rFont val="Tahoma"/>
            <family val="2"/>
          </rPr>
          <t xml:space="preserve">
bracelets Margaux</t>
        </r>
      </text>
    </comment>
    <comment ref="DP27" authorId="0" shapeId="0">
      <text>
        <r>
          <rPr>
            <b/>
            <sz val="9"/>
            <color indexed="81"/>
            <rFont val="Tahoma"/>
            <family val="2"/>
          </rPr>
          <t>Paul HP:</t>
        </r>
        <r>
          <rPr>
            <sz val="9"/>
            <color indexed="81"/>
            <rFont val="Tahoma"/>
            <family val="2"/>
          </rPr>
          <t xml:space="preserve">
herbes et FdP poivre vert poivre noir cure dents
</t>
        </r>
      </text>
    </comment>
    <comment ref="DQ27" authorId="0" shapeId="0">
      <text>
        <r>
          <rPr>
            <b/>
            <sz val="9"/>
            <color indexed="81"/>
            <rFont val="Tahoma"/>
            <family val="2"/>
          </rPr>
          <t>Paul HP:</t>
        </r>
        <r>
          <rPr>
            <sz val="9"/>
            <color indexed="81"/>
            <rFont val="Tahoma"/>
            <family val="2"/>
          </rPr>
          <t xml:space="preserve">
2 cartouches payeees par Hoablouses hoa, vase maman 500 et Thu sauce
</t>
        </r>
      </text>
    </comment>
    <comment ref="DR27" authorId="0" shapeId="0">
      <text>
        <r>
          <rPr>
            <b/>
            <sz val="9"/>
            <color indexed="81"/>
            <rFont val="Tahoma"/>
            <family val="2"/>
          </rPr>
          <t>Paul HP:</t>
        </r>
        <r>
          <rPr>
            <sz val="9"/>
            <color indexed="81"/>
            <rFont val="Tahoma"/>
            <family val="2"/>
          </rPr>
          <t xml:space="preserve">
2 air pods</t>
        </r>
      </text>
    </comment>
    <comment ref="BU29" authorId="0" shapeId="0">
      <text>
        <r>
          <rPr>
            <b/>
            <sz val="9"/>
            <color indexed="81"/>
            <rFont val="Tahoma"/>
            <family val="2"/>
          </rPr>
          <t>Paul HP:</t>
        </r>
        <r>
          <rPr>
            <sz val="9"/>
            <color indexed="81"/>
            <rFont val="Tahoma"/>
            <family val="2"/>
          </rPr>
          <t xml:space="preserve">
400€ pour hoa
</t>
        </r>
      </text>
    </comment>
    <comment ref="CM57" authorId="0" shapeId="0">
      <text>
        <r>
          <rPr>
            <b/>
            <sz val="9"/>
            <color indexed="81"/>
            <rFont val="Tahoma"/>
            <family val="2"/>
          </rPr>
          <t>Paul HP:</t>
        </r>
        <r>
          <rPr>
            <sz val="9"/>
            <color indexed="81"/>
            <rFont val="Tahoma"/>
            <family val="2"/>
          </rPr>
          <t xml:space="preserve">
At ease, Bangkok payé par CB</t>
        </r>
      </text>
    </comment>
    <comment ref="DG57" authorId="0" shapeId="0">
      <text>
        <r>
          <rPr>
            <b/>
            <sz val="9"/>
            <color indexed="81"/>
            <rFont val="Tahoma"/>
            <family val="2"/>
          </rPr>
          <t>Paul HP:</t>
        </r>
        <r>
          <rPr>
            <sz val="9"/>
            <color indexed="81"/>
            <rFont val="Tahoma"/>
            <family val="2"/>
          </rPr>
          <t xml:space="preserve">
deux allers dont une erreur de date</t>
        </r>
      </text>
    </comment>
    <comment ref="DI57" authorId="0" shapeId="0">
      <text>
        <r>
          <rPr>
            <b/>
            <sz val="9"/>
            <color indexed="81"/>
            <rFont val="Tahoma"/>
            <family val="2"/>
          </rPr>
          <t>Paul HP:</t>
        </r>
        <r>
          <rPr>
            <sz val="9"/>
            <color indexed="81"/>
            <rFont val="Tahoma"/>
            <family val="2"/>
          </rPr>
          <t xml:space="preserve">
billet retour
</t>
        </r>
      </text>
    </comment>
    <comment ref="E84" authorId="0" shapeId="0">
      <text>
        <r>
          <rPr>
            <b/>
            <sz val="9"/>
            <color indexed="81"/>
            <rFont val="Tahoma"/>
            <family val="2"/>
          </rPr>
          <t>Paul HP:</t>
        </r>
        <r>
          <rPr>
            <sz val="9"/>
            <color indexed="81"/>
            <rFont val="Tahoma"/>
            <family val="2"/>
          </rPr>
          <t xml:space="preserve">
Avion + taxi Jean Louis</t>
        </r>
      </text>
    </comment>
    <comment ref="M176" authorId="0" shapeId="0">
      <text>
        <r>
          <rPr>
            <b/>
            <sz val="9"/>
            <color indexed="81"/>
            <rFont val="Tahoma"/>
            <family val="2"/>
          </rPr>
          <t>Paul HP:</t>
        </r>
        <r>
          <rPr>
            <sz val="9"/>
            <color indexed="81"/>
            <rFont val="Tahoma"/>
            <family val="2"/>
          </rPr>
          <t xml:space="preserve">
biere avec Tuyeb</t>
        </r>
      </text>
    </comment>
    <comment ref="AI176" authorId="0" shapeId="0">
      <text>
        <r>
          <rPr>
            <b/>
            <sz val="9"/>
            <color indexed="81"/>
            <rFont val="Tahoma"/>
            <family val="2"/>
          </rPr>
          <t>Paul HP:</t>
        </r>
        <r>
          <rPr>
            <sz val="9"/>
            <color indexed="81"/>
            <rFont val="Tahoma"/>
            <family val="2"/>
          </rPr>
          <t xml:space="preserve">
W
</t>
        </r>
      </text>
    </comment>
    <comment ref="BP176" authorId="0" shapeId="0">
      <text>
        <r>
          <rPr>
            <b/>
            <sz val="9"/>
            <color indexed="81"/>
            <rFont val="Tahoma"/>
            <family val="2"/>
          </rPr>
          <t>Paul HP:</t>
        </r>
        <r>
          <rPr>
            <sz val="9"/>
            <color indexed="81"/>
            <rFont val="Tahoma"/>
            <family val="2"/>
          </rPr>
          <t xml:space="preserve">
Bieres avec Robert</t>
        </r>
      </text>
    </comment>
    <comment ref="DU176" authorId="0" shapeId="0">
      <text>
        <r>
          <rPr>
            <b/>
            <sz val="9"/>
            <color indexed="81"/>
            <rFont val="Tahoma"/>
            <family val="2"/>
          </rPr>
          <t>Paul HP:</t>
        </r>
        <r>
          <rPr>
            <sz val="9"/>
            <color indexed="81"/>
            <rFont val="Tahoma"/>
            <family val="2"/>
          </rPr>
          <t xml:space="preserve">
Pot José chilien</t>
        </r>
      </text>
    </comment>
    <comment ref="F178" authorId="0" shapeId="0">
      <text>
        <r>
          <rPr>
            <b/>
            <sz val="9"/>
            <color indexed="81"/>
            <rFont val="Tahoma"/>
            <family val="2"/>
          </rPr>
          <t>Paul HP:</t>
        </r>
        <r>
          <rPr>
            <sz val="9"/>
            <color indexed="81"/>
            <rFont val="Tahoma"/>
            <family val="2"/>
          </rPr>
          <t xml:space="preserve">
INTERNET
</t>
        </r>
      </text>
    </comment>
    <comment ref="Q178" authorId="0" shapeId="0">
      <text>
        <r>
          <rPr>
            <b/>
            <sz val="9"/>
            <color indexed="81"/>
            <rFont val="Tahoma"/>
            <family val="2"/>
          </rPr>
          <t>Paul HP:</t>
        </r>
        <r>
          <rPr>
            <sz val="9"/>
            <color indexed="81"/>
            <rFont val="Tahoma"/>
            <family val="2"/>
          </rPr>
          <t xml:space="preserve">
bag zipper</t>
        </r>
      </text>
    </comment>
    <comment ref="AD178" authorId="0" shapeId="0">
      <text>
        <r>
          <rPr>
            <b/>
            <sz val="9"/>
            <color indexed="81"/>
            <rFont val="Tahoma"/>
            <family val="2"/>
          </rPr>
          <t>Paul HP:</t>
        </r>
        <r>
          <rPr>
            <sz val="9"/>
            <color indexed="81"/>
            <rFont val="Tahoma"/>
            <family val="2"/>
          </rPr>
          <t xml:space="preserve">
zipper on red coat</t>
        </r>
      </text>
    </comment>
    <comment ref="AJ178" authorId="0" shapeId="0">
      <text>
        <r>
          <rPr>
            <b/>
            <sz val="9"/>
            <color indexed="81"/>
            <rFont val="Tahoma"/>
            <family val="2"/>
          </rPr>
          <t>Paul HP:</t>
        </r>
        <r>
          <rPr>
            <sz val="9"/>
            <color indexed="81"/>
            <rFont val="Tahoma"/>
            <family val="2"/>
          </rPr>
          <t xml:space="preserve">
telecom</t>
        </r>
      </text>
    </comment>
    <comment ref="AL178" authorId="0" shapeId="0">
      <text>
        <r>
          <rPr>
            <b/>
            <sz val="9"/>
            <color indexed="81"/>
            <rFont val="Tahoma"/>
            <family val="2"/>
          </rPr>
          <t>Paul HP:</t>
        </r>
        <r>
          <rPr>
            <sz val="9"/>
            <color indexed="81"/>
            <rFont val="Tahoma"/>
            <family val="2"/>
          </rPr>
          <t xml:space="preserve">
TELEPHONIE</t>
        </r>
      </text>
    </comment>
    <comment ref="BI178" authorId="0" shapeId="0">
      <text>
        <r>
          <rPr>
            <b/>
            <sz val="9"/>
            <color indexed="81"/>
            <rFont val="Tahoma"/>
            <family val="2"/>
          </rPr>
          <t>Paul HP:</t>
        </r>
        <r>
          <rPr>
            <sz val="9"/>
            <color indexed="81"/>
            <rFont val="Tahoma"/>
            <family val="2"/>
          </rPr>
          <t xml:space="preserve">
POURBOIRE</t>
        </r>
      </text>
    </comment>
    <comment ref="BK178" authorId="0" shapeId="0">
      <text>
        <r>
          <rPr>
            <b/>
            <sz val="9"/>
            <color indexed="81"/>
            <rFont val="Tahoma"/>
            <family val="2"/>
          </rPr>
          <t>Paul HP:</t>
        </r>
        <r>
          <rPr>
            <sz val="9"/>
            <color indexed="81"/>
            <rFont val="Tahoma"/>
            <family val="2"/>
          </rPr>
          <t xml:space="preserve">
detergeant
</t>
        </r>
      </text>
    </comment>
    <comment ref="BL178" authorId="0" shapeId="0">
      <text>
        <r>
          <rPr>
            <b/>
            <sz val="9"/>
            <color indexed="81"/>
            <rFont val="Tahoma"/>
            <family val="2"/>
          </rPr>
          <t>Paul HP:</t>
        </r>
        <r>
          <rPr>
            <sz val="9"/>
            <color indexed="81"/>
            <rFont val="Tahoma"/>
            <family val="2"/>
          </rPr>
          <t xml:space="preserve">
telephonie</t>
        </r>
      </text>
    </comment>
    <comment ref="BP178" authorId="0" shapeId="0">
      <text>
        <r>
          <rPr>
            <b/>
            <sz val="9"/>
            <color indexed="81"/>
            <rFont val="Tahoma"/>
            <family val="2"/>
          </rPr>
          <t>Paul HP:</t>
        </r>
        <r>
          <rPr>
            <sz val="9"/>
            <color indexed="81"/>
            <rFont val="Tahoma"/>
            <family val="2"/>
          </rPr>
          <t xml:space="preserve">
coiffeur</t>
        </r>
      </text>
    </comment>
    <comment ref="BY178" authorId="0" shapeId="0">
      <text>
        <r>
          <rPr>
            <b/>
            <sz val="9"/>
            <color indexed="81"/>
            <rFont val="Tahoma"/>
            <family val="2"/>
          </rPr>
          <t>Paul HP:</t>
        </r>
        <r>
          <rPr>
            <sz val="9"/>
            <color indexed="81"/>
            <rFont val="Tahoma"/>
            <family val="2"/>
          </rPr>
          <t xml:space="preserve">
bourrage
</t>
        </r>
      </text>
    </comment>
    <comment ref="BZ178" authorId="0" shapeId="0">
      <text>
        <r>
          <rPr>
            <b/>
            <sz val="9"/>
            <color indexed="81"/>
            <rFont val="Tahoma"/>
            <family val="2"/>
          </rPr>
          <t>Paul HP:</t>
        </r>
        <r>
          <rPr>
            <sz val="9"/>
            <color indexed="81"/>
            <rFont val="Tahoma"/>
            <family val="2"/>
          </rPr>
          <t xml:space="preserve">
bourrage
</t>
        </r>
      </text>
    </comment>
    <comment ref="CA178" authorId="0" shapeId="0">
      <text>
        <r>
          <rPr>
            <b/>
            <sz val="9"/>
            <color indexed="81"/>
            <rFont val="Tahoma"/>
            <family val="2"/>
          </rPr>
          <t>Paul HP:</t>
        </r>
        <r>
          <rPr>
            <sz val="9"/>
            <color indexed="81"/>
            <rFont val="Tahoma"/>
            <family val="2"/>
          </rPr>
          <t xml:space="preserve">
essence Hoa</t>
        </r>
      </text>
    </comment>
    <comment ref="CB178" authorId="0" shapeId="0">
      <text>
        <r>
          <rPr>
            <b/>
            <sz val="9"/>
            <color indexed="81"/>
            <rFont val="Tahoma"/>
            <family val="2"/>
          </rPr>
          <t>Paul HP:</t>
        </r>
        <r>
          <rPr>
            <sz val="9"/>
            <color indexed="81"/>
            <rFont val="Tahoma"/>
            <family val="2"/>
          </rPr>
          <t xml:space="preserve">
TELEPHONIE +PRISE ELECTRIQUE
</t>
        </r>
      </text>
    </comment>
    <comment ref="CG178" authorId="0" shapeId="0">
      <text>
        <r>
          <rPr>
            <b/>
            <sz val="9"/>
            <color indexed="81"/>
            <rFont val="Tahoma"/>
            <family val="2"/>
          </rPr>
          <t>Paul HP:</t>
        </r>
        <r>
          <rPr>
            <sz val="9"/>
            <color indexed="81"/>
            <rFont val="Tahoma"/>
            <family val="2"/>
          </rPr>
          <t xml:space="preserve">
reparation lunettes</t>
        </r>
      </text>
    </comment>
    <comment ref="BD179" authorId="0" shapeId="0">
      <text>
        <r>
          <rPr>
            <b/>
            <sz val="9"/>
            <color indexed="81"/>
            <rFont val="Tahoma"/>
            <family val="2"/>
          </rPr>
          <t>Paul HP:</t>
        </r>
        <r>
          <rPr>
            <sz val="9"/>
            <color indexed="81"/>
            <rFont val="Tahoma"/>
            <family val="2"/>
          </rPr>
          <t xml:space="preserve">
electricité 1200
</t>
        </r>
      </text>
    </comment>
    <comment ref="BJ179" authorId="0" shapeId="0">
      <text>
        <r>
          <rPr>
            <b/>
            <sz val="9"/>
            <color indexed="81"/>
            <rFont val="Tahoma"/>
            <family val="2"/>
          </rPr>
          <t>Paul HP:</t>
        </r>
        <r>
          <rPr>
            <sz val="9"/>
            <color indexed="81"/>
            <rFont val="Tahoma"/>
            <family val="2"/>
          </rPr>
          <t xml:space="preserve">
electricité 1000
</t>
        </r>
      </text>
    </comment>
    <comment ref="H180" authorId="0" shapeId="0">
      <text>
        <r>
          <rPr>
            <b/>
            <sz val="9"/>
            <color indexed="81"/>
            <rFont val="Tahoma"/>
            <family val="2"/>
          </rPr>
          <t>Paul HP:</t>
        </r>
        <r>
          <rPr>
            <sz val="9"/>
            <color indexed="81"/>
            <rFont val="Tahoma"/>
            <family val="2"/>
          </rPr>
          <t xml:space="preserve">
essence 3,33 l à 30 KD</t>
        </r>
      </text>
    </comment>
    <comment ref="O180" authorId="0" shapeId="0">
      <text>
        <r>
          <rPr>
            <b/>
            <sz val="9"/>
            <color indexed="81"/>
            <rFont val="Tahoma"/>
            <family val="2"/>
          </rPr>
          <t>Paul HP:</t>
        </r>
        <r>
          <rPr>
            <sz val="9"/>
            <color indexed="81"/>
            <rFont val="Tahoma"/>
            <family val="2"/>
          </rPr>
          <t xml:space="preserve">
essence 3,33 l à 30 KD</t>
        </r>
      </text>
    </comment>
    <comment ref="AL180" authorId="0" shapeId="0">
      <text>
        <r>
          <rPr>
            <b/>
            <sz val="9"/>
            <color indexed="81"/>
            <rFont val="Tahoma"/>
            <family val="2"/>
          </rPr>
          <t>Paul HP:</t>
        </r>
        <r>
          <rPr>
            <sz val="9"/>
            <color indexed="81"/>
            <rFont val="Tahoma"/>
            <family val="2"/>
          </rPr>
          <t xml:space="preserve">
ESSENCE 100
</t>
        </r>
      </text>
    </comment>
    <comment ref="BQ180" authorId="0" shapeId="0">
      <text>
        <r>
          <rPr>
            <b/>
            <sz val="9"/>
            <color indexed="81"/>
            <rFont val="Tahoma"/>
            <family val="2"/>
          </rPr>
          <t>Paul HP:</t>
        </r>
        <r>
          <rPr>
            <sz val="9"/>
            <color indexed="81"/>
            <rFont val="Tahoma"/>
            <family val="2"/>
          </rPr>
          <t xml:space="preserve">
essence scoot+50 lavage</t>
        </r>
      </text>
    </comment>
    <comment ref="M183" authorId="0" shapeId="0">
      <text>
        <r>
          <rPr>
            <b/>
            <sz val="9"/>
            <color indexed="81"/>
            <rFont val="Tahoma"/>
            <family val="2"/>
          </rPr>
          <t>Paul HP:</t>
        </r>
        <r>
          <rPr>
            <sz val="9"/>
            <color indexed="81"/>
            <rFont val="Tahoma"/>
            <family val="2"/>
          </rPr>
          <t xml:space="preserve">
biere avec Tuyeb</t>
        </r>
      </text>
    </comment>
    <comment ref="AI183" authorId="0" shapeId="0">
      <text>
        <r>
          <rPr>
            <b/>
            <sz val="9"/>
            <color indexed="81"/>
            <rFont val="Tahoma"/>
            <family val="2"/>
          </rPr>
          <t>Paul HP:</t>
        </r>
        <r>
          <rPr>
            <sz val="9"/>
            <color indexed="81"/>
            <rFont val="Tahoma"/>
            <family val="2"/>
          </rPr>
          <t xml:space="preserve">
W
</t>
        </r>
      </text>
    </comment>
    <comment ref="BP183" authorId="0" shapeId="0">
      <text>
        <r>
          <rPr>
            <b/>
            <sz val="9"/>
            <color indexed="81"/>
            <rFont val="Tahoma"/>
            <family val="2"/>
          </rPr>
          <t>Paul HP:</t>
        </r>
        <r>
          <rPr>
            <sz val="9"/>
            <color indexed="81"/>
            <rFont val="Tahoma"/>
            <family val="2"/>
          </rPr>
          <t xml:space="preserve">
Bieres avec Robert</t>
        </r>
      </text>
    </comment>
    <comment ref="DU183" authorId="0" shapeId="0">
      <text>
        <r>
          <rPr>
            <b/>
            <sz val="9"/>
            <color indexed="81"/>
            <rFont val="Tahoma"/>
            <family val="2"/>
          </rPr>
          <t>Paul HP:</t>
        </r>
        <r>
          <rPr>
            <sz val="9"/>
            <color indexed="81"/>
            <rFont val="Tahoma"/>
            <family val="2"/>
          </rPr>
          <t xml:space="preserve">
Pot José chilien</t>
        </r>
      </text>
    </comment>
    <comment ref="H185" authorId="0" shapeId="0">
      <text>
        <r>
          <rPr>
            <b/>
            <sz val="9"/>
            <color indexed="81"/>
            <rFont val="Tahoma"/>
            <family val="2"/>
          </rPr>
          <t>Paul HP:</t>
        </r>
        <r>
          <rPr>
            <sz val="9"/>
            <color indexed="81"/>
            <rFont val="Tahoma"/>
            <family val="2"/>
          </rPr>
          <t xml:space="preserve">
essence 3,33 l à 30 KD</t>
        </r>
      </text>
    </comment>
    <comment ref="O185" authorId="0" shapeId="0">
      <text>
        <r>
          <rPr>
            <b/>
            <sz val="9"/>
            <color indexed="81"/>
            <rFont val="Tahoma"/>
            <family val="2"/>
          </rPr>
          <t>Paul HP:</t>
        </r>
        <r>
          <rPr>
            <sz val="9"/>
            <color indexed="81"/>
            <rFont val="Tahoma"/>
            <family val="2"/>
          </rPr>
          <t xml:space="preserve">
essence 3,33 l à 30 KD</t>
        </r>
      </text>
    </comment>
    <comment ref="AL185" authorId="0" shapeId="0">
      <text>
        <r>
          <rPr>
            <b/>
            <sz val="9"/>
            <color indexed="81"/>
            <rFont val="Tahoma"/>
            <family val="2"/>
          </rPr>
          <t>Paul HP:</t>
        </r>
        <r>
          <rPr>
            <sz val="9"/>
            <color indexed="81"/>
            <rFont val="Tahoma"/>
            <family val="2"/>
          </rPr>
          <t xml:space="preserve">
ESSENCE 100
</t>
        </r>
      </text>
    </comment>
    <comment ref="BQ185" authorId="0" shapeId="0">
      <text>
        <r>
          <rPr>
            <b/>
            <sz val="9"/>
            <color indexed="81"/>
            <rFont val="Tahoma"/>
            <family val="2"/>
          </rPr>
          <t>Paul HP:</t>
        </r>
        <r>
          <rPr>
            <sz val="9"/>
            <color indexed="81"/>
            <rFont val="Tahoma"/>
            <family val="2"/>
          </rPr>
          <t xml:space="preserve">
essence scoot+50 lavage</t>
        </r>
      </text>
    </comment>
    <comment ref="F186" authorId="0" shapeId="0">
      <text>
        <r>
          <rPr>
            <b/>
            <sz val="9"/>
            <color indexed="81"/>
            <rFont val="Tahoma"/>
            <family val="2"/>
          </rPr>
          <t>Paul HP:</t>
        </r>
        <r>
          <rPr>
            <sz val="9"/>
            <color indexed="81"/>
            <rFont val="Tahoma"/>
            <family val="2"/>
          </rPr>
          <t xml:space="preserve">
INTERNET
</t>
        </r>
      </text>
    </comment>
    <comment ref="Q186" authorId="0" shapeId="0">
      <text>
        <r>
          <rPr>
            <b/>
            <sz val="9"/>
            <color indexed="81"/>
            <rFont val="Tahoma"/>
            <family val="2"/>
          </rPr>
          <t>Paul HP:</t>
        </r>
        <r>
          <rPr>
            <sz val="9"/>
            <color indexed="81"/>
            <rFont val="Tahoma"/>
            <family val="2"/>
          </rPr>
          <t xml:space="preserve">
bag zipper</t>
        </r>
      </text>
    </comment>
    <comment ref="AD186" authorId="0" shapeId="0">
      <text>
        <r>
          <rPr>
            <b/>
            <sz val="9"/>
            <color indexed="81"/>
            <rFont val="Tahoma"/>
            <family val="2"/>
          </rPr>
          <t>Paul HP:</t>
        </r>
        <r>
          <rPr>
            <sz val="9"/>
            <color indexed="81"/>
            <rFont val="Tahoma"/>
            <family val="2"/>
          </rPr>
          <t xml:space="preserve">
zipper on red coat</t>
        </r>
      </text>
    </comment>
    <comment ref="AJ186" authorId="0" shapeId="0">
      <text>
        <r>
          <rPr>
            <b/>
            <sz val="9"/>
            <color indexed="81"/>
            <rFont val="Tahoma"/>
            <family val="2"/>
          </rPr>
          <t>Paul HP:</t>
        </r>
        <r>
          <rPr>
            <sz val="9"/>
            <color indexed="81"/>
            <rFont val="Tahoma"/>
            <family val="2"/>
          </rPr>
          <t xml:space="preserve">
telecom</t>
        </r>
      </text>
    </comment>
    <comment ref="AL186" authorId="0" shapeId="0">
      <text>
        <r>
          <rPr>
            <b/>
            <sz val="9"/>
            <color indexed="81"/>
            <rFont val="Tahoma"/>
            <family val="2"/>
          </rPr>
          <t>Paul HP:</t>
        </r>
        <r>
          <rPr>
            <sz val="9"/>
            <color indexed="81"/>
            <rFont val="Tahoma"/>
            <family val="2"/>
          </rPr>
          <t xml:space="preserve">
TELEPHONIE</t>
        </r>
      </text>
    </comment>
    <comment ref="BI186" authorId="0" shapeId="0">
      <text>
        <r>
          <rPr>
            <b/>
            <sz val="9"/>
            <color indexed="81"/>
            <rFont val="Tahoma"/>
            <family val="2"/>
          </rPr>
          <t>Paul HP:</t>
        </r>
        <r>
          <rPr>
            <sz val="9"/>
            <color indexed="81"/>
            <rFont val="Tahoma"/>
            <family val="2"/>
          </rPr>
          <t xml:space="preserve">
POURBOIRE</t>
        </r>
      </text>
    </comment>
    <comment ref="BK186" authorId="0" shapeId="0">
      <text>
        <r>
          <rPr>
            <b/>
            <sz val="9"/>
            <color indexed="81"/>
            <rFont val="Tahoma"/>
            <family val="2"/>
          </rPr>
          <t>Paul HP:</t>
        </r>
        <r>
          <rPr>
            <sz val="9"/>
            <color indexed="81"/>
            <rFont val="Tahoma"/>
            <family val="2"/>
          </rPr>
          <t xml:space="preserve">
detergeant
</t>
        </r>
      </text>
    </comment>
    <comment ref="BL186" authorId="0" shapeId="0">
      <text>
        <r>
          <rPr>
            <b/>
            <sz val="9"/>
            <color indexed="81"/>
            <rFont val="Tahoma"/>
            <family val="2"/>
          </rPr>
          <t>Paul HP:</t>
        </r>
        <r>
          <rPr>
            <sz val="9"/>
            <color indexed="81"/>
            <rFont val="Tahoma"/>
            <family val="2"/>
          </rPr>
          <t xml:space="preserve">
telephonie</t>
        </r>
      </text>
    </comment>
    <comment ref="BP186" authorId="0" shapeId="0">
      <text>
        <r>
          <rPr>
            <b/>
            <sz val="9"/>
            <color indexed="81"/>
            <rFont val="Tahoma"/>
            <family val="2"/>
          </rPr>
          <t>Paul HP:</t>
        </r>
        <r>
          <rPr>
            <sz val="9"/>
            <color indexed="81"/>
            <rFont val="Tahoma"/>
            <family val="2"/>
          </rPr>
          <t xml:space="preserve">
coiffeur</t>
        </r>
      </text>
    </comment>
    <comment ref="BY186" authorId="0" shapeId="0">
      <text>
        <r>
          <rPr>
            <b/>
            <sz val="9"/>
            <color indexed="81"/>
            <rFont val="Tahoma"/>
            <family val="2"/>
          </rPr>
          <t>Paul HP:</t>
        </r>
        <r>
          <rPr>
            <sz val="9"/>
            <color indexed="81"/>
            <rFont val="Tahoma"/>
            <family val="2"/>
          </rPr>
          <t xml:space="preserve">
bourrage
</t>
        </r>
      </text>
    </comment>
    <comment ref="BZ186" authorId="0" shapeId="0">
      <text>
        <r>
          <rPr>
            <b/>
            <sz val="9"/>
            <color indexed="81"/>
            <rFont val="Tahoma"/>
            <family val="2"/>
          </rPr>
          <t>Paul HP:</t>
        </r>
        <r>
          <rPr>
            <sz val="9"/>
            <color indexed="81"/>
            <rFont val="Tahoma"/>
            <family val="2"/>
          </rPr>
          <t xml:space="preserve">
bourrage
</t>
        </r>
      </text>
    </comment>
    <comment ref="CA186" authorId="0" shapeId="0">
      <text>
        <r>
          <rPr>
            <b/>
            <sz val="9"/>
            <color indexed="81"/>
            <rFont val="Tahoma"/>
            <family val="2"/>
          </rPr>
          <t>Paul HP:</t>
        </r>
        <r>
          <rPr>
            <sz val="9"/>
            <color indexed="81"/>
            <rFont val="Tahoma"/>
            <family val="2"/>
          </rPr>
          <t xml:space="preserve">
essence Hoa</t>
        </r>
      </text>
    </comment>
    <comment ref="CB186" authorId="0" shapeId="0">
      <text>
        <r>
          <rPr>
            <b/>
            <sz val="9"/>
            <color indexed="81"/>
            <rFont val="Tahoma"/>
            <family val="2"/>
          </rPr>
          <t>Paul HP:</t>
        </r>
        <r>
          <rPr>
            <sz val="9"/>
            <color indexed="81"/>
            <rFont val="Tahoma"/>
            <family val="2"/>
          </rPr>
          <t xml:space="preserve">
TELEPHONIE +PRISE ELECTRIQUE
</t>
        </r>
      </text>
    </comment>
    <comment ref="CG186" authorId="0" shapeId="0">
      <text>
        <r>
          <rPr>
            <b/>
            <sz val="9"/>
            <color indexed="81"/>
            <rFont val="Tahoma"/>
            <family val="2"/>
          </rPr>
          <t>Paul HP:</t>
        </r>
        <r>
          <rPr>
            <sz val="9"/>
            <color indexed="81"/>
            <rFont val="Tahoma"/>
            <family val="2"/>
          </rPr>
          <t xml:space="preserve">
reparation lunettes</t>
        </r>
      </text>
    </comment>
    <comment ref="BD187" authorId="0" shapeId="0">
      <text>
        <r>
          <rPr>
            <b/>
            <sz val="9"/>
            <color indexed="81"/>
            <rFont val="Tahoma"/>
            <family val="2"/>
          </rPr>
          <t>Paul HP:</t>
        </r>
        <r>
          <rPr>
            <sz val="9"/>
            <color indexed="81"/>
            <rFont val="Tahoma"/>
            <family val="2"/>
          </rPr>
          <t xml:space="preserve">
electricité 1200
</t>
        </r>
      </text>
    </comment>
    <comment ref="BJ187" authorId="0" shapeId="0">
      <text>
        <r>
          <rPr>
            <b/>
            <sz val="9"/>
            <color indexed="81"/>
            <rFont val="Tahoma"/>
            <family val="2"/>
          </rPr>
          <t>Paul HP:</t>
        </r>
        <r>
          <rPr>
            <sz val="9"/>
            <color indexed="81"/>
            <rFont val="Tahoma"/>
            <family val="2"/>
          </rPr>
          <t xml:space="preserve">
electricité 1000
</t>
        </r>
      </text>
    </comment>
  </commentList>
</comments>
</file>

<file path=xl/comments3.xml><?xml version="1.0" encoding="utf-8"?>
<comments xmlns="http://schemas.openxmlformats.org/spreadsheetml/2006/main">
  <authors>
    <author>Paul HP</author>
  </authors>
  <commentList>
    <comment ref="R11" authorId="0" shapeId="0">
      <text>
        <r>
          <rPr>
            <b/>
            <sz val="9"/>
            <color indexed="81"/>
            <rFont val="Tahoma"/>
            <family val="2"/>
          </rPr>
          <t>Paul HP:</t>
        </r>
        <r>
          <rPr>
            <sz val="9"/>
            <color indexed="81"/>
            <rFont val="Tahoma"/>
            <family val="2"/>
          </rPr>
          <t xml:space="preserve">
</t>
        </r>
      </text>
    </comment>
    <comment ref="N15" authorId="0" shapeId="0">
      <text>
        <r>
          <rPr>
            <b/>
            <sz val="9"/>
            <color indexed="81"/>
            <rFont val="Tahoma"/>
            <family val="2"/>
          </rPr>
          <t>Paul HP:</t>
        </r>
        <r>
          <rPr>
            <sz val="9"/>
            <color indexed="81"/>
            <rFont val="Tahoma"/>
            <family val="2"/>
          </rPr>
          <t xml:space="preserve">
pussy ping pong
</t>
        </r>
      </text>
    </comment>
    <comment ref="R15" authorId="0" shapeId="0">
      <text>
        <r>
          <rPr>
            <b/>
            <sz val="9"/>
            <color indexed="81"/>
            <rFont val="Tahoma"/>
            <family val="2"/>
          </rPr>
          <t>Paul HP:</t>
        </r>
        <r>
          <rPr>
            <sz val="9"/>
            <color indexed="81"/>
            <rFont val="Tahoma"/>
            <family val="2"/>
          </rPr>
          <t xml:space="preserve">
kam
</t>
        </r>
      </text>
    </comment>
    <comment ref="P16" authorId="0" shapeId="0">
      <text>
        <r>
          <rPr>
            <b/>
            <sz val="9"/>
            <color indexed="81"/>
            <rFont val="Tahoma"/>
            <family val="2"/>
          </rPr>
          <t>Paul HP:</t>
        </r>
        <r>
          <rPr>
            <sz val="9"/>
            <color indexed="81"/>
            <rFont val="Tahoma"/>
            <family val="2"/>
          </rPr>
          <t xml:space="preserve">
300 foot massage de Hoa dont 100 de tip
et 400 dePaul body massage dont 200 de tip</t>
        </r>
      </text>
    </comment>
    <comment ref="Q16" authorId="0" shapeId="0">
      <text>
        <r>
          <rPr>
            <b/>
            <sz val="9"/>
            <color indexed="81"/>
            <rFont val="Tahoma"/>
            <family val="2"/>
          </rPr>
          <t>Paul HP:</t>
        </r>
        <r>
          <rPr>
            <sz val="9"/>
            <color indexed="81"/>
            <rFont val="Tahoma"/>
            <family val="2"/>
          </rPr>
          <t xml:space="preserve">
400 dePaul body massage dont 200 de tip</t>
        </r>
      </text>
    </comment>
    <comment ref="R16" authorId="0" shapeId="0">
      <text>
        <r>
          <rPr>
            <b/>
            <sz val="9"/>
            <color indexed="81"/>
            <rFont val="Tahoma"/>
            <family val="2"/>
          </rPr>
          <t>Paul HP:</t>
        </r>
        <r>
          <rPr>
            <sz val="9"/>
            <color indexed="81"/>
            <rFont val="Tahoma"/>
            <family val="2"/>
          </rPr>
          <t xml:space="preserve">
HE
</t>
        </r>
      </text>
    </comment>
    <comment ref="P21" authorId="0" shapeId="0">
      <text>
        <r>
          <rPr>
            <b/>
            <sz val="9"/>
            <color indexed="81"/>
            <rFont val="Tahoma"/>
            <family val="2"/>
          </rPr>
          <t>Paul HP:</t>
        </r>
        <r>
          <rPr>
            <sz val="9"/>
            <color indexed="81"/>
            <rFont val="Tahoma"/>
            <family val="2"/>
          </rPr>
          <t xml:space="preserve">
maiillot de bain</t>
        </r>
      </text>
    </comment>
  </commentList>
</comments>
</file>

<file path=xl/comments4.xml><?xml version="1.0" encoding="utf-8"?>
<comments xmlns="http://schemas.openxmlformats.org/spreadsheetml/2006/main">
  <authors>
    <author>Paul HP</author>
  </authors>
  <commentList>
    <comment ref="M12" authorId="0" shapeId="0">
      <text>
        <r>
          <rPr>
            <b/>
            <sz val="9"/>
            <color indexed="81"/>
            <rFont val="Tahoma"/>
            <family val="2"/>
          </rPr>
          <t>Paul HP:</t>
        </r>
        <r>
          <rPr>
            <sz val="9"/>
            <color indexed="81"/>
            <rFont val="Tahoma"/>
            <family val="2"/>
          </rPr>
          <t xml:space="preserve">
jus coco</t>
        </r>
      </text>
    </comment>
    <comment ref="O12" authorId="0" shapeId="0">
      <text>
        <r>
          <rPr>
            <b/>
            <sz val="9"/>
            <color indexed="81"/>
            <rFont val="Tahoma"/>
            <family val="2"/>
          </rPr>
          <t>Paul HP:</t>
        </r>
        <r>
          <rPr>
            <sz val="9"/>
            <color indexed="81"/>
            <rFont val="Tahoma"/>
            <family val="2"/>
          </rPr>
          <t xml:space="preserve">
jus coco</t>
        </r>
      </text>
    </comment>
    <comment ref="Q12" authorId="0" shapeId="0">
      <text>
        <r>
          <rPr>
            <b/>
            <sz val="9"/>
            <color indexed="81"/>
            <rFont val="Tahoma"/>
            <family val="2"/>
          </rPr>
          <t>Paul HP:</t>
        </r>
        <r>
          <rPr>
            <sz val="9"/>
            <color indexed="81"/>
            <rFont val="Tahoma"/>
            <family val="2"/>
          </rPr>
          <t xml:space="preserve">
1580 coco</t>
        </r>
      </text>
    </comment>
    <comment ref="AO12" authorId="0" shapeId="0">
      <text>
        <r>
          <rPr>
            <b/>
            <sz val="9"/>
            <color indexed="81"/>
            <rFont val="Tahoma"/>
            <family val="2"/>
          </rPr>
          <t>Paul HP:</t>
        </r>
        <r>
          <rPr>
            <sz val="9"/>
            <color indexed="81"/>
            <rFont val="Tahoma"/>
            <family val="2"/>
          </rPr>
          <t xml:space="preserve">
3 Banh Bao</t>
        </r>
      </text>
    </comment>
    <comment ref="BK12" authorId="0" shapeId="0">
      <text>
        <r>
          <rPr>
            <b/>
            <sz val="9"/>
            <color indexed="81"/>
            <rFont val="Tahoma"/>
            <family val="2"/>
          </rPr>
          <t>Paul HP:</t>
        </r>
        <r>
          <rPr>
            <sz val="9"/>
            <color indexed="81"/>
            <rFont val="Tahoma"/>
            <family val="2"/>
          </rPr>
          <t xml:space="preserve">
dont 250 saumon Hoa</t>
        </r>
      </text>
    </comment>
    <comment ref="BW12" authorId="0" shapeId="0">
      <text>
        <r>
          <rPr>
            <b/>
            <sz val="9"/>
            <color indexed="81"/>
            <rFont val="Tahoma"/>
            <family val="2"/>
          </rPr>
          <t>Paul HP:</t>
        </r>
        <r>
          <rPr>
            <sz val="9"/>
            <color indexed="81"/>
            <rFont val="Tahoma"/>
            <family val="2"/>
          </rPr>
          <t xml:space="preserve">
cheese cake 'Les Jours'</t>
        </r>
      </text>
    </comment>
    <comment ref="BY12" authorId="0" shapeId="0">
      <text>
        <r>
          <rPr>
            <b/>
            <sz val="9"/>
            <color indexed="81"/>
            <rFont val="Tahoma"/>
            <family val="2"/>
          </rPr>
          <t>Paul HP:</t>
        </r>
        <r>
          <rPr>
            <sz val="9"/>
            <color indexed="81"/>
            <rFont val="Tahoma"/>
            <family val="2"/>
          </rPr>
          <t xml:space="preserve">
ptit dej
</t>
        </r>
      </text>
    </comment>
    <comment ref="CO12" authorId="0" shapeId="0">
      <text>
        <r>
          <rPr>
            <b/>
            <sz val="9"/>
            <color indexed="81"/>
            <rFont val="Tahoma"/>
            <family val="2"/>
          </rPr>
          <t>Paul HP:</t>
        </r>
        <r>
          <rPr>
            <sz val="9"/>
            <color indexed="81"/>
            <rFont val="Tahoma"/>
            <family val="2"/>
          </rPr>
          <t xml:space="preserve">
ptit dej
</t>
        </r>
      </text>
    </comment>
    <comment ref="G13" authorId="0" shapeId="0">
      <text>
        <r>
          <rPr>
            <b/>
            <sz val="9"/>
            <color indexed="81"/>
            <rFont val="Tahoma"/>
            <family val="2"/>
          </rPr>
          <t>Paul HP:</t>
        </r>
        <r>
          <rPr>
            <sz val="9"/>
            <color indexed="81"/>
            <rFont val="Tahoma"/>
            <family val="2"/>
          </rPr>
          <t xml:space="preserve">
Bun Cha
</t>
        </r>
      </text>
    </comment>
    <comment ref="H13" authorId="0" shapeId="0">
      <text>
        <r>
          <rPr>
            <b/>
            <sz val="9"/>
            <color indexed="81"/>
            <rFont val="Tahoma"/>
            <family val="2"/>
          </rPr>
          <t>Paul HP:</t>
        </r>
        <r>
          <rPr>
            <sz val="9"/>
            <color indexed="81"/>
            <rFont val="Tahoma"/>
            <family val="2"/>
          </rPr>
          <t xml:space="preserve">
Bun Cha
</t>
        </r>
      </text>
    </comment>
    <comment ref="I13" authorId="0" shapeId="0">
      <text>
        <r>
          <rPr>
            <b/>
            <sz val="9"/>
            <color indexed="81"/>
            <rFont val="Tahoma"/>
            <family val="2"/>
          </rPr>
          <t>Paul HP:</t>
        </r>
        <r>
          <rPr>
            <sz val="9"/>
            <color indexed="81"/>
            <rFont val="Tahoma"/>
            <family val="2"/>
          </rPr>
          <t xml:space="preserve">
restaurant tripier duo</t>
        </r>
      </text>
    </comment>
    <comment ref="L13" authorId="0" shapeId="0">
      <text>
        <r>
          <rPr>
            <b/>
            <sz val="9"/>
            <color indexed="81"/>
            <rFont val="Tahoma"/>
            <family val="2"/>
          </rPr>
          <t>Paul HP:</t>
        </r>
        <r>
          <rPr>
            <sz val="9"/>
            <color indexed="81"/>
            <rFont val="Tahoma"/>
            <family val="2"/>
          </rPr>
          <t xml:space="preserve">
sauce lardon frits</t>
        </r>
      </text>
    </comment>
    <comment ref="O13" authorId="0" shapeId="0">
      <text>
        <r>
          <rPr>
            <b/>
            <sz val="9"/>
            <color indexed="81"/>
            <rFont val="Tahoma"/>
            <family val="2"/>
          </rPr>
          <t>Paul HP:</t>
        </r>
        <r>
          <rPr>
            <sz val="9"/>
            <color indexed="81"/>
            <rFont val="Tahoma"/>
            <family val="2"/>
          </rPr>
          <t xml:space="preserve">
110 quids</t>
        </r>
      </text>
    </comment>
    <comment ref="R13" authorId="0" shapeId="0">
      <text>
        <r>
          <rPr>
            <b/>
            <sz val="9"/>
            <color indexed="81"/>
            <rFont val="Tahoma"/>
            <family val="2"/>
          </rPr>
          <t>Paul HP:</t>
        </r>
        <r>
          <rPr>
            <sz val="9"/>
            <color indexed="81"/>
            <rFont val="Tahoma"/>
            <family val="2"/>
          </rPr>
          <t xml:space="preserve">
sandwich</t>
        </r>
      </text>
    </comment>
    <comment ref="S13" authorId="0" shapeId="0">
      <text>
        <r>
          <rPr>
            <b/>
            <sz val="9"/>
            <color indexed="81"/>
            <rFont val="Tahoma"/>
            <family val="2"/>
          </rPr>
          <t>Paul HP:</t>
        </r>
        <r>
          <rPr>
            <sz val="9"/>
            <color indexed="81"/>
            <rFont val="Tahoma"/>
            <family val="2"/>
          </rPr>
          <t xml:space="preserve">
steak tartare marché</t>
        </r>
      </text>
    </comment>
    <comment ref="T13" authorId="0" shapeId="0">
      <text>
        <r>
          <rPr>
            <b/>
            <sz val="9"/>
            <color indexed="81"/>
            <rFont val="Tahoma"/>
            <family val="2"/>
          </rPr>
          <t>Paul HP:</t>
        </r>
        <r>
          <rPr>
            <sz val="9"/>
            <color indexed="81"/>
            <rFont val="Tahoma"/>
            <family val="2"/>
          </rPr>
          <t xml:space="preserve">
sandwich 'tous les jours'</t>
        </r>
      </text>
    </comment>
    <comment ref="AA13" authorId="0" shapeId="0">
      <text>
        <r>
          <rPr>
            <b/>
            <sz val="9"/>
            <color indexed="81"/>
            <rFont val="Tahoma"/>
            <family val="2"/>
          </rPr>
          <t>Paul HP:</t>
        </r>
        <r>
          <rPr>
            <sz val="9"/>
            <color indexed="81"/>
            <rFont val="Tahoma"/>
            <family val="2"/>
          </rPr>
          <t xml:space="preserve">
seafood maison
</t>
        </r>
      </text>
    </comment>
    <comment ref="AB13" authorId="0" shapeId="0">
      <text>
        <r>
          <rPr>
            <b/>
            <sz val="9"/>
            <color indexed="81"/>
            <rFont val="Tahoma"/>
            <family val="2"/>
          </rPr>
          <t>Paul HP:</t>
        </r>
        <r>
          <rPr>
            <sz val="9"/>
            <color indexed="81"/>
            <rFont val="Tahoma"/>
            <family val="2"/>
          </rPr>
          <t xml:space="preserve">
sauce TU</t>
        </r>
      </text>
    </comment>
    <comment ref="AD13" authorId="0" shapeId="0">
      <text>
        <r>
          <rPr>
            <b/>
            <sz val="9"/>
            <color indexed="81"/>
            <rFont val="Tahoma"/>
            <family val="2"/>
          </rPr>
          <t>Paul HP:</t>
        </r>
        <r>
          <rPr>
            <sz val="9"/>
            <color indexed="81"/>
            <rFont val="Tahoma"/>
            <family val="2"/>
          </rPr>
          <t xml:space="preserve">
Bun Ca
</t>
        </r>
      </text>
    </comment>
    <comment ref="AH13" authorId="0" shapeId="0">
      <text>
        <r>
          <rPr>
            <b/>
            <sz val="9"/>
            <color indexed="81"/>
            <rFont val="Tahoma"/>
            <family val="2"/>
          </rPr>
          <t>Paul HP:</t>
        </r>
        <r>
          <rPr>
            <sz val="9"/>
            <color indexed="81"/>
            <rFont val="Tahoma"/>
            <family val="2"/>
          </rPr>
          <t xml:space="preserve">
Bun Ca Hoa</t>
        </r>
      </text>
    </comment>
    <comment ref="AL13" authorId="0" shapeId="0">
      <text>
        <r>
          <rPr>
            <b/>
            <sz val="9"/>
            <color indexed="81"/>
            <rFont val="Tahoma"/>
            <family val="2"/>
          </rPr>
          <t>Paul HP:</t>
        </r>
        <r>
          <rPr>
            <sz val="9"/>
            <color indexed="81"/>
            <rFont val="Tahoma"/>
            <family val="2"/>
          </rPr>
          <t xml:space="preserve">
BUN RIEU BE BE</t>
        </r>
      </text>
    </comment>
    <comment ref="AQ13" authorId="0" shapeId="0">
      <text>
        <r>
          <rPr>
            <b/>
            <sz val="9"/>
            <color indexed="81"/>
            <rFont val="Tahoma"/>
            <family val="2"/>
          </rPr>
          <t>Paul HP:</t>
        </r>
        <r>
          <rPr>
            <sz val="9"/>
            <color indexed="81"/>
            <rFont val="Tahoma"/>
            <family val="2"/>
          </rPr>
          <t xml:space="preserve">
Bia Noi FDM solo</t>
        </r>
      </text>
    </comment>
    <comment ref="AW13" authorId="0" shapeId="0">
      <text>
        <r>
          <rPr>
            <b/>
            <sz val="9"/>
            <color indexed="81"/>
            <rFont val="Tahoma"/>
            <family val="2"/>
          </rPr>
          <t>Paul HP:</t>
        </r>
        <r>
          <rPr>
            <sz val="9"/>
            <color indexed="81"/>
            <rFont val="Tahoma"/>
            <family val="2"/>
          </rPr>
          <t xml:space="preserve">
Bun Ca</t>
        </r>
      </text>
    </comment>
    <comment ref="AX13" authorId="0" shapeId="0">
      <text>
        <r>
          <rPr>
            <b/>
            <sz val="9"/>
            <color indexed="81"/>
            <rFont val="Tahoma"/>
            <family val="2"/>
          </rPr>
          <t>Paul HP:</t>
        </r>
        <r>
          <rPr>
            <sz val="9"/>
            <color indexed="81"/>
            <rFont val="Tahoma"/>
            <family val="2"/>
          </rPr>
          <t xml:space="preserve">
BBQ</t>
        </r>
      </text>
    </comment>
    <comment ref="BF13" authorId="0" shapeId="0">
      <text>
        <r>
          <rPr>
            <b/>
            <sz val="9"/>
            <color indexed="81"/>
            <rFont val="Tahoma"/>
            <family val="2"/>
          </rPr>
          <t>Paul HP:</t>
        </r>
        <r>
          <rPr>
            <sz val="9"/>
            <color indexed="81"/>
            <rFont val="Tahoma"/>
            <family val="2"/>
          </rPr>
          <t xml:space="preserve">
Ga 36</t>
        </r>
      </text>
    </comment>
    <comment ref="BL13" authorId="0" shapeId="0">
      <text>
        <r>
          <rPr>
            <b/>
            <sz val="9"/>
            <color indexed="81"/>
            <rFont val="Tahoma"/>
            <family val="2"/>
          </rPr>
          <t>Paul HP:</t>
        </r>
        <r>
          <rPr>
            <sz val="9"/>
            <color indexed="81"/>
            <rFont val="Tahoma"/>
            <family val="2"/>
          </rPr>
          <t xml:space="preserve">
BBQ solo</t>
        </r>
      </text>
    </comment>
    <comment ref="BN13" authorId="0" shapeId="0">
      <text>
        <r>
          <rPr>
            <b/>
            <sz val="9"/>
            <color indexed="81"/>
            <rFont val="Tahoma"/>
            <family val="2"/>
          </rPr>
          <t>Paul HP:</t>
        </r>
        <r>
          <rPr>
            <sz val="9"/>
            <color indexed="81"/>
            <rFont val="Tahoma"/>
            <family val="2"/>
          </rPr>
          <t xml:space="preserve">
bourrage
</t>
        </r>
      </text>
    </comment>
    <comment ref="BO13" authorId="0" shapeId="0">
      <text>
        <r>
          <rPr>
            <b/>
            <sz val="9"/>
            <color indexed="81"/>
            <rFont val="Tahoma"/>
            <family val="2"/>
          </rPr>
          <t>Paul HP:</t>
        </r>
        <r>
          <rPr>
            <sz val="9"/>
            <color indexed="81"/>
            <rFont val="Tahoma"/>
            <family val="2"/>
          </rPr>
          <t xml:space="preserve">
repas Mr Ha</t>
        </r>
      </text>
    </comment>
    <comment ref="BT13" authorId="0" shapeId="0">
      <text>
        <r>
          <rPr>
            <b/>
            <sz val="9"/>
            <color indexed="81"/>
            <rFont val="Tahoma"/>
            <family val="2"/>
          </rPr>
          <t>Paul HP:</t>
        </r>
        <r>
          <rPr>
            <sz val="9"/>
            <color indexed="81"/>
            <rFont val="Tahoma"/>
            <family val="2"/>
          </rPr>
          <t xml:space="preserve">
restau japonais</t>
        </r>
      </text>
    </comment>
    <comment ref="BV13" authorId="0" shapeId="0">
      <text>
        <r>
          <rPr>
            <b/>
            <sz val="9"/>
            <color indexed="81"/>
            <rFont val="Tahoma"/>
            <family val="2"/>
          </rPr>
          <t>Paul HP:</t>
        </r>
        <r>
          <rPr>
            <sz val="9"/>
            <color indexed="81"/>
            <rFont val="Tahoma"/>
            <family val="2"/>
          </rPr>
          <t xml:space="preserve">
porridge</t>
        </r>
      </text>
    </comment>
    <comment ref="BY13" authorId="0" shapeId="0">
      <text>
        <r>
          <rPr>
            <b/>
            <sz val="9"/>
            <color indexed="81"/>
            <rFont val="Tahoma"/>
            <family val="2"/>
          </rPr>
          <t>Paul HP:</t>
        </r>
        <r>
          <rPr>
            <sz val="9"/>
            <color indexed="81"/>
            <rFont val="Tahoma"/>
            <family val="2"/>
          </rPr>
          <t xml:space="preserve">
Bia Hoi</t>
        </r>
      </text>
    </comment>
    <comment ref="CD13" authorId="0" shapeId="0">
      <text>
        <r>
          <rPr>
            <b/>
            <sz val="9"/>
            <color indexed="81"/>
            <rFont val="Tahoma"/>
            <family val="2"/>
          </rPr>
          <t>Paul HP:</t>
        </r>
        <r>
          <rPr>
            <sz val="9"/>
            <color indexed="81"/>
            <rFont val="Tahoma"/>
            <family val="2"/>
          </rPr>
          <t xml:space="preserve">
invitation famille Hoa
</t>
        </r>
      </text>
    </comment>
    <comment ref="CH13" authorId="0" shapeId="0">
      <text>
        <r>
          <rPr>
            <b/>
            <sz val="9"/>
            <color indexed="81"/>
            <rFont val="Tahoma"/>
            <family val="2"/>
          </rPr>
          <t>Paul HP:</t>
        </r>
        <r>
          <rPr>
            <sz val="9"/>
            <color indexed="81"/>
            <rFont val="Tahoma"/>
            <family val="2"/>
          </rPr>
          <t xml:space="preserve">
Bia Hoi porcelet</t>
        </r>
      </text>
    </comment>
    <comment ref="CJ13" authorId="0" shapeId="0">
      <text>
        <r>
          <rPr>
            <b/>
            <sz val="9"/>
            <color indexed="81"/>
            <rFont val="Tahoma"/>
            <family val="2"/>
          </rPr>
          <t>Paul HP:</t>
        </r>
        <r>
          <rPr>
            <sz val="9"/>
            <color indexed="81"/>
            <rFont val="Tahoma"/>
            <family val="2"/>
          </rPr>
          <t xml:space="preserve">
repas Ga 36 pres de chez Hoa avec frere 2, ses enfants, belle fille et Han</t>
        </r>
      </text>
    </comment>
    <comment ref="CM13" authorId="0" shapeId="0">
      <text>
        <r>
          <rPr>
            <b/>
            <sz val="9"/>
            <color indexed="81"/>
            <rFont val="Tahoma"/>
            <family val="2"/>
          </rPr>
          <t>Paul HP:</t>
        </r>
        <r>
          <rPr>
            <sz val="9"/>
            <color indexed="81"/>
            <rFont val="Tahoma"/>
            <family val="2"/>
          </rPr>
          <t xml:space="preserve">
Tom Yum</t>
        </r>
      </text>
    </comment>
    <comment ref="CN13" authorId="0" shapeId="0">
      <text>
        <r>
          <rPr>
            <b/>
            <sz val="9"/>
            <color indexed="81"/>
            <rFont val="Tahoma"/>
            <family val="2"/>
          </rPr>
          <t>Paul HP:</t>
        </r>
        <r>
          <rPr>
            <sz val="9"/>
            <color indexed="81"/>
            <rFont val="Tahoma"/>
            <family val="2"/>
          </rPr>
          <t xml:space="preserve">
pizza
</t>
        </r>
      </text>
    </comment>
    <comment ref="CO13" authorId="0" shapeId="0">
      <text>
        <r>
          <rPr>
            <b/>
            <sz val="9"/>
            <color indexed="81"/>
            <rFont val="Tahoma"/>
            <family val="2"/>
          </rPr>
          <t>Paul HP:</t>
        </r>
        <r>
          <rPr>
            <sz val="9"/>
            <color indexed="81"/>
            <rFont val="Tahoma"/>
            <family val="2"/>
          </rPr>
          <t xml:space="preserve">
Ga
</t>
        </r>
      </text>
    </comment>
    <comment ref="G14" authorId="0" shapeId="0">
      <text>
        <r>
          <rPr>
            <b/>
            <sz val="9"/>
            <color indexed="81"/>
            <rFont val="Tahoma"/>
            <family val="2"/>
          </rPr>
          <t>Paul HP:</t>
        </r>
        <r>
          <rPr>
            <sz val="9"/>
            <color indexed="81"/>
            <rFont val="Tahoma"/>
            <family val="2"/>
          </rPr>
          <t xml:space="preserve">
FdM duo
</t>
        </r>
      </text>
    </comment>
    <comment ref="H14" authorId="0" shapeId="0">
      <text>
        <r>
          <rPr>
            <b/>
            <sz val="9"/>
            <color indexed="81"/>
            <rFont val="Tahoma"/>
            <family val="2"/>
          </rPr>
          <t>Paul HP:</t>
        </r>
        <r>
          <rPr>
            <sz val="9"/>
            <color indexed="81"/>
            <rFont val="Tahoma"/>
            <family val="2"/>
          </rPr>
          <t xml:space="preserve">
Fried noodles duo
</t>
        </r>
      </text>
    </comment>
    <comment ref="J14" authorId="0" shapeId="0">
      <text>
        <r>
          <rPr>
            <b/>
            <sz val="9"/>
            <color indexed="81"/>
            <rFont val="Tahoma"/>
            <family val="2"/>
          </rPr>
          <t>Paul HP:</t>
        </r>
        <r>
          <rPr>
            <sz val="9"/>
            <color indexed="81"/>
            <rFont val="Tahoma"/>
            <family val="2"/>
          </rPr>
          <t xml:space="preserve">
Sui cao
</t>
        </r>
      </text>
    </comment>
    <comment ref="M14" authorId="0" shapeId="0">
      <text>
        <r>
          <rPr>
            <b/>
            <sz val="9"/>
            <color indexed="81"/>
            <rFont val="Tahoma"/>
            <family val="2"/>
          </rPr>
          <t>Paul HP:</t>
        </r>
        <r>
          <rPr>
            <sz val="9"/>
            <color indexed="81"/>
            <rFont val="Tahoma"/>
            <family val="2"/>
          </rPr>
          <t xml:space="preserve">
Fdm</t>
        </r>
      </text>
    </comment>
    <comment ref="O14" authorId="0" shapeId="0">
      <text>
        <r>
          <rPr>
            <b/>
            <sz val="9"/>
            <color indexed="81"/>
            <rFont val="Tahoma"/>
            <family val="2"/>
          </rPr>
          <t>Paul HP:</t>
        </r>
        <r>
          <rPr>
            <sz val="9"/>
            <color indexed="81"/>
            <rFont val="Tahoma"/>
            <family val="2"/>
          </rPr>
          <t xml:space="preserve">
lard et nems</t>
        </r>
      </text>
    </comment>
    <comment ref="P14" authorId="0" shapeId="0">
      <text>
        <r>
          <rPr>
            <b/>
            <sz val="9"/>
            <color indexed="81"/>
            <rFont val="Tahoma"/>
            <family val="2"/>
          </rPr>
          <t>Paul HP:</t>
        </r>
        <r>
          <rPr>
            <sz val="9"/>
            <color indexed="81"/>
            <rFont val="Tahoma"/>
            <family val="2"/>
          </rPr>
          <t xml:space="preserve">
dry noodles
</t>
        </r>
      </text>
    </comment>
    <comment ref="S14" authorId="0" shapeId="0">
      <text>
        <r>
          <rPr>
            <b/>
            <sz val="9"/>
            <color indexed="81"/>
            <rFont val="Tahoma"/>
            <family val="2"/>
          </rPr>
          <t>Paul HP:</t>
        </r>
        <r>
          <rPr>
            <sz val="9"/>
            <color indexed="81"/>
            <rFont val="Tahoma"/>
            <family val="2"/>
          </rPr>
          <t xml:space="preserve">
dry noodle</t>
        </r>
      </text>
    </comment>
    <comment ref="Z14" authorId="0" shapeId="0">
      <text>
        <r>
          <rPr>
            <b/>
            <sz val="9"/>
            <color indexed="81"/>
            <rFont val="Tahoma"/>
            <family val="2"/>
          </rPr>
          <t>Paul HP:</t>
        </r>
        <r>
          <rPr>
            <sz val="9"/>
            <color indexed="81"/>
            <rFont val="Tahoma"/>
            <family val="2"/>
          </rPr>
          <t xml:space="preserve">
SUI CAO
</t>
        </r>
      </text>
    </comment>
    <comment ref="AA14" authorId="0" shapeId="0">
      <text>
        <r>
          <rPr>
            <b/>
            <sz val="9"/>
            <color indexed="81"/>
            <rFont val="Tahoma"/>
            <family val="2"/>
          </rPr>
          <t>Paul HP:</t>
        </r>
        <r>
          <rPr>
            <sz val="9"/>
            <color indexed="81"/>
            <rFont val="Tahoma"/>
            <family val="2"/>
          </rPr>
          <t xml:space="preserve">
SUI CAO
</t>
        </r>
      </text>
    </comment>
    <comment ref="AG14" authorId="0" shapeId="0">
      <text>
        <r>
          <rPr>
            <b/>
            <sz val="9"/>
            <color indexed="81"/>
            <rFont val="Tahoma"/>
            <family val="2"/>
          </rPr>
          <t>Paul HP:</t>
        </r>
        <r>
          <rPr>
            <sz val="9"/>
            <color indexed="81"/>
            <rFont val="Tahoma"/>
            <family val="2"/>
          </rPr>
          <t xml:space="preserve">
Hot Pot fruits de Mer</t>
        </r>
      </text>
    </comment>
    <comment ref="AI14" authorId="0" shapeId="0">
      <text>
        <r>
          <rPr>
            <b/>
            <sz val="9"/>
            <color indexed="81"/>
            <rFont val="Tahoma"/>
            <family val="2"/>
          </rPr>
          <t>Paul HP:</t>
        </r>
        <r>
          <rPr>
            <sz val="9"/>
            <color indexed="81"/>
            <rFont val="Tahoma"/>
            <family val="2"/>
          </rPr>
          <t xml:space="preserve">
2 Ban Mi</t>
        </r>
      </text>
    </comment>
    <comment ref="AK14" authorId="0" shapeId="0">
      <text>
        <r>
          <rPr>
            <b/>
            <sz val="9"/>
            <color indexed="81"/>
            <rFont val="Tahoma"/>
            <family val="2"/>
          </rPr>
          <t>Paul HP:</t>
        </r>
        <r>
          <rPr>
            <sz val="9"/>
            <color indexed="81"/>
            <rFont val="Tahoma"/>
            <family val="2"/>
          </rPr>
          <t xml:space="preserve">
Sui Cao</t>
        </r>
      </text>
    </comment>
    <comment ref="AL14" authorId="0" shapeId="0">
      <text>
        <r>
          <rPr>
            <b/>
            <sz val="9"/>
            <color indexed="81"/>
            <rFont val="Tahoma"/>
            <family val="2"/>
          </rPr>
          <t>Paul HP:</t>
        </r>
        <r>
          <rPr>
            <sz val="9"/>
            <color indexed="81"/>
            <rFont val="Tahoma"/>
            <family val="2"/>
          </rPr>
          <t xml:space="preserve">
FDM</t>
        </r>
      </text>
    </comment>
    <comment ref="AM14" authorId="0" shapeId="0">
      <text>
        <r>
          <rPr>
            <b/>
            <sz val="9"/>
            <color indexed="81"/>
            <rFont val="Tahoma"/>
            <family val="2"/>
          </rPr>
          <t>Paul HP:</t>
        </r>
        <r>
          <rPr>
            <sz val="9"/>
            <color indexed="81"/>
            <rFont val="Tahoma"/>
            <family val="2"/>
          </rPr>
          <t xml:space="preserve">
Bun Ca street
</t>
        </r>
      </text>
    </comment>
    <comment ref="AP14" authorId="0" shapeId="0">
      <text>
        <r>
          <rPr>
            <b/>
            <sz val="9"/>
            <color indexed="81"/>
            <rFont val="Tahoma"/>
            <family val="2"/>
          </rPr>
          <t>Paul HP:</t>
        </r>
        <r>
          <rPr>
            <sz val="9"/>
            <color indexed="81"/>
            <rFont val="Tahoma"/>
            <family val="2"/>
          </rPr>
          <t xml:space="preserve">
ribs</t>
        </r>
      </text>
    </comment>
    <comment ref="AQ14" authorId="0" shapeId="0">
      <text>
        <r>
          <rPr>
            <b/>
            <sz val="9"/>
            <color indexed="81"/>
            <rFont val="Tahoma"/>
            <family val="2"/>
          </rPr>
          <t>Paul HP:</t>
        </r>
        <r>
          <rPr>
            <sz val="9"/>
            <color indexed="81"/>
            <rFont val="Tahoma"/>
            <family val="2"/>
          </rPr>
          <t xml:space="preserve">
canard</t>
        </r>
      </text>
    </comment>
    <comment ref="AR14" authorId="0" shapeId="0">
      <text>
        <r>
          <rPr>
            <b/>
            <sz val="9"/>
            <color indexed="81"/>
            <rFont val="Tahoma"/>
            <family val="2"/>
          </rPr>
          <t>Paul HP:</t>
        </r>
        <r>
          <rPr>
            <sz val="9"/>
            <color indexed="81"/>
            <rFont val="Tahoma"/>
            <family val="2"/>
          </rPr>
          <t xml:space="preserve">
Sui Cao</t>
        </r>
      </text>
    </comment>
    <comment ref="AT14" authorId="0" shapeId="0">
      <text>
        <r>
          <rPr>
            <b/>
            <sz val="9"/>
            <color indexed="81"/>
            <rFont val="Tahoma"/>
            <family val="2"/>
          </rPr>
          <t>Paul HP:</t>
        </r>
        <r>
          <rPr>
            <sz val="9"/>
            <color indexed="81"/>
            <rFont val="Tahoma"/>
            <family val="2"/>
          </rPr>
          <t xml:space="preserve">
Sui Cao</t>
        </r>
      </text>
    </comment>
    <comment ref="AV14" authorId="0" shapeId="0">
      <text>
        <r>
          <rPr>
            <b/>
            <sz val="9"/>
            <color indexed="81"/>
            <rFont val="Tahoma"/>
            <family val="2"/>
          </rPr>
          <t>Paul HP:</t>
        </r>
        <r>
          <rPr>
            <sz val="9"/>
            <color indexed="81"/>
            <rFont val="Tahoma"/>
            <family val="2"/>
          </rPr>
          <t xml:space="preserve">
Sui Cao</t>
        </r>
      </text>
    </comment>
    <comment ref="BI14" authorId="0" shapeId="0">
      <text>
        <r>
          <rPr>
            <b/>
            <sz val="9"/>
            <color indexed="81"/>
            <rFont val="Tahoma"/>
            <family val="2"/>
          </rPr>
          <t>Paul HP:</t>
        </r>
        <r>
          <rPr>
            <sz val="9"/>
            <color indexed="81"/>
            <rFont val="Tahoma"/>
            <family val="2"/>
          </rPr>
          <t xml:space="preserve">
DRY NOODLES</t>
        </r>
      </text>
    </comment>
    <comment ref="BN14" authorId="0" shapeId="0">
      <text>
        <r>
          <rPr>
            <b/>
            <sz val="9"/>
            <color indexed="81"/>
            <rFont val="Tahoma"/>
            <family val="2"/>
          </rPr>
          <t>Paul HP:</t>
        </r>
        <r>
          <rPr>
            <sz val="9"/>
            <color indexed="81"/>
            <rFont val="Tahoma"/>
            <family val="2"/>
          </rPr>
          <t xml:space="preserve">
bourrage
</t>
        </r>
      </text>
    </comment>
    <comment ref="BP14" authorId="0" shapeId="0">
      <text>
        <r>
          <rPr>
            <b/>
            <sz val="9"/>
            <color indexed="81"/>
            <rFont val="Tahoma"/>
            <family val="2"/>
          </rPr>
          <t>Paul HP:</t>
        </r>
        <r>
          <rPr>
            <sz val="9"/>
            <color indexed="81"/>
            <rFont val="Tahoma"/>
            <family val="2"/>
          </rPr>
          <t xml:space="preserve">
Bun Ca
</t>
        </r>
      </text>
    </comment>
    <comment ref="BR14" authorId="0" shapeId="0">
      <text>
        <r>
          <rPr>
            <b/>
            <sz val="9"/>
            <color indexed="81"/>
            <rFont val="Tahoma"/>
            <family val="2"/>
          </rPr>
          <t>Paul HP:</t>
        </r>
        <r>
          <rPr>
            <sz val="9"/>
            <color indexed="81"/>
            <rFont val="Tahoma"/>
            <family val="2"/>
          </rPr>
          <t xml:space="preserve">
kebab</t>
        </r>
      </text>
    </comment>
    <comment ref="BU14" authorId="0" shapeId="0">
      <text>
        <r>
          <rPr>
            <b/>
            <sz val="9"/>
            <color indexed="81"/>
            <rFont val="Tahoma"/>
            <family val="2"/>
          </rPr>
          <t>Paul HP:</t>
        </r>
        <r>
          <rPr>
            <sz val="9"/>
            <color indexed="81"/>
            <rFont val="Tahoma"/>
            <family val="2"/>
          </rPr>
          <t xml:space="preserve">
porridge</t>
        </r>
      </text>
    </comment>
    <comment ref="BV14" authorId="0" shapeId="0">
      <text>
        <r>
          <rPr>
            <b/>
            <sz val="9"/>
            <color indexed="81"/>
            <rFont val="Tahoma"/>
            <family val="2"/>
          </rPr>
          <t>Paul HP:</t>
        </r>
        <r>
          <rPr>
            <sz val="9"/>
            <color indexed="81"/>
            <rFont val="Tahoma"/>
            <family val="2"/>
          </rPr>
          <t xml:space="preserve">
2 Banh Mi</t>
        </r>
      </text>
    </comment>
    <comment ref="BX14" authorId="0" shapeId="0">
      <text>
        <r>
          <rPr>
            <b/>
            <sz val="9"/>
            <color indexed="81"/>
            <rFont val="Tahoma"/>
            <family val="2"/>
          </rPr>
          <t>Paul HP:</t>
        </r>
        <r>
          <rPr>
            <sz val="9"/>
            <color indexed="81"/>
            <rFont val="Tahoma"/>
            <family val="2"/>
          </rPr>
          <t xml:space="preserve">
Bun Ca
</t>
        </r>
      </text>
    </comment>
    <comment ref="BY14" authorId="0" shapeId="0">
      <text>
        <r>
          <rPr>
            <b/>
            <sz val="9"/>
            <color indexed="81"/>
            <rFont val="Tahoma"/>
            <family val="2"/>
          </rPr>
          <t>Paul HP:</t>
        </r>
        <r>
          <rPr>
            <sz val="9"/>
            <color indexed="81"/>
            <rFont val="Tahoma"/>
            <family val="2"/>
          </rPr>
          <t xml:space="preserve">
poulet riz</t>
        </r>
      </text>
    </comment>
    <comment ref="BZ14" authorId="0" shapeId="0">
      <text>
        <r>
          <rPr>
            <b/>
            <sz val="9"/>
            <color indexed="81"/>
            <rFont val="Tahoma"/>
            <family val="2"/>
          </rPr>
          <t>Paul HP:</t>
        </r>
        <r>
          <rPr>
            <sz val="9"/>
            <color indexed="81"/>
            <rFont val="Tahoma"/>
            <family val="2"/>
          </rPr>
          <t xml:space="preserve">
porridge pres de la cathedrale
</t>
        </r>
      </text>
    </comment>
    <comment ref="CA14" authorId="0" shapeId="0">
      <text>
        <r>
          <rPr>
            <b/>
            <sz val="9"/>
            <color indexed="81"/>
            <rFont val="Tahoma"/>
            <family val="2"/>
          </rPr>
          <t>Paul HP:</t>
        </r>
        <r>
          <rPr>
            <sz val="9"/>
            <color indexed="81"/>
            <rFont val="Tahoma"/>
            <family val="2"/>
          </rPr>
          <t xml:space="preserve">
Bun Ca
</t>
        </r>
      </text>
    </comment>
    <comment ref="CD14" authorId="0" shapeId="0">
      <text>
        <r>
          <rPr>
            <b/>
            <sz val="9"/>
            <color indexed="81"/>
            <rFont val="Tahoma"/>
            <family val="2"/>
          </rPr>
          <t>Paul HP:</t>
        </r>
        <r>
          <rPr>
            <sz val="9"/>
            <color indexed="81"/>
            <rFont val="Tahoma"/>
            <family val="2"/>
          </rPr>
          <t xml:space="preserve">
Hot pot
</t>
        </r>
      </text>
    </comment>
    <comment ref="CE14" authorId="0" shapeId="0">
      <text>
        <r>
          <rPr>
            <b/>
            <sz val="9"/>
            <color indexed="81"/>
            <rFont val="Tahoma"/>
            <family val="2"/>
          </rPr>
          <t>Paul HP:</t>
        </r>
        <r>
          <rPr>
            <sz val="9"/>
            <color indexed="81"/>
            <rFont val="Tahoma"/>
            <family val="2"/>
          </rPr>
          <t xml:space="preserve">
dry noodle</t>
        </r>
      </text>
    </comment>
    <comment ref="CF14" authorId="0" shapeId="0">
      <text>
        <r>
          <rPr>
            <b/>
            <sz val="9"/>
            <color indexed="81"/>
            <rFont val="Tahoma"/>
            <family val="2"/>
          </rPr>
          <t>Paul HP:</t>
        </r>
        <r>
          <rPr>
            <sz val="9"/>
            <color indexed="81"/>
            <rFont val="Tahoma"/>
            <family val="2"/>
          </rPr>
          <t xml:space="preserve">
hot pot thai
</t>
        </r>
      </text>
    </comment>
    <comment ref="CG14" authorId="0" shapeId="0">
      <text>
        <r>
          <rPr>
            <b/>
            <sz val="9"/>
            <color indexed="81"/>
            <rFont val="Tahoma"/>
            <family val="2"/>
          </rPr>
          <t>Paul HP:</t>
        </r>
        <r>
          <rPr>
            <sz val="9"/>
            <color indexed="81"/>
            <rFont val="Tahoma"/>
            <family val="2"/>
          </rPr>
          <t xml:space="preserve">
sui cao
</t>
        </r>
      </text>
    </comment>
    <comment ref="CJ14" authorId="0" shapeId="0">
      <text>
        <r>
          <rPr>
            <b/>
            <sz val="9"/>
            <color indexed="81"/>
            <rFont val="Tahoma"/>
            <family val="2"/>
          </rPr>
          <t>Paul HP:</t>
        </r>
        <r>
          <rPr>
            <sz val="9"/>
            <color indexed="81"/>
            <rFont val="Tahoma"/>
            <family val="2"/>
          </rPr>
          <t xml:space="preserve">
Bun Ca</t>
        </r>
      </text>
    </comment>
    <comment ref="CN14" authorId="0" shapeId="0">
      <text>
        <r>
          <rPr>
            <b/>
            <sz val="9"/>
            <color indexed="81"/>
            <rFont val="Tahoma"/>
            <family val="2"/>
          </rPr>
          <t>Paul HP:</t>
        </r>
        <r>
          <rPr>
            <sz val="9"/>
            <color indexed="81"/>
            <rFont val="Tahoma"/>
            <family val="2"/>
          </rPr>
          <t xml:space="preserve">
fdm
</t>
        </r>
      </text>
    </comment>
    <comment ref="CO14" authorId="0" shapeId="0">
      <text>
        <r>
          <rPr>
            <b/>
            <sz val="9"/>
            <color indexed="81"/>
            <rFont val="Tahoma"/>
            <family val="2"/>
          </rPr>
          <t>Paul HP:</t>
        </r>
        <r>
          <rPr>
            <sz val="9"/>
            <color indexed="81"/>
            <rFont val="Tahoma"/>
            <family val="2"/>
          </rPr>
          <t xml:space="preserve">
sandwiches pour la route</t>
        </r>
      </text>
    </comment>
    <comment ref="BU15" authorId="0" shapeId="0">
      <text>
        <r>
          <rPr>
            <b/>
            <sz val="9"/>
            <color indexed="81"/>
            <rFont val="Tahoma"/>
            <family val="2"/>
          </rPr>
          <t>Paul HP:</t>
        </r>
        <r>
          <rPr>
            <sz val="9"/>
            <color indexed="81"/>
            <rFont val="Tahoma"/>
            <family val="2"/>
          </rPr>
          <t xml:space="preserve">
jus SPA
</t>
        </r>
      </text>
    </comment>
    <comment ref="BZ15" authorId="0" shapeId="0">
      <text>
        <r>
          <rPr>
            <b/>
            <sz val="9"/>
            <color indexed="81"/>
            <rFont val="Tahoma"/>
            <family val="2"/>
          </rPr>
          <t>Paul HP:</t>
        </r>
        <r>
          <rPr>
            <sz val="9"/>
            <color indexed="81"/>
            <rFont val="Tahoma"/>
            <family val="2"/>
          </rPr>
          <t xml:space="preserve">
yaourt fruit de la passion</t>
        </r>
      </text>
    </comment>
    <comment ref="M16" authorId="0" shapeId="0">
      <text>
        <r>
          <rPr>
            <b/>
            <sz val="9"/>
            <color indexed="81"/>
            <rFont val="Tahoma"/>
            <family val="2"/>
          </rPr>
          <t>Paul HP:</t>
        </r>
        <r>
          <rPr>
            <sz val="9"/>
            <color indexed="81"/>
            <rFont val="Tahoma"/>
            <family val="2"/>
          </rPr>
          <t xml:space="preserve">
biere avec Tuyeb</t>
        </r>
      </text>
    </comment>
    <comment ref="AI16" authorId="0" shapeId="0">
      <text>
        <r>
          <rPr>
            <b/>
            <sz val="9"/>
            <color indexed="81"/>
            <rFont val="Tahoma"/>
            <family val="2"/>
          </rPr>
          <t>Paul HP:</t>
        </r>
        <r>
          <rPr>
            <sz val="9"/>
            <color indexed="81"/>
            <rFont val="Tahoma"/>
            <family val="2"/>
          </rPr>
          <t xml:space="preserve">
W
</t>
        </r>
      </text>
    </comment>
    <comment ref="BP16" authorId="0" shapeId="0">
      <text>
        <r>
          <rPr>
            <b/>
            <sz val="9"/>
            <color indexed="81"/>
            <rFont val="Tahoma"/>
            <family val="2"/>
          </rPr>
          <t>Paul HP:</t>
        </r>
        <r>
          <rPr>
            <sz val="9"/>
            <color indexed="81"/>
            <rFont val="Tahoma"/>
            <family val="2"/>
          </rPr>
          <t xml:space="preserve">
Bieres avec Robert</t>
        </r>
      </text>
    </comment>
    <comment ref="CH16" authorId="0" shapeId="0">
      <text>
        <r>
          <rPr>
            <b/>
            <sz val="9"/>
            <color indexed="81"/>
            <rFont val="Tahoma"/>
            <family val="2"/>
          </rPr>
          <t>Paul HP:</t>
        </r>
        <r>
          <rPr>
            <sz val="9"/>
            <color indexed="81"/>
            <rFont val="Tahoma"/>
            <family val="2"/>
          </rPr>
          <t xml:space="preserve">
Pot José chilien</t>
        </r>
      </text>
    </comment>
    <comment ref="H17" authorId="0" shapeId="0">
      <text>
        <r>
          <rPr>
            <b/>
            <sz val="9"/>
            <color indexed="81"/>
            <rFont val="Tahoma"/>
            <family val="2"/>
          </rPr>
          <t>Paul HP:</t>
        </r>
        <r>
          <rPr>
            <sz val="9"/>
            <color indexed="81"/>
            <rFont val="Tahoma"/>
            <family val="2"/>
          </rPr>
          <t xml:space="preserve">
essence 3,33 l à 30 KD</t>
        </r>
      </text>
    </comment>
    <comment ref="O17" authorId="0" shapeId="0">
      <text>
        <r>
          <rPr>
            <b/>
            <sz val="9"/>
            <color indexed="81"/>
            <rFont val="Tahoma"/>
            <family val="2"/>
          </rPr>
          <t>Paul HP:</t>
        </r>
        <r>
          <rPr>
            <sz val="9"/>
            <color indexed="81"/>
            <rFont val="Tahoma"/>
            <family val="2"/>
          </rPr>
          <t xml:space="preserve">
essence 3,33 l à 30 KD</t>
        </r>
      </text>
    </comment>
    <comment ref="AL17" authorId="0" shapeId="0">
      <text>
        <r>
          <rPr>
            <b/>
            <sz val="9"/>
            <color indexed="81"/>
            <rFont val="Tahoma"/>
            <family val="2"/>
          </rPr>
          <t>Paul HP:</t>
        </r>
        <r>
          <rPr>
            <sz val="9"/>
            <color indexed="81"/>
            <rFont val="Tahoma"/>
            <family val="2"/>
          </rPr>
          <t xml:space="preserve">
ESSENCE 100
</t>
        </r>
      </text>
    </comment>
    <comment ref="BQ17" authorId="0" shapeId="0">
      <text>
        <r>
          <rPr>
            <b/>
            <sz val="9"/>
            <color indexed="81"/>
            <rFont val="Tahoma"/>
            <family val="2"/>
          </rPr>
          <t>Paul HP:</t>
        </r>
        <r>
          <rPr>
            <sz val="9"/>
            <color indexed="81"/>
            <rFont val="Tahoma"/>
            <family val="2"/>
          </rPr>
          <t xml:space="preserve">
essence scoot+50 lavage</t>
        </r>
      </text>
    </comment>
    <comment ref="F18" authorId="0" shapeId="0">
      <text>
        <r>
          <rPr>
            <b/>
            <sz val="9"/>
            <color indexed="81"/>
            <rFont val="Tahoma"/>
            <family val="2"/>
          </rPr>
          <t>Paul HP:</t>
        </r>
        <r>
          <rPr>
            <sz val="9"/>
            <color indexed="81"/>
            <rFont val="Tahoma"/>
            <family val="2"/>
          </rPr>
          <t xml:space="preserve">
INTERNET
</t>
        </r>
      </text>
    </comment>
    <comment ref="Q18" authorId="0" shapeId="0">
      <text>
        <r>
          <rPr>
            <b/>
            <sz val="9"/>
            <color indexed="81"/>
            <rFont val="Tahoma"/>
            <family val="2"/>
          </rPr>
          <t>Paul HP:</t>
        </r>
        <r>
          <rPr>
            <sz val="9"/>
            <color indexed="81"/>
            <rFont val="Tahoma"/>
            <family val="2"/>
          </rPr>
          <t xml:space="preserve">
bag zipper</t>
        </r>
      </text>
    </comment>
    <comment ref="AD18" authorId="0" shapeId="0">
      <text>
        <r>
          <rPr>
            <b/>
            <sz val="9"/>
            <color indexed="81"/>
            <rFont val="Tahoma"/>
            <family val="2"/>
          </rPr>
          <t>Paul HP:</t>
        </r>
        <r>
          <rPr>
            <sz val="9"/>
            <color indexed="81"/>
            <rFont val="Tahoma"/>
            <family val="2"/>
          </rPr>
          <t xml:space="preserve">
zipper on red coat</t>
        </r>
      </text>
    </comment>
    <comment ref="AJ18" authorId="0" shapeId="0">
      <text>
        <r>
          <rPr>
            <b/>
            <sz val="9"/>
            <color indexed="81"/>
            <rFont val="Tahoma"/>
            <family val="2"/>
          </rPr>
          <t>Paul HP:</t>
        </r>
        <r>
          <rPr>
            <sz val="9"/>
            <color indexed="81"/>
            <rFont val="Tahoma"/>
            <family val="2"/>
          </rPr>
          <t xml:space="preserve">
telecom</t>
        </r>
      </text>
    </comment>
    <comment ref="AL18" authorId="0" shapeId="0">
      <text>
        <r>
          <rPr>
            <b/>
            <sz val="9"/>
            <color indexed="81"/>
            <rFont val="Tahoma"/>
            <family val="2"/>
          </rPr>
          <t>Paul HP:</t>
        </r>
        <r>
          <rPr>
            <sz val="9"/>
            <color indexed="81"/>
            <rFont val="Tahoma"/>
            <family val="2"/>
          </rPr>
          <t xml:space="preserve">
TELEPHONIE</t>
        </r>
      </text>
    </comment>
    <comment ref="BI18" authorId="0" shapeId="0">
      <text>
        <r>
          <rPr>
            <b/>
            <sz val="9"/>
            <color indexed="81"/>
            <rFont val="Tahoma"/>
            <family val="2"/>
          </rPr>
          <t>Paul HP:</t>
        </r>
        <r>
          <rPr>
            <sz val="9"/>
            <color indexed="81"/>
            <rFont val="Tahoma"/>
            <family val="2"/>
          </rPr>
          <t xml:space="preserve">
POURBOIRE</t>
        </r>
      </text>
    </comment>
    <comment ref="BK18" authorId="0" shapeId="0">
      <text>
        <r>
          <rPr>
            <b/>
            <sz val="9"/>
            <color indexed="81"/>
            <rFont val="Tahoma"/>
            <family val="2"/>
          </rPr>
          <t>Paul HP:</t>
        </r>
        <r>
          <rPr>
            <sz val="9"/>
            <color indexed="81"/>
            <rFont val="Tahoma"/>
            <family val="2"/>
          </rPr>
          <t xml:space="preserve">
detergeant
</t>
        </r>
      </text>
    </comment>
    <comment ref="BL18" authorId="0" shapeId="0">
      <text>
        <r>
          <rPr>
            <b/>
            <sz val="9"/>
            <color indexed="81"/>
            <rFont val="Tahoma"/>
            <family val="2"/>
          </rPr>
          <t>Paul HP:</t>
        </r>
        <r>
          <rPr>
            <sz val="9"/>
            <color indexed="81"/>
            <rFont val="Tahoma"/>
            <family val="2"/>
          </rPr>
          <t xml:space="preserve">
telephonie</t>
        </r>
      </text>
    </comment>
    <comment ref="BP18" authorId="0" shapeId="0">
      <text>
        <r>
          <rPr>
            <b/>
            <sz val="9"/>
            <color indexed="81"/>
            <rFont val="Tahoma"/>
            <family val="2"/>
          </rPr>
          <t>Paul HP:</t>
        </r>
        <r>
          <rPr>
            <sz val="9"/>
            <color indexed="81"/>
            <rFont val="Tahoma"/>
            <family val="2"/>
          </rPr>
          <t xml:space="preserve">
coiffeur</t>
        </r>
      </text>
    </comment>
    <comment ref="BY18" authorId="0" shapeId="0">
      <text>
        <r>
          <rPr>
            <b/>
            <sz val="9"/>
            <color indexed="81"/>
            <rFont val="Tahoma"/>
            <family val="2"/>
          </rPr>
          <t>Paul HP:</t>
        </r>
        <r>
          <rPr>
            <sz val="9"/>
            <color indexed="81"/>
            <rFont val="Tahoma"/>
            <family val="2"/>
          </rPr>
          <t xml:space="preserve">
bourrage
</t>
        </r>
      </text>
    </comment>
    <comment ref="BZ18" authorId="0" shapeId="0">
      <text>
        <r>
          <rPr>
            <b/>
            <sz val="9"/>
            <color indexed="81"/>
            <rFont val="Tahoma"/>
            <family val="2"/>
          </rPr>
          <t>Paul HP:</t>
        </r>
        <r>
          <rPr>
            <sz val="9"/>
            <color indexed="81"/>
            <rFont val="Tahoma"/>
            <family val="2"/>
          </rPr>
          <t xml:space="preserve">
bourrage
</t>
        </r>
      </text>
    </comment>
    <comment ref="CA18" authorId="0" shapeId="0">
      <text>
        <r>
          <rPr>
            <b/>
            <sz val="9"/>
            <color indexed="81"/>
            <rFont val="Tahoma"/>
            <family val="2"/>
          </rPr>
          <t>Paul HP:</t>
        </r>
        <r>
          <rPr>
            <sz val="9"/>
            <color indexed="81"/>
            <rFont val="Tahoma"/>
            <family val="2"/>
          </rPr>
          <t xml:space="preserve">
essence Hoa</t>
        </r>
      </text>
    </comment>
    <comment ref="CB18" authorId="0" shapeId="0">
      <text>
        <r>
          <rPr>
            <b/>
            <sz val="9"/>
            <color indexed="81"/>
            <rFont val="Tahoma"/>
            <family val="2"/>
          </rPr>
          <t>Paul HP:</t>
        </r>
        <r>
          <rPr>
            <sz val="9"/>
            <color indexed="81"/>
            <rFont val="Tahoma"/>
            <family val="2"/>
          </rPr>
          <t xml:space="preserve">
TELEPHONIE +PRISE ELECTRIQUE
</t>
        </r>
      </text>
    </comment>
    <comment ref="CG18" authorId="0" shapeId="0">
      <text>
        <r>
          <rPr>
            <b/>
            <sz val="9"/>
            <color indexed="81"/>
            <rFont val="Tahoma"/>
            <family val="2"/>
          </rPr>
          <t>Paul HP:</t>
        </r>
        <r>
          <rPr>
            <sz val="9"/>
            <color indexed="81"/>
            <rFont val="Tahoma"/>
            <family val="2"/>
          </rPr>
          <t xml:space="preserve">
reparation lunettes</t>
        </r>
      </text>
    </comment>
    <comment ref="CJ18" authorId="0" shapeId="0">
      <text>
        <r>
          <rPr>
            <b/>
            <sz val="9"/>
            <color indexed="81"/>
            <rFont val="Tahoma"/>
            <family val="2"/>
          </rPr>
          <t>Paul HP:</t>
        </r>
        <r>
          <rPr>
            <sz val="9"/>
            <color indexed="81"/>
            <rFont val="Tahoma"/>
            <family val="2"/>
          </rPr>
          <t xml:space="preserve">
essence
3,3 litres</t>
        </r>
      </text>
    </comment>
    <comment ref="CM18" authorId="0" shapeId="0">
      <text>
        <r>
          <rPr>
            <b/>
            <sz val="9"/>
            <color indexed="81"/>
            <rFont val="Tahoma"/>
            <family val="2"/>
          </rPr>
          <t>Paul HP:</t>
        </r>
        <r>
          <rPr>
            <sz val="9"/>
            <color indexed="81"/>
            <rFont val="Tahoma"/>
            <family val="2"/>
          </rPr>
          <t xml:space="preserve">
bourrage
</t>
        </r>
      </text>
    </comment>
    <comment ref="CN18" authorId="0" shapeId="0">
      <text>
        <r>
          <rPr>
            <b/>
            <sz val="9"/>
            <color indexed="81"/>
            <rFont val="Tahoma"/>
            <family val="2"/>
          </rPr>
          <t>Paul HP:</t>
        </r>
        <r>
          <rPr>
            <sz val="9"/>
            <color indexed="81"/>
            <rFont val="Tahoma"/>
            <family val="2"/>
          </rPr>
          <t xml:space="preserve">
60 aspirines a 500</t>
        </r>
      </text>
    </comment>
    <comment ref="BD19" authorId="0" shapeId="0">
      <text>
        <r>
          <rPr>
            <b/>
            <sz val="9"/>
            <color indexed="81"/>
            <rFont val="Tahoma"/>
            <family val="2"/>
          </rPr>
          <t>Paul HP:</t>
        </r>
        <r>
          <rPr>
            <sz val="9"/>
            <color indexed="81"/>
            <rFont val="Tahoma"/>
            <family val="2"/>
          </rPr>
          <t xml:space="preserve">
electricité 1200
</t>
        </r>
      </text>
    </comment>
    <comment ref="BJ19" authorId="0" shapeId="0">
      <text>
        <r>
          <rPr>
            <b/>
            <sz val="9"/>
            <color indexed="81"/>
            <rFont val="Tahoma"/>
            <family val="2"/>
          </rPr>
          <t>Paul HP:</t>
        </r>
        <r>
          <rPr>
            <sz val="9"/>
            <color indexed="81"/>
            <rFont val="Tahoma"/>
            <family val="2"/>
          </rPr>
          <t xml:space="preserve">
electricité 1000
</t>
        </r>
      </text>
    </comment>
    <comment ref="CO19" authorId="0" shapeId="0">
      <text>
        <r>
          <rPr>
            <b/>
            <sz val="9"/>
            <color indexed="81"/>
            <rFont val="Tahoma"/>
            <family val="2"/>
          </rPr>
          <t>Paul HP:</t>
        </r>
        <r>
          <rPr>
            <sz val="9"/>
            <color indexed="81"/>
            <rFont val="Tahoma"/>
            <family val="2"/>
          </rPr>
          <t xml:space="preserve">
electricité 1667
</t>
        </r>
      </text>
    </comment>
    <comment ref="N20" authorId="0" shapeId="0">
      <text>
        <r>
          <rPr>
            <b/>
            <sz val="9"/>
            <color indexed="81"/>
            <rFont val="Tahoma"/>
            <family val="2"/>
          </rPr>
          <t>Paul HP:</t>
        </r>
        <r>
          <rPr>
            <sz val="9"/>
            <color indexed="81"/>
            <rFont val="Tahoma"/>
            <family val="2"/>
          </rPr>
          <t xml:space="preserve">
mariage fille de Hoa</t>
        </r>
      </text>
    </comment>
    <comment ref="S20" authorId="0" shapeId="0">
      <text>
        <r>
          <rPr>
            <b/>
            <sz val="9"/>
            <color indexed="81"/>
            <rFont val="Tahoma"/>
            <family val="2"/>
          </rPr>
          <t>Paul HP:</t>
        </r>
        <r>
          <rPr>
            <sz val="9"/>
            <color indexed="81"/>
            <rFont val="Tahoma"/>
            <family val="2"/>
          </rPr>
          <t xml:space="preserve">
Massage Mi</t>
        </r>
      </text>
    </comment>
    <comment ref="Z20" authorId="0" shapeId="0">
      <text>
        <r>
          <rPr>
            <b/>
            <sz val="9"/>
            <color indexed="81"/>
            <rFont val="Tahoma"/>
            <family val="2"/>
          </rPr>
          <t>Paul HP:</t>
        </r>
        <r>
          <rPr>
            <sz val="9"/>
            <color indexed="81"/>
            <rFont val="Tahoma"/>
            <family val="2"/>
          </rPr>
          <t xml:space="preserve">
1100 saumon et 500 cadeau maman</t>
        </r>
      </text>
    </comment>
    <comment ref="AI21" authorId="0" shapeId="0">
      <text>
        <r>
          <rPr>
            <b/>
            <sz val="9"/>
            <color indexed="81"/>
            <rFont val="Tahoma"/>
            <family val="2"/>
          </rPr>
          <t>Paul HP:</t>
        </r>
        <r>
          <rPr>
            <sz val="9"/>
            <color indexed="81"/>
            <rFont val="Tahoma"/>
            <family val="2"/>
          </rPr>
          <t xml:space="preserve">
Massage Hoa 2</t>
        </r>
      </text>
    </comment>
    <comment ref="CC21" authorId="0" shapeId="0">
      <text>
        <r>
          <rPr>
            <b/>
            <sz val="9"/>
            <color indexed="81"/>
            <rFont val="Tahoma"/>
            <family val="2"/>
          </rPr>
          <t>Paul HP:</t>
        </r>
        <r>
          <rPr>
            <sz val="9"/>
            <color indexed="81"/>
            <rFont val="Tahoma"/>
            <family val="2"/>
          </rPr>
          <t xml:space="preserve">
ongles des pieds</t>
        </r>
      </text>
    </comment>
    <comment ref="CN21" authorId="0" shapeId="0">
      <text>
        <r>
          <rPr>
            <b/>
            <sz val="9"/>
            <color indexed="81"/>
            <rFont val="Tahoma"/>
            <family val="2"/>
          </rPr>
          <t>Paul HP:</t>
        </r>
        <r>
          <rPr>
            <sz val="9"/>
            <color indexed="81"/>
            <rFont val="Tahoma"/>
            <family val="2"/>
          </rPr>
          <t xml:space="preserve">
Linh
</t>
        </r>
      </text>
    </comment>
    <comment ref="AE22" authorId="0" shapeId="0">
      <text>
        <r>
          <rPr>
            <b/>
            <sz val="9"/>
            <color indexed="81"/>
            <rFont val="Tahoma"/>
            <family val="2"/>
          </rPr>
          <t>Paul HP:</t>
        </r>
        <r>
          <rPr>
            <sz val="9"/>
            <color indexed="81"/>
            <rFont val="Tahoma"/>
            <family val="2"/>
          </rPr>
          <t xml:space="preserve">
HOTEL DLG
</t>
        </r>
      </text>
    </comment>
    <comment ref="AF22" authorId="0" shapeId="0">
      <text>
        <r>
          <rPr>
            <b/>
            <sz val="9"/>
            <color indexed="81"/>
            <rFont val="Tahoma"/>
            <family val="2"/>
          </rPr>
          <t>Paul HP:</t>
        </r>
        <r>
          <rPr>
            <sz val="9"/>
            <color indexed="81"/>
            <rFont val="Tahoma"/>
            <family val="2"/>
          </rPr>
          <t xml:space="preserve">
HOTEL DLG
</t>
        </r>
      </text>
    </comment>
    <comment ref="AG22" authorId="0" shapeId="0">
      <text>
        <r>
          <rPr>
            <b/>
            <sz val="9"/>
            <color indexed="81"/>
            <rFont val="Tahoma"/>
            <family val="2"/>
          </rPr>
          <t>Paul HP:</t>
        </r>
        <r>
          <rPr>
            <sz val="9"/>
            <color indexed="81"/>
            <rFont val="Tahoma"/>
            <family val="2"/>
          </rPr>
          <t xml:space="preserve">
HOTEL DLG
</t>
        </r>
      </text>
    </comment>
    <comment ref="F23" authorId="0" shapeId="0">
      <text>
        <r>
          <rPr>
            <b/>
            <sz val="9"/>
            <color indexed="81"/>
            <rFont val="Tahoma"/>
            <family val="2"/>
          </rPr>
          <t>Paul HP:</t>
        </r>
        <r>
          <rPr>
            <sz val="9"/>
            <color indexed="81"/>
            <rFont val="Tahoma"/>
            <family val="2"/>
          </rPr>
          <t xml:space="preserve">
taxi Jean Louis Bordeaux
TAXI AEROPORT</t>
        </r>
      </text>
    </comment>
    <comment ref="R23" authorId="0" shapeId="0">
      <text>
        <r>
          <rPr>
            <b/>
            <sz val="9"/>
            <color indexed="81"/>
            <rFont val="Tahoma"/>
            <family val="2"/>
          </rPr>
          <t>Paul HP:</t>
        </r>
        <r>
          <rPr>
            <sz val="9"/>
            <color indexed="81"/>
            <rFont val="Tahoma"/>
            <family val="2"/>
          </rPr>
          <t xml:space="preserve">
Aller retour Aeroport Hanoi
</t>
        </r>
      </text>
    </comment>
    <comment ref="T23" authorId="0" shapeId="0">
      <text>
        <r>
          <rPr>
            <b/>
            <sz val="9"/>
            <color indexed="81"/>
            <rFont val="Tahoma"/>
            <family val="2"/>
          </rPr>
          <t>Paul HP:</t>
        </r>
        <r>
          <rPr>
            <sz val="9"/>
            <color indexed="81"/>
            <rFont val="Tahoma"/>
            <family val="2"/>
          </rPr>
          <t xml:space="preserve">
TAXI SING 683
</t>
        </r>
      </text>
    </comment>
    <comment ref="V23" authorId="0" shapeId="0">
      <text>
        <r>
          <rPr>
            <b/>
            <sz val="9"/>
            <color indexed="81"/>
            <rFont val="Tahoma"/>
            <family val="2"/>
          </rPr>
          <t>Paul HP:</t>
        </r>
        <r>
          <rPr>
            <sz val="9"/>
            <color indexed="81"/>
            <rFont val="Tahoma"/>
            <family val="2"/>
          </rPr>
          <t xml:space="preserve">
taxi vers aeroport</t>
        </r>
      </text>
    </comment>
    <comment ref="Z23" authorId="0" shapeId="0">
      <text>
        <r>
          <rPr>
            <b/>
            <sz val="9"/>
            <color indexed="81"/>
            <rFont val="Tahoma"/>
            <family val="2"/>
          </rPr>
          <t>Paul HP:</t>
        </r>
        <r>
          <rPr>
            <sz val="9"/>
            <color indexed="81"/>
            <rFont val="Tahoma"/>
            <family val="2"/>
          </rPr>
          <t xml:space="preserve">
taxi 450+500</t>
        </r>
      </text>
    </comment>
    <comment ref="AG23" authorId="0" shapeId="0">
      <text>
        <r>
          <rPr>
            <b/>
            <sz val="9"/>
            <color indexed="81"/>
            <rFont val="Tahoma"/>
            <family val="2"/>
          </rPr>
          <t>Paul HP:</t>
        </r>
        <r>
          <rPr>
            <sz val="9"/>
            <color indexed="81"/>
            <rFont val="Tahoma"/>
            <family val="2"/>
          </rPr>
          <t xml:space="preserve">
scoot 100 ess 80
taxi aeroport Danang 90 et hanoi 300</t>
        </r>
      </text>
    </comment>
    <comment ref="AJ23" authorId="0" shapeId="0">
      <text>
        <r>
          <rPr>
            <b/>
            <sz val="9"/>
            <color indexed="81"/>
            <rFont val="Tahoma"/>
            <family val="2"/>
          </rPr>
          <t>Paul HP:</t>
        </r>
        <r>
          <rPr>
            <sz val="9"/>
            <color indexed="81"/>
            <rFont val="Tahoma"/>
            <family val="2"/>
          </rPr>
          <t xml:space="preserve">
taxi Hai Phong</t>
        </r>
      </text>
    </comment>
    <comment ref="T24" authorId="0" shapeId="0">
      <text>
        <r>
          <rPr>
            <b/>
            <sz val="9"/>
            <color indexed="81"/>
            <rFont val="Tahoma"/>
            <family val="2"/>
          </rPr>
          <t>Paul HP:</t>
        </r>
        <r>
          <rPr>
            <sz val="9"/>
            <color indexed="81"/>
            <rFont val="Tahoma"/>
            <family val="2"/>
          </rPr>
          <t xml:space="preserve">
e-visa 1000 28/3
PCR Hanoi 1000 29/3
PCR Hanoi 1000 31/3</t>
        </r>
      </text>
    </comment>
    <comment ref="U24" authorId="0" shapeId="0">
      <text>
        <r>
          <rPr>
            <b/>
            <sz val="9"/>
            <color indexed="81"/>
            <rFont val="Tahoma"/>
            <family val="2"/>
          </rPr>
          <t>Paul HP:</t>
        </r>
        <r>
          <rPr>
            <sz val="9"/>
            <color indexed="81"/>
            <rFont val="Tahoma"/>
            <family val="2"/>
          </rPr>
          <t xml:space="preserve">
TAXI HANOI 250 
</t>
        </r>
      </text>
    </comment>
    <comment ref="V24" authorId="0" shapeId="0">
      <text>
        <r>
          <rPr>
            <b/>
            <sz val="9"/>
            <color indexed="81"/>
            <rFont val="Tahoma"/>
            <family val="2"/>
          </rPr>
          <t>Paul HP:</t>
        </r>
        <r>
          <rPr>
            <sz val="9"/>
            <color indexed="81"/>
            <rFont val="Tahoma"/>
            <family val="2"/>
          </rPr>
          <t xml:space="preserve">
test PCR Singapour</t>
        </r>
      </text>
    </comment>
    <comment ref="AE24" authorId="0" shapeId="0">
      <text>
        <r>
          <rPr>
            <b/>
            <sz val="9"/>
            <color indexed="81"/>
            <rFont val="Tahoma"/>
            <family val="2"/>
          </rPr>
          <t>Paul HP:</t>
        </r>
        <r>
          <rPr>
            <sz val="9"/>
            <color indexed="81"/>
            <rFont val="Tahoma"/>
            <family val="2"/>
          </rPr>
          <t xml:space="preserve">
vol 3360</t>
        </r>
      </text>
    </comment>
    <comment ref="AX24" authorId="0" shapeId="0">
      <text>
        <r>
          <rPr>
            <b/>
            <sz val="9"/>
            <color indexed="81"/>
            <rFont val="Tahoma"/>
            <family val="2"/>
          </rPr>
          <t>Paul HP:</t>
        </r>
        <r>
          <rPr>
            <sz val="9"/>
            <color indexed="81"/>
            <rFont val="Tahoma"/>
            <family val="2"/>
          </rPr>
          <t xml:space="preserve">
VISA 1+2 Mdongs
vol aller Bangkok 1540
</t>
        </r>
      </text>
    </comment>
    <comment ref="AY24" authorId="0" shapeId="0">
      <text>
        <r>
          <rPr>
            <b/>
            <sz val="9"/>
            <color indexed="81"/>
            <rFont val="Tahoma"/>
            <family val="2"/>
          </rPr>
          <t>Paul HP:</t>
        </r>
        <r>
          <rPr>
            <sz val="9"/>
            <color indexed="81"/>
            <rFont val="Tahoma"/>
            <family val="2"/>
          </rPr>
          <t xml:space="preserve">
taxi airpot Hanoi</t>
        </r>
      </text>
    </comment>
    <comment ref="CO24" authorId="0" shapeId="0">
      <text>
        <r>
          <rPr>
            <b/>
            <sz val="9"/>
            <color indexed="81"/>
            <rFont val="Tahoma"/>
            <family val="2"/>
          </rPr>
          <t>Paul HP:</t>
        </r>
        <r>
          <rPr>
            <sz val="9"/>
            <color indexed="81"/>
            <rFont val="Tahoma"/>
            <family val="2"/>
          </rPr>
          <t xml:space="preserve">
Amende 2MDongs pour delai excessif de visa, du 5 au 13</t>
        </r>
      </text>
    </comment>
    <comment ref="I25" authorId="0" shapeId="0">
      <text>
        <r>
          <rPr>
            <b/>
            <sz val="9"/>
            <color indexed="81"/>
            <rFont val="Tahoma"/>
            <family val="2"/>
          </rPr>
          <t>Paul HP:</t>
        </r>
        <r>
          <rPr>
            <sz val="9"/>
            <color indexed="81"/>
            <rFont val="Tahoma"/>
            <family val="2"/>
          </rPr>
          <t xml:space="preserve">
connection HDMI
</t>
        </r>
      </text>
    </comment>
    <comment ref="Q25" authorId="0" shapeId="0">
      <text>
        <r>
          <rPr>
            <b/>
            <sz val="9"/>
            <color indexed="81"/>
            <rFont val="Tahoma"/>
            <family val="2"/>
          </rPr>
          <t>Paul HP:</t>
        </r>
        <r>
          <rPr>
            <sz val="9"/>
            <color indexed="81"/>
            <rFont val="Tahoma"/>
            <family val="2"/>
          </rPr>
          <t xml:space="preserve">
valise 2000</t>
        </r>
      </text>
    </comment>
    <comment ref="AZ25" authorId="0" shapeId="0">
      <text>
        <r>
          <rPr>
            <b/>
            <sz val="9"/>
            <color indexed="81"/>
            <rFont val="Tahoma"/>
            <family val="2"/>
          </rPr>
          <t>Paul HP:</t>
        </r>
        <r>
          <rPr>
            <sz val="9"/>
            <color indexed="81"/>
            <rFont val="Tahoma"/>
            <family val="2"/>
          </rPr>
          <t xml:space="preserve">
achat 2 livres anglais</t>
        </r>
      </text>
    </comment>
    <comment ref="CJ25" authorId="0" shapeId="0">
      <text>
        <r>
          <rPr>
            <b/>
            <sz val="9"/>
            <color indexed="81"/>
            <rFont val="Tahoma"/>
            <family val="2"/>
          </rPr>
          <t>Paul HP:</t>
        </r>
        <r>
          <rPr>
            <sz val="9"/>
            <color indexed="81"/>
            <rFont val="Tahoma"/>
            <family val="2"/>
          </rPr>
          <t xml:space="preserve">
100 blindage iphone, 200 tapa,280 earphones a fil</t>
        </r>
      </text>
    </comment>
    <comment ref="CK25" authorId="0" shapeId="0">
      <text>
        <r>
          <rPr>
            <b/>
            <sz val="9"/>
            <color indexed="81"/>
            <rFont val="Tahoma"/>
            <family val="2"/>
          </rPr>
          <t>Paul HP:</t>
        </r>
        <r>
          <rPr>
            <sz val="9"/>
            <color indexed="81"/>
            <rFont val="Tahoma"/>
            <family val="2"/>
          </rPr>
          <t xml:space="preserve">
270 coupelles
220 kam 220
</t>
        </r>
      </text>
    </comment>
    <comment ref="CN25" authorId="0" shapeId="0">
      <text>
        <r>
          <rPr>
            <b/>
            <sz val="9"/>
            <color indexed="81"/>
            <rFont val="Tahoma"/>
            <family val="2"/>
          </rPr>
          <t>Paul HP:</t>
        </r>
        <r>
          <rPr>
            <sz val="9"/>
            <color indexed="81"/>
            <rFont val="Tahoma"/>
            <family val="2"/>
          </rPr>
          <t xml:space="preserve">
earpods Paul + blindage
</t>
        </r>
      </text>
    </comment>
    <comment ref="I26" authorId="0" shapeId="0">
      <text>
        <r>
          <rPr>
            <b/>
            <sz val="9"/>
            <color indexed="81"/>
            <rFont val="Tahoma"/>
            <family val="2"/>
          </rPr>
          <t>Paul HP:</t>
        </r>
        <r>
          <rPr>
            <sz val="9"/>
            <color indexed="81"/>
            <rFont val="Tahoma"/>
            <family val="2"/>
          </rPr>
          <t xml:space="preserve">
tennis de marche</t>
        </r>
      </text>
    </comment>
    <comment ref="BC26" authorId="0" shapeId="0">
      <text>
        <r>
          <rPr>
            <b/>
            <sz val="9"/>
            <color indexed="81"/>
            <rFont val="Tahoma"/>
            <family val="2"/>
          </rPr>
          <t>Paul HP:</t>
        </r>
        <r>
          <rPr>
            <sz val="9"/>
            <color indexed="81"/>
            <rFont val="Tahoma"/>
            <family val="2"/>
          </rPr>
          <t xml:space="preserve">
achat 6 chemises soie
</t>
        </r>
      </text>
    </comment>
    <comment ref="BK26" authorId="0" shapeId="0">
      <text>
        <r>
          <rPr>
            <b/>
            <sz val="9"/>
            <color indexed="81"/>
            <rFont val="Tahoma"/>
            <family val="2"/>
          </rPr>
          <t>Paul HP:</t>
        </r>
        <r>
          <rPr>
            <sz val="9"/>
            <color indexed="81"/>
            <rFont val="Tahoma"/>
            <family val="2"/>
          </rPr>
          <t xml:space="preserve">
shorts de sport, en fait 200
</t>
        </r>
      </text>
    </comment>
    <comment ref="CC26" authorId="0" shapeId="0">
      <text>
        <r>
          <rPr>
            <b/>
            <sz val="9"/>
            <color indexed="81"/>
            <rFont val="Tahoma"/>
            <family val="2"/>
          </rPr>
          <t>Paul HP:</t>
        </r>
        <r>
          <rPr>
            <sz val="9"/>
            <color indexed="81"/>
            <rFont val="Tahoma"/>
            <family val="2"/>
          </rPr>
          <t xml:space="preserve">
chemise Mao</t>
        </r>
      </text>
    </comment>
    <comment ref="CF26" authorId="0" shapeId="0">
      <text>
        <r>
          <rPr>
            <b/>
            <sz val="9"/>
            <color indexed="81"/>
            <rFont val="Tahoma"/>
            <family val="2"/>
          </rPr>
          <t>Paul HP:</t>
        </r>
        <r>
          <rPr>
            <sz val="9"/>
            <color indexed="81"/>
            <rFont val="Tahoma"/>
            <family val="2"/>
          </rPr>
          <t xml:space="preserve">
tenue Mao bleue</t>
        </r>
      </text>
    </comment>
    <comment ref="CL26" authorId="0" shapeId="0">
      <text>
        <r>
          <rPr>
            <b/>
            <sz val="9"/>
            <color indexed="81"/>
            <rFont val="Tahoma"/>
            <family val="2"/>
          </rPr>
          <t>Paul HP:</t>
        </r>
        <r>
          <rPr>
            <sz val="9"/>
            <color indexed="81"/>
            <rFont val="Tahoma"/>
            <family val="2"/>
          </rPr>
          <t xml:space="preserve">
220 slips chaussettes
300 T shirt</t>
        </r>
      </text>
    </comment>
    <comment ref="AJ27" authorId="0" shapeId="0">
      <text>
        <r>
          <rPr>
            <b/>
            <sz val="9"/>
            <color indexed="81"/>
            <rFont val="Tahoma"/>
            <family val="2"/>
          </rPr>
          <t>Paul HP:</t>
        </r>
        <r>
          <rPr>
            <sz val="9"/>
            <color indexed="81"/>
            <rFont val="Tahoma"/>
            <family val="2"/>
          </rPr>
          <t xml:space="preserve">
cdeau enveloppe 1000 parents et 500 Ut et Ba
et 660 kangourou Han</t>
        </r>
      </text>
    </comment>
    <comment ref="CH27" authorId="0" shapeId="0">
      <text>
        <r>
          <rPr>
            <b/>
            <sz val="9"/>
            <color indexed="81"/>
            <rFont val="Tahoma"/>
            <family val="2"/>
          </rPr>
          <t>Paul HP:</t>
        </r>
        <r>
          <rPr>
            <sz val="9"/>
            <color indexed="81"/>
            <rFont val="Tahoma"/>
            <family val="2"/>
          </rPr>
          <t xml:space="preserve">
troisieme etoile booking</t>
        </r>
      </text>
    </comment>
    <comment ref="CJ27" authorId="0" shapeId="0">
      <text>
        <r>
          <rPr>
            <b/>
            <sz val="9"/>
            <color indexed="81"/>
            <rFont val="Tahoma"/>
            <family val="2"/>
          </rPr>
          <t>Paul HP:</t>
        </r>
        <r>
          <rPr>
            <sz val="9"/>
            <color indexed="81"/>
            <rFont val="Tahoma"/>
            <family val="2"/>
          </rPr>
          <t xml:space="preserve">
bourrage
</t>
        </r>
      </text>
    </comment>
    <comment ref="CK27" authorId="0" shapeId="0">
      <text>
        <r>
          <rPr>
            <b/>
            <sz val="9"/>
            <color indexed="81"/>
            <rFont val="Tahoma"/>
            <family val="2"/>
          </rPr>
          <t>Paul HP:</t>
        </r>
        <r>
          <rPr>
            <sz val="9"/>
            <color indexed="81"/>
            <rFont val="Tahoma"/>
            <family val="2"/>
          </rPr>
          <t xml:space="preserve">
1000 earphone hoa
200 cartes postales</t>
        </r>
      </text>
    </comment>
    <comment ref="CN27" authorId="0" shapeId="0">
      <text>
        <r>
          <rPr>
            <b/>
            <sz val="9"/>
            <color indexed="81"/>
            <rFont val="Tahoma"/>
            <family val="2"/>
          </rPr>
          <t>Paul HP:</t>
        </r>
        <r>
          <rPr>
            <sz val="9"/>
            <color indexed="81"/>
            <rFont val="Tahoma"/>
            <family val="2"/>
          </rPr>
          <t xml:space="preserve">
cigarettes Jean Louis 3 cartouches
</t>
        </r>
      </text>
    </comment>
    <comment ref="CO27" authorId="0" shapeId="0">
      <text>
        <r>
          <rPr>
            <b/>
            <sz val="9"/>
            <color indexed="81"/>
            <rFont val="Tahoma"/>
            <family val="2"/>
          </rPr>
          <t>Paul HP:</t>
        </r>
        <r>
          <rPr>
            <sz val="9"/>
            <color indexed="81"/>
            <rFont val="Tahoma"/>
            <family val="2"/>
          </rPr>
          <t xml:space="preserve">
soie pour Maga</t>
        </r>
      </text>
    </comment>
    <comment ref="F28" authorId="0" shapeId="0">
      <text>
        <r>
          <rPr>
            <b/>
            <sz val="9"/>
            <color indexed="81"/>
            <rFont val="Tahoma"/>
            <family val="2"/>
          </rPr>
          <t>Paul HP:</t>
        </r>
        <r>
          <rPr>
            <sz val="9"/>
            <color indexed="81"/>
            <rFont val="Tahoma"/>
            <family val="2"/>
          </rPr>
          <t xml:space="preserve">
6 mois de SPA
</t>
        </r>
      </text>
    </comment>
    <comment ref="CO28" authorId="0" shapeId="0">
      <text>
        <r>
          <rPr>
            <b/>
            <sz val="9"/>
            <color indexed="81"/>
            <rFont val="Tahoma"/>
            <family val="2"/>
          </rPr>
          <t>Paul HP:</t>
        </r>
        <r>
          <rPr>
            <sz val="9"/>
            <color indexed="81"/>
            <rFont val="Tahoma"/>
            <family val="2"/>
          </rPr>
          <t xml:space="preserve">
1350 depot LCL
170 Cash
200 Jean Louis</t>
        </r>
      </text>
    </comment>
    <comment ref="Q29" authorId="0" shapeId="0">
      <text>
        <r>
          <rPr>
            <b/>
            <sz val="9"/>
            <color indexed="81"/>
            <rFont val="Tahoma"/>
            <family val="2"/>
          </rPr>
          <t>Paul HP:</t>
        </r>
        <r>
          <rPr>
            <sz val="9"/>
            <color indexed="81"/>
            <rFont val="Tahoma"/>
            <family val="2"/>
          </rPr>
          <t xml:space="preserve">
Hoa mois de Avril
</t>
        </r>
      </text>
    </comment>
    <comment ref="AX29" authorId="0" shapeId="0">
      <text>
        <r>
          <rPr>
            <b/>
            <sz val="9"/>
            <color indexed="81"/>
            <rFont val="Tahoma"/>
            <family val="2"/>
          </rPr>
          <t>Paul HP:</t>
        </r>
        <r>
          <rPr>
            <sz val="9"/>
            <color indexed="81"/>
            <rFont val="Tahoma"/>
            <family val="2"/>
          </rPr>
          <t xml:space="preserve">
400€ a 25,6 (taux moyen antérieur)
</t>
        </r>
      </text>
    </comment>
    <comment ref="CO29" authorId="0" shapeId="0">
      <text>
        <r>
          <rPr>
            <b/>
            <sz val="9"/>
            <color indexed="81"/>
            <rFont val="Tahoma"/>
            <family val="2"/>
          </rPr>
          <t>Paul HP:</t>
        </r>
        <r>
          <rPr>
            <sz val="9"/>
            <color indexed="81"/>
            <rFont val="Tahoma"/>
            <family val="2"/>
          </rPr>
          <t xml:space="preserve">
</t>
        </r>
      </text>
    </comment>
    <comment ref="T57" authorId="0" shapeId="0">
      <text>
        <r>
          <rPr>
            <b/>
            <sz val="9"/>
            <color indexed="81"/>
            <rFont val="Tahoma"/>
            <family val="2"/>
          </rPr>
          <t>Paul HP:</t>
        </r>
        <r>
          <rPr>
            <sz val="9"/>
            <color indexed="81"/>
            <rFont val="Tahoma"/>
            <family val="2"/>
          </rPr>
          <t xml:space="preserve">
HOTEL PAY1 MAIS PAS CONSOMM1 DU FAIT DE L3ANNULATION</t>
        </r>
      </text>
    </comment>
    <comment ref="U57" authorId="0" shapeId="0">
      <text>
        <r>
          <rPr>
            <b/>
            <sz val="9"/>
            <color indexed="81"/>
            <rFont val="Tahoma"/>
            <family val="2"/>
          </rPr>
          <t>Paul HP:</t>
        </r>
        <r>
          <rPr>
            <sz val="9"/>
            <color indexed="81"/>
            <rFont val="Tahoma"/>
            <family val="2"/>
          </rPr>
          <t xml:space="preserve">
une nuit hotel CUBE</t>
        </r>
      </text>
    </comment>
    <comment ref="V57" authorId="0" shapeId="0">
      <text>
        <r>
          <rPr>
            <b/>
            <sz val="9"/>
            <color indexed="81"/>
            <rFont val="Tahoma"/>
            <family val="2"/>
          </rPr>
          <t>Paul HP:</t>
        </r>
        <r>
          <rPr>
            <sz val="9"/>
            <color indexed="81"/>
            <rFont val="Tahoma"/>
            <family val="2"/>
          </rPr>
          <t xml:space="preserve">
deux nuits hotel CUBE</t>
        </r>
      </text>
    </comment>
    <comment ref="T58" authorId="0" shapeId="0">
      <text>
        <r>
          <rPr>
            <b/>
            <sz val="9"/>
            <color indexed="81"/>
            <rFont val="Tahoma"/>
            <family val="2"/>
          </rPr>
          <t>Paul HP:</t>
        </r>
        <r>
          <rPr>
            <sz val="9"/>
            <color indexed="81"/>
            <rFont val="Tahoma"/>
            <family val="2"/>
          </rPr>
          <t xml:space="preserve">
pass de transport
</t>
        </r>
      </text>
    </comment>
    <comment ref="T59" authorId="0" shapeId="0">
      <text>
        <r>
          <rPr>
            <b/>
            <sz val="9"/>
            <color indexed="81"/>
            <rFont val="Tahoma"/>
            <family val="2"/>
          </rPr>
          <t>Paul HP:</t>
        </r>
        <r>
          <rPr>
            <sz val="9"/>
            <color indexed="81"/>
            <rFont val="Tahoma"/>
            <family val="2"/>
          </rPr>
          <t xml:space="preserve">
OPODO PREMIER ALLER RETOUR</t>
        </r>
      </text>
    </comment>
    <comment ref="U59" authorId="0" shapeId="0">
      <text>
        <r>
          <rPr>
            <b/>
            <sz val="9"/>
            <color indexed="81"/>
            <rFont val="Tahoma"/>
            <family val="2"/>
          </rPr>
          <t>Paul HP:</t>
        </r>
        <r>
          <rPr>
            <sz val="9"/>
            <color indexed="81"/>
            <rFont val="Tahoma"/>
            <family val="2"/>
          </rPr>
          <t xml:space="preserve">
UN aller et un complement de retour</t>
        </r>
      </text>
    </comment>
    <comment ref="BD59" authorId="0" shapeId="0">
      <text>
        <r>
          <rPr>
            <b/>
            <sz val="9"/>
            <color indexed="81"/>
            <rFont val="Tahoma"/>
            <family val="2"/>
          </rPr>
          <t>Paul HP:</t>
        </r>
        <r>
          <rPr>
            <sz val="9"/>
            <color indexed="81"/>
            <rFont val="Tahoma"/>
            <family val="2"/>
          </rPr>
          <t xml:space="preserve">
TEST COVID
</t>
        </r>
      </text>
    </comment>
    <comment ref="E83" authorId="0" shapeId="0">
      <text>
        <r>
          <rPr>
            <b/>
            <sz val="9"/>
            <color indexed="81"/>
            <rFont val="Tahoma"/>
            <family val="2"/>
          </rPr>
          <t>Paul HP:</t>
        </r>
        <r>
          <rPr>
            <sz val="9"/>
            <color indexed="81"/>
            <rFont val="Tahoma"/>
            <family val="2"/>
          </rPr>
          <t xml:space="preserve">
Avion + taxi Jean Louis</t>
        </r>
      </text>
    </comment>
    <comment ref="CO88" authorId="0" shapeId="0">
      <text>
        <r>
          <rPr>
            <b/>
            <sz val="9"/>
            <color indexed="81"/>
            <rFont val="Tahoma"/>
            <family val="2"/>
          </rPr>
          <t>Paul HP:</t>
        </r>
        <r>
          <rPr>
            <sz val="9"/>
            <color indexed="81"/>
            <rFont val="Tahoma"/>
            <family val="2"/>
          </rPr>
          <t xml:space="preserve">
1350 depot LCL
170 Cash
200 Jean Louis</t>
        </r>
      </text>
    </comment>
    <comment ref="CO89" authorId="0" shapeId="0">
      <text>
        <r>
          <rPr>
            <b/>
            <sz val="9"/>
            <color indexed="81"/>
            <rFont val="Tahoma"/>
            <family val="2"/>
          </rPr>
          <t>Paul HP:</t>
        </r>
        <r>
          <rPr>
            <sz val="9"/>
            <color indexed="81"/>
            <rFont val="Tahoma"/>
            <family val="2"/>
          </rPr>
          <t xml:space="preserve">
donné 2000€ a Hoa en prevision du voyage de septembre</t>
        </r>
      </text>
    </comment>
    <comment ref="EJ129" authorId="0" shapeId="0">
      <text>
        <r>
          <rPr>
            <b/>
            <sz val="9"/>
            <color indexed="81"/>
            <rFont val="Tahoma"/>
            <family val="2"/>
          </rPr>
          <t>Paul HP:</t>
        </r>
        <r>
          <rPr>
            <sz val="9"/>
            <color indexed="81"/>
            <rFont val="Tahoma"/>
            <family val="2"/>
          </rPr>
          <t xml:space="preserve">
dont 450 pour avril</t>
        </r>
      </text>
    </comment>
    <comment ref="M176" authorId="0" shapeId="0">
      <text>
        <r>
          <rPr>
            <b/>
            <sz val="9"/>
            <color indexed="81"/>
            <rFont val="Tahoma"/>
            <family val="2"/>
          </rPr>
          <t>Paul HP:</t>
        </r>
        <r>
          <rPr>
            <sz val="9"/>
            <color indexed="81"/>
            <rFont val="Tahoma"/>
            <family val="2"/>
          </rPr>
          <t xml:space="preserve">
biere avec Tuyeb</t>
        </r>
      </text>
    </comment>
    <comment ref="AI176" authorId="0" shapeId="0">
      <text>
        <r>
          <rPr>
            <b/>
            <sz val="9"/>
            <color indexed="81"/>
            <rFont val="Tahoma"/>
            <family val="2"/>
          </rPr>
          <t>Paul HP:</t>
        </r>
        <r>
          <rPr>
            <sz val="9"/>
            <color indexed="81"/>
            <rFont val="Tahoma"/>
            <family val="2"/>
          </rPr>
          <t xml:space="preserve">
W
</t>
        </r>
      </text>
    </comment>
    <comment ref="BP176" authorId="0" shapeId="0">
      <text>
        <r>
          <rPr>
            <b/>
            <sz val="9"/>
            <color indexed="81"/>
            <rFont val="Tahoma"/>
            <family val="2"/>
          </rPr>
          <t>Paul HP:</t>
        </r>
        <r>
          <rPr>
            <sz val="9"/>
            <color indexed="81"/>
            <rFont val="Tahoma"/>
            <family val="2"/>
          </rPr>
          <t xml:space="preserve">
Bieres avec Robert</t>
        </r>
      </text>
    </comment>
    <comment ref="CH176" authorId="0" shapeId="0">
      <text>
        <r>
          <rPr>
            <b/>
            <sz val="9"/>
            <color indexed="81"/>
            <rFont val="Tahoma"/>
            <family val="2"/>
          </rPr>
          <t>Paul HP:</t>
        </r>
        <r>
          <rPr>
            <sz val="9"/>
            <color indexed="81"/>
            <rFont val="Tahoma"/>
            <family val="2"/>
          </rPr>
          <t xml:space="preserve">
Pot José chilien</t>
        </r>
      </text>
    </comment>
    <comment ref="F178" authorId="0" shapeId="0">
      <text>
        <r>
          <rPr>
            <b/>
            <sz val="9"/>
            <color indexed="81"/>
            <rFont val="Tahoma"/>
            <family val="2"/>
          </rPr>
          <t>Paul HP:</t>
        </r>
        <r>
          <rPr>
            <sz val="9"/>
            <color indexed="81"/>
            <rFont val="Tahoma"/>
            <family val="2"/>
          </rPr>
          <t xml:space="preserve">
INTERNET
</t>
        </r>
      </text>
    </comment>
    <comment ref="Q178" authorId="0" shapeId="0">
      <text>
        <r>
          <rPr>
            <b/>
            <sz val="9"/>
            <color indexed="81"/>
            <rFont val="Tahoma"/>
            <family val="2"/>
          </rPr>
          <t>Paul HP:</t>
        </r>
        <r>
          <rPr>
            <sz val="9"/>
            <color indexed="81"/>
            <rFont val="Tahoma"/>
            <family val="2"/>
          </rPr>
          <t xml:space="preserve">
bag zipper</t>
        </r>
      </text>
    </comment>
    <comment ref="AD178" authorId="0" shapeId="0">
      <text>
        <r>
          <rPr>
            <b/>
            <sz val="9"/>
            <color indexed="81"/>
            <rFont val="Tahoma"/>
            <family val="2"/>
          </rPr>
          <t>Paul HP:</t>
        </r>
        <r>
          <rPr>
            <sz val="9"/>
            <color indexed="81"/>
            <rFont val="Tahoma"/>
            <family val="2"/>
          </rPr>
          <t xml:space="preserve">
zipper on red coat</t>
        </r>
      </text>
    </comment>
    <comment ref="AJ178" authorId="0" shapeId="0">
      <text>
        <r>
          <rPr>
            <b/>
            <sz val="9"/>
            <color indexed="81"/>
            <rFont val="Tahoma"/>
            <family val="2"/>
          </rPr>
          <t>Paul HP:</t>
        </r>
        <r>
          <rPr>
            <sz val="9"/>
            <color indexed="81"/>
            <rFont val="Tahoma"/>
            <family val="2"/>
          </rPr>
          <t xml:space="preserve">
telecom</t>
        </r>
      </text>
    </comment>
    <comment ref="AL178" authorId="0" shapeId="0">
      <text>
        <r>
          <rPr>
            <b/>
            <sz val="9"/>
            <color indexed="81"/>
            <rFont val="Tahoma"/>
            <family val="2"/>
          </rPr>
          <t>Paul HP:</t>
        </r>
        <r>
          <rPr>
            <sz val="9"/>
            <color indexed="81"/>
            <rFont val="Tahoma"/>
            <family val="2"/>
          </rPr>
          <t xml:space="preserve">
TELEPHONIE</t>
        </r>
      </text>
    </comment>
    <comment ref="BI178" authorId="0" shapeId="0">
      <text>
        <r>
          <rPr>
            <b/>
            <sz val="9"/>
            <color indexed="81"/>
            <rFont val="Tahoma"/>
            <family val="2"/>
          </rPr>
          <t>Paul HP:</t>
        </r>
        <r>
          <rPr>
            <sz val="9"/>
            <color indexed="81"/>
            <rFont val="Tahoma"/>
            <family val="2"/>
          </rPr>
          <t xml:space="preserve">
POURBOIRE</t>
        </r>
      </text>
    </comment>
    <comment ref="BK178" authorId="0" shapeId="0">
      <text>
        <r>
          <rPr>
            <b/>
            <sz val="9"/>
            <color indexed="81"/>
            <rFont val="Tahoma"/>
            <family val="2"/>
          </rPr>
          <t>Paul HP:</t>
        </r>
        <r>
          <rPr>
            <sz val="9"/>
            <color indexed="81"/>
            <rFont val="Tahoma"/>
            <family val="2"/>
          </rPr>
          <t xml:space="preserve">
detergeant
</t>
        </r>
      </text>
    </comment>
    <comment ref="BL178" authorId="0" shapeId="0">
      <text>
        <r>
          <rPr>
            <b/>
            <sz val="9"/>
            <color indexed="81"/>
            <rFont val="Tahoma"/>
            <family val="2"/>
          </rPr>
          <t>Paul HP:</t>
        </r>
        <r>
          <rPr>
            <sz val="9"/>
            <color indexed="81"/>
            <rFont val="Tahoma"/>
            <family val="2"/>
          </rPr>
          <t xml:space="preserve">
telephonie</t>
        </r>
      </text>
    </comment>
    <comment ref="BP178" authorId="0" shapeId="0">
      <text>
        <r>
          <rPr>
            <b/>
            <sz val="9"/>
            <color indexed="81"/>
            <rFont val="Tahoma"/>
            <family val="2"/>
          </rPr>
          <t>Paul HP:</t>
        </r>
        <r>
          <rPr>
            <sz val="9"/>
            <color indexed="81"/>
            <rFont val="Tahoma"/>
            <family val="2"/>
          </rPr>
          <t xml:space="preserve">
coiffeur</t>
        </r>
      </text>
    </comment>
    <comment ref="BY178" authorId="0" shapeId="0">
      <text>
        <r>
          <rPr>
            <b/>
            <sz val="9"/>
            <color indexed="81"/>
            <rFont val="Tahoma"/>
            <family val="2"/>
          </rPr>
          <t>Paul HP:</t>
        </r>
        <r>
          <rPr>
            <sz val="9"/>
            <color indexed="81"/>
            <rFont val="Tahoma"/>
            <family val="2"/>
          </rPr>
          <t xml:space="preserve">
bourrage
</t>
        </r>
      </text>
    </comment>
    <comment ref="BZ178" authorId="0" shapeId="0">
      <text>
        <r>
          <rPr>
            <b/>
            <sz val="9"/>
            <color indexed="81"/>
            <rFont val="Tahoma"/>
            <family val="2"/>
          </rPr>
          <t>Paul HP:</t>
        </r>
        <r>
          <rPr>
            <sz val="9"/>
            <color indexed="81"/>
            <rFont val="Tahoma"/>
            <family val="2"/>
          </rPr>
          <t xml:space="preserve">
bourrage
</t>
        </r>
      </text>
    </comment>
    <comment ref="CA178" authorId="0" shapeId="0">
      <text>
        <r>
          <rPr>
            <b/>
            <sz val="9"/>
            <color indexed="81"/>
            <rFont val="Tahoma"/>
            <family val="2"/>
          </rPr>
          <t>Paul HP:</t>
        </r>
        <r>
          <rPr>
            <sz val="9"/>
            <color indexed="81"/>
            <rFont val="Tahoma"/>
            <family val="2"/>
          </rPr>
          <t xml:space="preserve">
essence Hoa</t>
        </r>
      </text>
    </comment>
    <comment ref="CB178" authorId="0" shapeId="0">
      <text>
        <r>
          <rPr>
            <b/>
            <sz val="9"/>
            <color indexed="81"/>
            <rFont val="Tahoma"/>
            <family val="2"/>
          </rPr>
          <t>Paul HP:</t>
        </r>
        <r>
          <rPr>
            <sz val="9"/>
            <color indexed="81"/>
            <rFont val="Tahoma"/>
            <family val="2"/>
          </rPr>
          <t xml:space="preserve">
TELEPHONIE +PRISE ELECTRIQUE
</t>
        </r>
      </text>
    </comment>
    <comment ref="CG178" authorId="0" shapeId="0">
      <text>
        <r>
          <rPr>
            <b/>
            <sz val="9"/>
            <color indexed="81"/>
            <rFont val="Tahoma"/>
            <family val="2"/>
          </rPr>
          <t>Paul HP:</t>
        </r>
        <r>
          <rPr>
            <sz val="9"/>
            <color indexed="81"/>
            <rFont val="Tahoma"/>
            <family val="2"/>
          </rPr>
          <t xml:space="preserve">
reparation lunettes</t>
        </r>
      </text>
    </comment>
    <comment ref="CJ178" authorId="0" shapeId="0">
      <text>
        <r>
          <rPr>
            <b/>
            <sz val="9"/>
            <color indexed="81"/>
            <rFont val="Tahoma"/>
            <family val="2"/>
          </rPr>
          <t>Paul HP:</t>
        </r>
        <r>
          <rPr>
            <sz val="9"/>
            <color indexed="81"/>
            <rFont val="Tahoma"/>
            <family val="2"/>
          </rPr>
          <t xml:space="preserve">
essence
3,3 litres</t>
        </r>
      </text>
    </comment>
    <comment ref="CM178" authorId="0" shapeId="0">
      <text>
        <r>
          <rPr>
            <b/>
            <sz val="9"/>
            <color indexed="81"/>
            <rFont val="Tahoma"/>
            <family val="2"/>
          </rPr>
          <t>Paul HP:</t>
        </r>
        <r>
          <rPr>
            <sz val="9"/>
            <color indexed="81"/>
            <rFont val="Tahoma"/>
            <family val="2"/>
          </rPr>
          <t xml:space="preserve">
bourrage
</t>
        </r>
      </text>
    </comment>
    <comment ref="CN178" authorId="0" shapeId="0">
      <text>
        <r>
          <rPr>
            <b/>
            <sz val="9"/>
            <color indexed="81"/>
            <rFont val="Tahoma"/>
            <family val="2"/>
          </rPr>
          <t>Paul HP:</t>
        </r>
        <r>
          <rPr>
            <sz val="9"/>
            <color indexed="81"/>
            <rFont val="Tahoma"/>
            <family val="2"/>
          </rPr>
          <t xml:space="preserve">
60 aspirines a 500</t>
        </r>
      </text>
    </comment>
    <comment ref="BD179" authorId="0" shapeId="0">
      <text>
        <r>
          <rPr>
            <b/>
            <sz val="9"/>
            <color indexed="81"/>
            <rFont val="Tahoma"/>
            <family val="2"/>
          </rPr>
          <t>Paul HP:</t>
        </r>
        <r>
          <rPr>
            <sz val="9"/>
            <color indexed="81"/>
            <rFont val="Tahoma"/>
            <family val="2"/>
          </rPr>
          <t xml:space="preserve">
electricité 1200
</t>
        </r>
      </text>
    </comment>
    <comment ref="BJ179" authorId="0" shapeId="0">
      <text>
        <r>
          <rPr>
            <b/>
            <sz val="9"/>
            <color indexed="81"/>
            <rFont val="Tahoma"/>
            <family val="2"/>
          </rPr>
          <t>Paul HP:</t>
        </r>
        <r>
          <rPr>
            <sz val="9"/>
            <color indexed="81"/>
            <rFont val="Tahoma"/>
            <family val="2"/>
          </rPr>
          <t xml:space="preserve">
electricité 1000
</t>
        </r>
      </text>
    </comment>
    <comment ref="CO179" authorId="0" shapeId="0">
      <text>
        <r>
          <rPr>
            <b/>
            <sz val="9"/>
            <color indexed="81"/>
            <rFont val="Tahoma"/>
            <family val="2"/>
          </rPr>
          <t>Paul HP:</t>
        </r>
        <r>
          <rPr>
            <sz val="9"/>
            <color indexed="81"/>
            <rFont val="Tahoma"/>
            <family val="2"/>
          </rPr>
          <t xml:space="preserve">
electricité 1667
</t>
        </r>
      </text>
    </comment>
    <comment ref="H180" authorId="0" shapeId="0">
      <text>
        <r>
          <rPr>
            <b/>
            <sz val="9"/>
            <color indexed="81"/>
            <rFont val="Tahoma"/>
            <family val="2"/>
          </rPr>
          <t>Paul HP:</t>
        </r>
        <r>
          <rPr>
            <sz val="9"/>
            <color indexed="81"/>
            <rFont val="Tahoma"/>
            <family val="2"/>
          </rPr>
          <t xml:space="preserve">
essence 3,33 l à 30 KD</t>
        </r>
      </text>
    </comment>
    <comment ref="O180" authorId="0" shapeId="0">
      <text>
        <r>
          <rPr>
            <b/>
            <sz val="9"/>
            <color indexed="81"/>
            <rFont val="Tahoma"/>
            <family val="2"/>
          </rPr>
          <t>Paul HP:</t>
        </r>
        <r>
          <rPr>
            <sz val="9"/>
            <color indexed="81"/>
            <rFont val="Tahoma"/>
            <family val="2"/>
          </rPr>
          <t xml:space="preserve">
essence 3,33 l à 30 KD</t>
        </r>
      </text>
    </comment>
    <comment ref="AL180" authorId="0" shapeId="0">
      <text>
        <r>
          <rPr>
            <b/>
            <sz val="9"/>
            <color indexed="81"/>
            <rFont val="Tahoma"/>
            <family val="2"/>
          </rPr>
          <t>Paul HP:</t>
        </r>
        <r>
          <rPr>
            <sz val="9"/>
            <color indexed="81"/>
            <rFont val="Tahoma"/>
            <family val="2"/>
          </rPr>
          <t xml:space="preserve">
ESSENCE 100
</t>
        </r>
      </text>
    </comment>
    <comment ref="BQ180" authorId="0" shapeId="0">
      <text>
        <r>
          <rPr>
            <b/>
            <sz val="9"/>
            <color indexed="81"/>
            <rFont val="Tahoma"/>
            <family val="2"/>
          </rPr>
          <t>Paul HP:</t>
        </r>
        <r>
          <rPr>
            <sz val="9"/>
            <color indexed="81"/>
            <rFont val="Tahoma"/>
            <family val="2"/>
          </rPr>
          <t xml:space="preserve">
essence scoot+50 lavage</t>
        </r>
      </text>
    </comment>
    <comment ref="M183" authorId="0" shapeId="0">
      <text>
        <r>
          <rPr>
            <b/>
            <sz val="9"/>
            <color indexed="81"/>
            <rFont val="Tahoma"/>
            <family val="2"/>
          </rPr>
          <t>Paul HP:</t>
        </r>
        <r>
          <rPr>
            <sz val="9"/>
            <color indexed="81"/>
            <rFont val="Tahoma"/>
            <family val="2"/>
          </rPr>
          <t xml:space="preserve">
biere avec Tuyeb</t>
        </r>
      </text>
    </comment>
    <comment ref="AI183" authorId="0" shapeId="0">
      <text>
        <r>
          <rPr>
            <b/>
            <sz val="9"/>
            <color indexed="81"/>
            <rFont val="Tahoma"/>
            <family val="2"/>
          </rPr>
          <t>Paul HP:</t>
        </r>
        <r>
          <rPr>
            <sz val="9"/>
            <color indexed="81"/>
            <rFont val="Tahoma"/>
            <family val="2"/>
          </rPr>
          <t xml:space="preserve">
W
</t>
        </r>
      </text>
    </comment>
    <comment ref="BP183" authorId="0" shapeId="0">
      <text>
        <r>
          <rPr>
            <b/>
            <sz val="9"/>
            <color indexed="81"/>
            <rFont val="Tahoma"/>
            <family val="2"/>
          </rPr>
          <t>Paul HP:</t>
        </r>
        <r>
          <rPr>
            <sz val="9"/>
            <color indexed="81"/>
            <rFont val="Tahoma"/>
            <family val="2"/>
          </rPr>
          <t xml:space="preserve">
Bieres avec Robert</t>
        </r>
      </text>
    </comment>
    <comment ref="CH183" authorId="0" shapeId="0">
      <text>
        <r>
          <rPr>
            <b/>
            <sz val="9"/>
            <color indexed="81"/>
            <rFont val="Tahoma"/>
            <family val="2"/>
          </rPr>
          <t>Paul HP:</t>
        </r>
        <r>
          <rPr>
            <sz val="9"/>
            <color indexed="81"/>
            <rFont val="Tahoma"/>
            <family val="2"/>
          </rPr>
          <t xml:space="preserve">
Pot José chilien</t>
        </r>
      </text>
    </comment>
    <comment ref="H185" authorId="0" shapeId="0">
      <text>
        <r>
          <rPr>
            <b/>
            <sz val="9"/>
            <color indexed="81"/>
            <rFont val="Tahoma"/>
            <family val="2"/>
          </rPr>
          <t>Paul HP:</t>
        </r>
        <r>
          <rPr>
            <sz val="9"/>
            <color indexed="81"/>
            <rFont val="Tahoma"/>
            <family val="2"/>
          </rPr>
          <t xml:space="preserve">
essence 3,33 l à 30 KD</t>
        </r>
      </text>
    </comment>
    <comment ref="O185" authorId="0" shapeId="0">
      <text>
        <r>
          <rPr>
            <b/>
            <sz val="9"/>
            <color indexed="81"/>
            <rFont val="Tahoma"/>
            <family val="2"/>
          </rPr>
          <t>Paul HP:</t>
        </r>
        <r>
          <rPr>
            <sz val="9"/>
            <color indexed="81"/>
            <rFont val="Tahoma"/>
            <family val="2"/>
          </rPr>
          <t xml:space="preserve">
essence 3,33 l à 30 KD</t>
        </r>
      </text>
    </comment>
    <comment ref="AL185" authorId="0" shapeId="0">
      <text>
        <r>
          <rPr>
            <b/>
            <sz val="9"/>
            <color indexed="81"/>
            <rFont val="Tahoma"/>
            <family val="2"/>
          </rPr>
          <t>Paul HP:</t>
        </r>
        <r>
          <rPr>
            <sz val="9"/>
            <color indexed="81"/>
            <rFont val="Tahoma"/>
            <family val="2"/>
          </rPr>
          <t xml:space="preserve">
ESSENCE 100
</t>
        </r>
      </text>
    </comment>
    <comment ref="BQ185" authorId="0" shapeId="0">
      <text>
        <r>
          <rPr>
            <b/>
            <sz val="9"/>
            <color indexed="81"/>
            <rFont val="Tahoma"/>
            <family val="2"/>
          </rPr>
          <t>Paul HP:</t>
        </r>
        <r>
          <rPr>
            <sz val="9"/>
            <color indexed="81"/>
            <rFont val="Tahoma"/>
            <family val="2"/>
          </rPr>
          <t xml:space="preserve">
essence scoot+50 lavage</t>
        </r>
      </text>
    </comment>
    <comment ref="F186" authorId="0" shapeId="0">
      <text>
        <r>
          <rPr>
            <b/>
            <sz val="9"/>
            <color indexed="81"/>
            <rFont val="Tahoma"/>
            <family val="2"/>
          </rPr>
          <t>Paul HP:</t>
        </r>
        <r>
          <rPr>
            <sz val="9"/>
            <color indexed="81"/>
            <rFont val="Tahoma"/>
            <family val="2"/>
          </rPr>
          <t xml:space="preserve">
INTERNET
</t>
        </r>
      </text>
    </comment>
    <comment ref="Q186" authorId="0" shapeId="0">
      <text>
        <r>
          <rPr>
            <b/>
            <sz val="9"/>
            <color indexed="81"/>
            <rFont val="Tahoma"/>
            <family val="2"/>
          </rPr>
          <t>Paul HP:</t>
        </r>
        <r>
          <rPr>
            <sz val="9"/>
            <color indexed="81"/>
            <rFont val="Tahoma"/>
            <family val="2"/>
          </rPr>
          <t xml:space="preserve">
bag zipper</t>
        </r>
      </text>
    </comment>
    <comment ref="AD186" authorId="0" shapeId="0">
      <text>
        <r>
          <rPr>
            <b/>
            <sz val="9"/>
            <color indexed="81"/>
            <rFont val="Tahoma"/>
            <family val="2"/>
          </rPr>
          <t>Paul HP:</t>
        </r>
        <r>
          <rPr>
            <sz val="9"/>
            <color indexed="81"/>
            <rFont val="Tahoma"/>
            <family val="2"/>
          </rPr>
          <t xml:space="preserve">
zipper on red coat</t>
        </r>
      </text>
    </comment>
    <comment ref="AJ186" authorId="0" shapeId="0">
      <text>
        <r>
          <rPr>
            <b/>
            <sz val="9"/>
            <color indexed="81"/>
            <rFont val="Tahoma"/>
            <family val="2"/>
          </rPr>
          <t>Paul HP:</t>
        </r>
        <r>
          <rPr>
            <sz val="9"/>
            <color indexed="81"/>
            <rFont val="Tahoma"/>
            <family val="2"/>
          </rPr>
          <t xml:space="preserve">
telecom</t>
        </r>
      </text>
    </comment>
    <comment ref="AL186" authorId="0" shapeId="0">
      <text>
        <r>
          <rPr>
            <b/>
            <sz val="9"/>
            <color indexed="81"/>
            <rFont val="Tahoma"/>
            <family val="2"/>
          </rPr>
          <t>Paul HP:</t>
        </r>
        <r>
          <rPr>
            <sz val="9"/>
            <color indexed="81"/>
            <rFont val="Tahoma"/>
            <family val="2"/>
          </rPr>
          <t xml:space="preserve">
TELEPHONIE</t>
        </r>
      </text>
    </comment>
    <comment ref="BI186" authorId="0" shapeId="0">
      <text>
        <r>
          <rPr>
            <b/>
            <sz val="9"/>
            <color indexed="81"/>
            <rFont val="Tahoma"/>
            <family val="2"/>
          </rPr>
          <t>Paul HP:</t>
        </r>
        <r>
          <rPr>
            <sz val="9"/>
            <color indexed="81"/>
            <rFont val="Tahoma"/>
            <family val="2"/>
          </rPr>
          <t xml:space="preserve">
POURBOIRE</t>
        </r>
      </text>
    </comment>
    <comment ref="BK186" authorId="0" shapeId="0">
      <text>
        <r>
          <rPr>
            <b/>
            <sz val="9"/>
            <color indexed="81"/>
            <rFont val="Tahoma"/>
            <family val="2"/>
          </rPr>
          <t>Paul HP:</t>
        </r>
        <r>
          <rPr>
            <sz val="9"/>
            <color indexed="81"/>
            <rFont val="Tahoma"/>
            <family val="2"/>
          </rPr>
          <t xml:space="preserve">
detergeant
</t>
        </r>
      </text>
    </comment>
    <comment ref="BL186" authorId="0" shapeId="0">
      <text>
        <r>
          <rPr>
            <b/>
            <sz val="9"/>
            <color indexed="81"/>
            <rFont val="Tahoma"/>
            <family val="2"/>
          </rPr>
          <t>Paul HP:</t>
        </r>
        <r>
          <rPr>
            <sz val="9"/>
            <color indexed="81"/>
            <rFont val="Tahoma"/>
            <family val="2"/>
          </rPr>
          <t xml:space="preserve">
telephonie</t>
        </r>
      </text>
    </comment>
    <comment ref="BP186" authorId="0" shapeId="0">
      <text>
        <r>
          <rPr>
            <b/>
            <sz val="9"/>
            <color indexed="81"/>
            <rFont val="Tahoma"/>
            <family val="2"/>
          </rPr>
          <t>Paul HP:</t>
        </r>
        <r>
          <rPr>
            <sz val="9"/>
            <color indexed="81"/>
            <rFont val="Tahoma"/>
            <family val="2"/>
          </rPr>
          <t xml:space="preserve">
coiffeur</t>
        </r>
      </text>
    </comment>
    <comment ref="BY186" authorId="0" shapeId="0">
      <text>
        <r>
          <rPr>
            <b/>
            <sz val="9"/>
            <color indexed="81"/>
            <rFont val="Tahoma"/>
            <family val="2"/>
          </rPr>
          <t>Paul HP:</t>
        </r>
        <r>
          <rPr>
            <sz val="9"/>
            <color indexed="81"/>
            <rFont val="Tahoma"/>
            <family val="2"/>
          </rPr>
          <t xml:space="preserve">
bourrage
</t>
        </r>
      </text>
    </comment>
    <comment ref="BZ186" authorId="0" shapeId="0">
      <text>
        <r>
          <rPr>
            <b/>
            <sz val="9"/>
            <color indexed="81"/>
            <rFont val="Tahoma"/>
            <family val="2"/>
          </rPr>
          <t>Paul HP:</t>
        </r>
        <r>
          <rPr>
            <sz val="9"/>
            <color indexed="81"/>
            <rFont val="Tahoma"/>
            <family val="2"/>
          </rPr>
          <t xml:space="preserve">
bourrage
</t>
        </r>
      </text>
    </comment>
    <comment ref="CA186" authorId="0" shapeId="0">
      <text>
        <r>
          <rPr>
            <b/>
            <sz val="9"/>
            <color indexed="81"/>
            <rFont val="Tahoma"/>
            <family val="2"/>
          </rPr>
          <t>Paul HP:</t>
        </r>
        <r>
          <rPr>
            <sz val="9"/>
            <color indexed="81"/>
            <rFont val="Tahoma"/>
            <family val="2"/>
          </rPr>
          <t xml:space="preserve">
essence Hoa</t>
        </r>
      </text>
    </comment>
    <comment ref="CB186" authorId="0" shapeId="0">
      <text>
        <r>
          <rPr>
            <b/>
            <sz val="9"/>
            <color indexed="81"/>
            <rFont val="Tahoma"/>
            <family val="2"/>
          </rPr>
          <t>Paul HP:</t>
        </r>
        <r>
          <rPr>
            <sz val="9"/>
            <color indexed="81"/>
            <rFont val="Tahoma"/>
            <family val="2"/>
          </rPr>
          <t xml:space="preserve">
TELEPHONIE +PRISE ELECTRIQUE
</t>
        </r>
      </text>
    </comment>
    <comment ref="CG186" authorId="0" shapeId="0">
      <text>
        <r>
          <rPr>
            <b/>
            <sz val="9"/>
            <color indexed="81"/>
            <rFont val="Tahoma"/>
            <family val="2"/>
          </rPr>
          <t>Paul HP:</t>
        </r>
        <r>
          <rPr>
            <sz val="9"/>
            <color indexed="81"/>
            <rFont val="Tahoma"/>
            <family val="2"/>
          </rPr>
          <t xml:space="preserve">
reparation lunettes</t>
        </r>
      </text>
    </comment>
    <comment ref="CJ186" authorId="0" shapeId="0">
      <text>
        <r>
          <rPr>
            <b/>
            <sz val="9"/>
            <color indexed="81"/>
            <rFont val="Tahoma"/>
            <family val="2"/>
          </rPr>
          <t>Paul HP:</t>
        </r>
        <r>
          <rPr>
            <sz val="9"/>
            <color indexed="81"/>
            <rFont val="Tahoma"/>
            <family val="2"/>
          </rPr>
          <t xml:space="preserve">
essence
3,3 litres</t>
        </r>
      </text>
    </comment>
    <comment ref="CM186" authorId="0" shapeId="0">
      <text>
        <r>
          <rPr>
            <b/>
            <sz val="9"/>
            <color indexed="81"/>
            <rFont val="Tahoma"/>
            <family val="2"/>
          </rPr>
          <t>Paul HP:</t>
        </r>
        <r>
          <rPr>
            <sz val="9"/>
            <color indexed="81"/>
            <rFont val="Tahoma"/>
            <family val="2"/>
          </rPr>
          <t xml:space="preserve">
bourrage
</t>
        </r>
      </text>
    </comment>
    <comment ref="CN186" authorId="0" shapeId="0">
      <text>
        <r>
          <rPr>
            <b/>
            <sz val="9"/>
            <color indexed="81"/>
            <rFont val="Tahoma"/>
            <family val="2"/>
          </rPr>
          <t>Paul HP:</t>
        </r>
        <r>
          <rPr>
            <sz val="9"/>
            <color indexed="81"/>
            <rFont val="Tahoma"/>
            <family val="2"/>
          </rPr>
          <t xml:space="preserve">
60 aspirines a 500</t>
        </r>
      </text>
    </comment>
    <comment ref="BD187" authorId="0" shapeId="0">
      <text>
        <r>
          <rPr>
            <b/>
            <sz val="9"/>
            <color indexed="81"/>
            <rFont val="Tahoma"/>
            <family val="2"/>
          </rPr>
          <t>Paul HP:</t>
        </r>
        <r>
          <rPr>
            <sz val="9"/>
            <color indexed="81"/>
            <rFont val="Tahoma"/>
            <family val="2"/>
          </rPr>
          <t xml:space="preserve">
electricité 1200
</t>
        </r>
      </text>
    </comment>
    <comment ref="BJ187" authorId="0" shapeId="0">
      <text>
        <r>
          <rPr>
            <b/>
            <sz val="9"/>
            <color indexed="81"/>
            <rFont val="Tahoma"/>
            <family val="2"/>
          </rPr>
          <t>Paul HP:</t>
        </r>
        <r>
          <rPr>
            <sz val="9"/>
            <color indexed="81"/>
            <rFont val="Tahoma"/>
            <family val="2"/>
          </rPr>
          <t xml:space="preserve">
electricité 1000
</t>
        </r>
      </text>
    </comment>
    <comment ref="CO187" authorId="0" shapeId="0">
      <text>
        <r>
          <rPr>
            <b/>
            <sz val="9"/>
            <color indexed="81"/>
            <rFont val="Tahoma"/>
            <family val="2"/>
          </rPr>
          <t>Paul HP:</t>
        </r>
        <r>
          <rPr>
            <sz val="9"/>
            <color indexed="81"/>
            <rFont val="Tahoma"/>
            <family val="2"/>
          </rPr>
          <t xml:space="preserve">
electricité 1667
</t>
        </r>
      </text>
    </comment>
  </commentList>
</comments>
</file>

<file path=xl/comments5.xml><?xml version="1.0" encoding="utf-8"?>
<comments xmlns="http://schemas.openxmlformats.org/spreadsheetml/2006/main">
  <authors>
    <author>tc={BD3D6F1D-DC16-46CC-A3AA-1C9773F33283}</author>
    <author>tc={7078C93B-E97B-46A9-8A06-F534514DDD45}</author>
    <author>tc={97E8E3F3-D008-4953-B121-6259DC1CCCF7}</author>
    <author>tc={201A19EC-5FCA-449A-AC07-F106C094FCE7}</author>
    <author>tc={54389E29-34BD-4C24-BCCF-861492237B0D}</author>
    <author>tc={225ACB9A-3E71-4766-9E2B-ED4CA9DFBB28}</author>
    <author>tc={BD3D9103-7C0F-4AF8-AE64-5A1951DB5984}</author>
    <author>tc={28EB0009-34C9-47A8-B0BB-CD831C196D82}</author>
    <author>tc={4497B2D2-29F7-4805-A50D-6A56DD13878F}</author>
    <author>tc={A9F503DA-1328-46B0-8B2F-96DB07D39DBD}</author>
    <author>tc={9294E4D7-5FEF-4E4C-946E-FC208D31FF1C}</author>
    <author>tc={58BC3266-61EF-4313-993C-5E66B79F8928}</author>
    <author>tc={99920A86-7B78-4C22-B5CE-C4D28411983B}</author>
    <author>tc={9B326C1E-75C4-4C98-A24A-2CFDA6EEED8D}</author>
    <author>tc={D69E44D3-705C-4126-B6AB-47121B426EA0}</author>
    <author>tc={275815EE-0F5D-46BE-90A4-BD6C1B5CC2EE}</author>
    <author>tc={61C7C186-2190-4A86-A97B-03B6AD68CDE3}</author>
    <author>tc={5C83B8C6-6FB5-44D2-ABF5-F8754EA0E6F7}</author>
    <author>tc={97131ABD-24CD-47D2-824A-C532DFE8D05A}</author>
    <author>tc={F99808EF-791A-4E6C-A8C7-75ADB5CCC5E2}</author>
    <author>tc={F0CBA4B9-D12D-4869-B7B3-AA54528036B5}</author>
    <author>tc={59CB37AD-9967-40C7-AFCB-CAC6EFD36883}</author>
    <author>tc={EA1EA538-2FFD-4A0D-9439-439EF8763ADD}</author>
    <author>tc={7791B52E-B3BF-4160-9FBB-8CD96EAD37E0}</author>
    <author>tc={E7D27A21-D777-47A0-B20A-7BF333DE590D}</author>
    <author>tc={36816465-565D-4DF2-9629-79CC511D8455}</author>
    <author>tc={0862DAA4-BBC8-429C-860D-248473AEFB9E}</author>
    <author>tc={5144C093-3F58-490A-9477-41A2F611281D}</author>
    <author>tc={3769564D-1FE7-465F-AEDB-4EEA32A5F00E}</author>
    <author>tc={053BF350-B8A3-459D-B1B3-AD608C1E78A5}</author>
    <author>tc={A4E426F0-AFDA-44DA-A2EB-4611E6167C96}</author>
    <author>tc={3AC5806E-6B27-418E-8105-FFD830556613}</author>
    <author>tc={12216F8F-45C8-417A-A82B-35DF6A1BB1B7}</author>
    <author>tc={B8DD1AD6-E1A3-4EA2-82C4-02BCE1A236D9}</author>
    <author>tc={81C6FF73-48F2-4585-8156-B463C140DB74}</author>
    <author>tc={5647EA4A-7C0C-49D7-B24A-2FDEDB2BFDE0}</author>
    <author>tc={636ABDD9-E5DA-47D4-8BAC-B7D9AA34A0BF}</author>
    <author>tc={88BEF80B-B90F-4CC3-9D0C-94DCBB59B13B}</author>
    <author>tc={7F61CCAB-2C24-44DC-85D8-62AF57D4DA35}</author>
    <author>tc={51324848-DE90-4B55-9EA0-84C59B40E602}</author>
    <author>tc={B10B6FBF-FF76-4A09-82CB-F00B887B7353}</author>
    <author>tc={8086F4BE-0726-42EE-B3D7-BA7274E935B4}</author>
    <author>tc={5C97F4E5-B85E-40CC-AF13-6C0A43A299D1}</author>
    <author>tc={2DCC4C47-8D66-4E42-BAD2-63018D51BA63}</author>
    <author>tc={1191FB0E-8F23-443D-BC74-15E84878A915}</author>
    <author>tc={45169988-D716-47CC-879B-D4BCC235CA6B}</author>
    <author>tc={5379E1B1-D42D-4F60-A4B8-88104B37BB45}</author>
    <author>tc={CB3D5FE0-BA34-45AA-A348-2A315DD03B06}</author>
    <author>tc={3A5644F9-275A-4EF2-B274-50B90B6D19BE}</author>
    <author>tc={439670CE-D206-4275-BD03-CEF5F9B98E26}</author>
    <author>tc={1C0BA4D0-545D-42F7-90AD-755106A27FB4}</author>
    <author>tc={C377F6EB-E6A8-43FF-AF70-FDC2649B88D3}</author>
    <author>tc={342838E5-84BE-46AD-862A-9C6278EB6BA3}</author>
    <author>tc={7445ACE8-A67C-4412-A25F-51250A255F5C}</author>
    <author>tc={30BF21A1-A150-4A35-9EBE-F7D3B0B7D602}</author>
    <author>tc={BD336F1A-5520-476C-9DC6-FD64D816CA29}</author>
    <author>tc={1F65990F-B3AE-4240-BE08-2B20646E53C7}</author>
    <author>tc={11099DCC-A6AD-4E51-8B14-1AA6EC681034}</author>
    <author>tc={425A6759-FFFC-460B-BCAC-C5EF0136FBCB}</author>
    <author>tc={6B67C374-62F6-4BFF-9797-CD9A6733C280}</author>
    <author>tc={3C97F743-F0A3-45D3-9918-BEA75BC4CEF3}</author>
    <author>tc={206AF64A-6104-4740-BEFD-A7D236EE11EC}</author>
    <author>tc={EDCB9D80-A52B-434F-A381-2C66343C5BAA}</author>
    <author>tc={9D3D9BAE-156A-47FB-BCEA-812BA8CB2D7B}</author>
    <author>tc={CB3DD708-3FCF-4815-A394-86C57373447C}</author>
    <author>tc={18DA5682-3844-41C6-A551-057B63952363}</author>
    <author>tc={C31CC3F5-C59B-4CC0-8022-6FB558698C8D}</author>
    <author>tc={86CD4839-00E7-4626-9F39-D77A333FFF5B}</author>
    <author>tc={6211E8E4-966A-440E-A053-6471F2C7F450}</author>
    <author>tc={DB0ED128-DE7F-44A7-9247-DA19F86EC1F8}</author>
    <author>tc={DA9DFFA3-B7A1-433A-A222-2028F2481AFA}</author>
    <author>tc={FCC4444A-A4A8-4DEF-BA2A-EC5C8C0E402B}</author>
    <author>tc={D438742B-2B49-41C8-82BD-10F7E64B6D30}</author>
    <author>tc={C92F9C04-3080-46B0-A699-8EB5284F6268}</author>
    <author>tc={60C2DAD8-BDFE-4B71-9079-6B544677EF80}</author>
    <author>tc={730A521C-A403-4159-973C-8E1C3B765E16}</author>
    <author>tc={17BB649E-47F0-49AE-958D-B5B08B3F424C}</author>
    <author>tc={42374379-78D4-48F1-9088-36D0BE59A194}</author>
    <author>tc={E36814AD-1D2B-46CE-8E58-1A104BD4D6DB}</author>
    <author>tc={FE9FA046-590E-4156-B348-E7398F888786}</author>
    <author>tc={9B2C854B-723E-45C7-B94A-D4F2569519B7}</author>
    <author>tc={603B324B-3BF4-4FF0-A755-CB90EE3A1032}</author>
    <author>tc={F2355A14-240C-4F25-8717-9C338AD5BB20}</author>
    <author>tc={F90A897D-A67A-4CB3-97FF-31F7C7AAA622}</author>
    <author>tc={62F5CA12-5C17-4F51-8FF7-C57977C0AA3F}</author>
    <author>tc={3F50A67A-408D-4ECC-B24C-CD32D5A6BC13}</author>
    <author>tc={3E536B3C-ABF4-4617-9BF3-7EDFBE7E76AC}</author>
    <author>tc={71E16B7D-796A-4179-B13D-216B02946845}</author>
    <author>tc={24240AC6-8898-4B7A-9FFE-5299F740F10A}</author>
    <author>tc={D7E30368-78D2-442B-9159-04BC92F572A1}</author>
    <author>tc={A4DCE9AB-B2CA-4C9E-BB26-F7CE212DC3D0}</author>
    <author>tc={C0707407-64D9-4A70-8345-A396378D8A09}</author>
    <author>tc={9FA5EE76-B185-455A-9C7D-C11C329CB75C}</author>
    <author>tc={81EA52BF-6C7B-4C0C-92AD-0568F024435E}</author>
    <author>tc={99EAC1C8-17C6-431D-B2B3-87BDBEE6D76F}</author>
    <author>tc={B8AA877C-C4EA-4006-B0C5-4CFEEFE328AE}</author>
    <author>tc={B4AC35C7-BDA0-4270-973D-BD5FE6A1BFD3}</author>
    <author>tc={345C1C14-FFCC-49EC-ABDD-7FBD7D2EC09E}</author>
    <author>tc={F19C5C4F-A7C1-4123-A469-B63C06E9FFE3}</author>
    <author>tc={73548E5E-7FE8-480E-8A6B-2E212705216C}</author>
    <author>tc={DF5F66AF-BC6B-4CEF-8EEC-80CB54F64EDF}</author>
    <author>tc={AB60D477-3D2C-4F61-B941-0F008AF27C21}</author>
    <author>tc={1BEE5BC2-2B4A-4A16-94D8-BFB69DB4B120}</author>
    <author>tc={4784050D-497D-495A-8CC3-D8204B61F27C}</author>
    <author>tc={67720E8F-95BC-463A-8649-313706A2A7C1}</author>
    <author>tc={E6AA209D-B7F2-4463-8BEE-3B3AAAF2271D}</author>
    <author>tc={F9EA96B2-0C13-4EE2-BE02-E51D5B5EEC32}</author>
    <author>tc={F65DBBFA-DD39-45F1-840E-B83A1723121D}</author>
    <author>tc={D4AD075B-A1D9-4104-A9C5-C911EF19371B}</author>
    <author>tc={2B7064EE-8D6E-43FD-AF12-FEED45EE2AF7}</author>
    <author>tc={1B54A7EB-0A90-4689-9B8F-3D5F8A705259}</author>
    <author>tc={4105AB70-C4D9-4743-A795-B252ADBC973D}</author>
    <author>tc={47CED50E-98EE-4606-A50D-CD9631EAA89C}</author>
    <author>tc={25B5E43B-BACB-47F2-9542-6BACA207AB9A}</author>
    <author>tc={FC09DBEB-9BBA-460D-925F-893E7AB182D0}</author>
    <author>tc={74890A77-B381-41B5-ABB5-80AE2E93C886}</author>
    <author>tc={DCBE2CB9-0C63-4ACF-856C-B6DABA63F27E}</author>
    <author>tc={61EE1FBE-82E8-419F-BD5C-59E42AD71644}</author>
    <author>tc={64E9236C-05A7-43B4-8880-5625758EE8C4}</author>
    <author>tc={22795C9E-9FE7-4FE0-B4E2-E06D1275F7E8}</author>
    <author>tc={BD7575E4-87F2-4A8A-8D82-75BAB4D0025C}</author>
    <author>tc={0EC07815-2A3D-46F6-8BA5-D68D078D390C}</author>
    <author>tc={9119475C-F1E8-4F28-B24C-5C324672B9EF}</author>
    <author>tc={04A36DB6-94A3-4FC8-BF98-6A225312CFA7}</author>
    <author>tc={D6DDB58F-28C3-4836-A854-D29EF87DFF9C}</author>
    <author>tc={0E99C0E6-80B5-4130-9D33-DA36F213BEA0}</author>
    <author>tc={53B265C3-5BB1-4109-A36E-6586AA12C375}</author>
    <author>tc={74556520-FACC-42A6-8CC8-20E032247F7E}</author>
    <author>tc={39C1E3D0-A6A2-4ABA-807B-D8919DB0F17A}</author>
    <author>tc={EAC025FF-263B-491A-A676-ED655A595494}</author>
    <author>tc={1F5B2D17-5228-45DF-AD73-59EA4973369E}</author>
    <author>tc={E2458834-D1CE-4E20-B664-87CAE4899F74}</author>
    <author>tc={F2F94D0D-3668-4109-93BB-75A929E6B9FA}</author>
    <author>tc={250C4F81-BE2E-44A2-857D-63754E1C7122}</author>
    <author>tc={0925B41B-FDC7-4CF1-BD7B-F57CB4FC3CEE}</author>
    <author>tc={80199697-D373-422A-AD33-5EACFBD46391}</author>
    <author>tc={67A6BCB8-8253-4157-9B8D-267C9D6BD911}</author>
    <author>tc={9D476E18-EE12-4CE6-BD1B-03F27270EF08}</author>
    <author>tc={B8FC6FDF-99B5-4433-8497-EF3D117FF2EB}</author>
    <author>tc={9251F804-CB99-4583-8187-B76ADDEAA3D1}</author>
    <author>tc={EF849C4D-A723-4820-A22A-EB42037B307D}</author>
    <author>tc={0854EA35-B361-434A-8D2F-8AAFD6A98158}</author>
    <author>tc={6D824F80-44A2-4D87-9CC3-AAF5FC01791F}</author>
    <author>tc={7CC42021-26B8-48FC-8D90-D9736082901A}</author>
    <author>tc={938C6FED-7E55-497C-ADBC-4B9153E1703F}</author>
    <author>tc={AE9E1706-EF57-4A9B-8A81-4D33884AD0C0}</author>
    <author>tc={3968BC63-B8DF-480D-98DA-8335DA9F1354}</author>
    <author>tc={7F590351-04DC-4C4A-8474-C9D70E4AC53E}</author>
    <author>tc={138AB9DB-198E-4B85-9DD0-9E8733BBF4EF}</author>
    <author>tc={CC38629F-F842-4C8D-8C54-245198B2E8A3}</author>
    <author>tc={01C2173D-0D4E-49BB-9913-7F99BFCCFEE2}</author>
    <author>tc={D6BB6838-6BEB-4F3F-8364-6FF3B2941027}</author>
    <author>tc={25C19894-6A2C-4843-AEA7-BB8C0CA443A3}</author>
    <author>tc={D8691EB3-3F86-4FAC-B483-9B12D72F9135}</author>
    <author>tc={FD884F39-ED66-4D08-B182-763F80226D2B}</author>
    <author>tc={97F0CFBE-592F-4F44-8C93-55BC27DD3951}</author>
    <author>tc={0055A57A-1D19-408C-841A-D9ABAEE75BA5}</author>
    <author>tc={67CFCF81-DA28-4CFC-895B-66488617F465}</author>
    <author>tc={BA9EF324-D169-4D54-BF60-37A4666F8A68}</author>
    <author>tc={365DFC5D-931A-4EBB-B8FA-7A9F2E3EE146}</author>
    <author>tc={17BE36C3-51C6-4F9C-A31B-B25DC4C6D280}</author>
    <author>tc={D53D4BF3-ABCF-4A7B-8942-812D134F5CDA}</author>
    <author>tc={1B0301CA-75F1-4366-8388-88A9285B63AD}</author>
    <author>tc={CF53DC94-8C3D-4E16-8405-ABA406D221F7}</author>
    <author>tc={5E85A7EF-B4FA-447B-9DC6-A39D3460AE28}</author>
    <author>tc={FA5C66F8-B67F-4BA7-8F4C-C682239F1E46}</author>
    <author>tc={D4AE479C-7E58-4D10-9B76-0C5DA034B107}</author>
    <author>tc={B4819AA9-41C0-42EA-B438-A598CEB6D799}</author>
    <author>tc={A85CBBD6-00F1-44B1-9C2E-A0CF89B6FF5E}</author>
    <author>tc={C7759B5F-5214-4F61-BAD2-4C8ECCEF3C0E}</author>
    <author>tc={0852FE28-937B-467B-B850-4A4BF5F7E0CF}</author>
    <author>tc={86C5176A-2869-48EF-AD8C-D0B4450009BF}</author>
    <author>tc={D219739D-1D97-4B2D-B5F8-C8376DB0412B}</author>
    <author>tc={79676F65-A625-468F-977A-D0EA5438E6D3}</author>
    <author>tc={030F345A-BDC0-445D-80C9-EEECDB66954A}</author>
    <author>tc={180063B8-0474-409E-8FEE-3B2EDBB81D61}</author>
    <author>tc={460D6934-16D1-43FB-9B40-772047515417}</author>
    <author>tc={1FB2376A-853A-4098-ACA4-7452FFD6EAB6}</author>
    <author>tc={8E673330-FCBB-4B81-85DC-FD14EED833C9}</author>
    <author>tc={F59D5B51-24B0-416F-855C-1EF04B3E0D4E}</author>
    <author>tc={B6DCE354-FD79-4143-B81F-031F5BD2AFA3}</author>
    <author>tc={B4116F2C-4336-41D6-8400-F4B4D660C173}</author>
    <author>tc={3C3447CE-7428-4418-A683-F8C1CE30117C}</author>
    <author>tc={031C8062-2CC5-46BB-9242-709DA412FAC8}</author>
    <author>tc={284DA985-3564-401D-B6E7-97BD5212A0AB}</author>
    <author>tc={804B5F39-5731-4FC7-8FB5-F18789ADEB5E}</author>
    <author>tc={389F0972-785E-4344-97A2-01A7F852234B}</author>
    <author>tc={51E37FBB-DCEA-4173-821D-D4BCDE46AC1C}</author>
    <author>tc={D04EFB4E-6834-462F-B8DC-34BF44ED3692}</author>
    <author>tc={13C24ABA-2B78-482E-889D-7C4C49387856}</author>
    <author>tc={B1F89178-A60B-45B2-9E2A-2A34C8FE3B9B}</author>
    <author>tc={49B5E41E-DB19-46BA-BB98-73B1C8AB1680}</author>
    <author>tc={89357AFA-E46B-4CE9-90C2-763E8B93671A}</author>
    <author>tc={0E0DB7C7-805D-491F-89FC-93609DD43877}</author>
    <author>tc={54AF547E-2431-4847-BE4A-FC92D5E30F4B}</author>
    <author>tc={393AB687-2F52-4A36-80EE-AD18C4A9A20A}</author>
    <author>tc={39A19B8E-F3A7-4C15-ABA9-DA5C8704D1A4}</author>
    <author>tc={E083A203-5476-4C8B-BFDB-8487D7DB432C}</author>
    <author>tc={67E9FB1B-A490-4583-BFEC-18DA1F8509D4}</author>
    <author>tc={D773C3B4-A362-49C9-91DB-2A269F38D3E1}</author>
    <author>tc={D2ADE767-5A9E-432D-8BF7-FE4DD0730D02}</author>
    <author>tc={4F8D451B-F574-4E2F-B1FD-8BEBBC13AB8D}</author>
    <author>tc={6D3E62F7-9DD3-4711-B3C6-A2EB2DD0018C}</author>
    <author>tc={B5206752-B6D5-4B63-9946-F2C3BDDC1664}</author>
    <author>tc={3B3AE0FF-D506-4F1D-A0AF-99592391B359}</author>
    <author>tc={6A57BF05-EE75-423A-9F20-CB112C65E797}</author>
    <author>tc={9D00F4EC-8577-4A0C-9E67-8E9D8CB4AC34}</author>
    <author>tc={19087B5E-492C-4FEE-82EC-7B5B5819567E}</author>
    <author>tc={F20D3C04-5AD9-469B-92B0-F127BFBA52BC}</author>
    <author>tc={D1338866-D5C8-4066-A9C7-67EEA40F0C97}</author>
    <author>tc={9DBCD34B-1655-4B5A-B34F-265CDBB3E672}</author>
    <author>tc={BC9B42C6-2C06-4BBF-B876-20D90A10D5FC}</author>
    <author>tc={7FE7F3EB-2981-4B3F-B0B5-D85BD3AB7594}</author>
    <author>tc={899589E2-5062-4D52-9B51-D6733669651F}</author>
    <author>tc={DF4C1009-B4F6-4FFA-853E-47DE801895A9}</author>
    <author>tc={3F0845AD-2117-4ED0-8CAA-7D743DBCEADD}</author>
    <author>tc={65A5B9E8-2E18-427F-8512-FB39B0CCFC1C}</author>
    <author>tc={1524CCAF-52C2-4399-8CD7-FC3D49CED5C7}</author>
    <author>tc={716424BA-ACF6-4FBA-AFF1-F6718BB36D4B}</author>
    <author>tc={27BFF3D2-B660-4CB0-9019-0D76511BBA41}</author>
    <author>tc={90DEFB48-108D-47E5-9DA6-6D2CDB49A0DE}</author>
    <author>tc={69176E4C-DA99-48A7-9B49-BBD423EE7779}</author>
    <author>tc={201CA68F-AD78-4B00-8560-1D427A04AC19}</author>
    <author>tc={5A4AF37B-0982-40A7-AB48-6DC16F94AFB1}</author>
    <author>tc={06463FED-2AD4-43FB-9C67-11B86EE35D27}</author>
    <author>tc={AF017766-3680-474A-875B-A5D1D910C189}</author>
    <author>tc={0CDFA5F2-B3CE-4CAC-9C0D-0657E3A9FFBB}</author>
    <author>tc={6DFBF0F2-A29C-4BE8-A3B8-B24A46CD0824}</author>
    <author>tc={2C7D567F-A88F-4688-A385-2D521593EE9C}</author>
    <author>tc={3FAE48E3-6B52-4714-8B55-9BEE35E8F990}</author>
    <author>tc={14FEDDEE-0CD1-4EDF-9B44-886883C0D6CA}</author>
    <author>tc={F95731C3-584C-4309-9EBC-B876214B6D8D}</author>
    <author>tc={5AD41844-87CD-46CD-805E-22BFE14DDAE2}</author>
    <author>tc={234D39BA-A5C7-44F9-BF29-7B1164415E4F}</author>
    <author>tc={FAFE74E9-4E15-4C9F-BFAD-BB35F94E3153}</author>
    <author>tc={B42F5C48-F90A-4B3B-BEDB-4523611BD63B}</author>
    <author>tc={5A62825D-48D8-41BD-AC14-9DE15AD71CF7}</author>
    <author>tc={B225D388-5797-4FC9-9C08-941D2D6C593A}</author>
    <author>tc={A3F20CF1-137C-430A-8BBD-2DD67B8E9969}</author>
    <author>tc={A68641F8-E9C0-45BA-8107-AEC87C318941}</author>
    <author>tc={8A326791-4971-4577-997E-3DED0593A113}</author>
    <author>tc={25160D74-701E-47A3-9035-2977688610A3}</author>
    <author>tc={C3955252-0105-4D9D-9943-BAF71670593C}</author>
    <author>tc={A65D056B-1471-4AEE-961D-9EDA474E4237}</author>
    <author>tc={A2E65167-9CDF-4014-B928-7BE659F059E9}</author>
    <author>tc={B8E11001-4995-483D-B7A4-D5DDB1A8C389}</author>
    <author>tc={AB5C95A2-7708-47A4-8430-A2CF640AB6CD}</author>
    <author>tc={41A93B69-5C34-4A00-A6F6-E0FD57FFA4BB}</author>
    <author>tc={67F4AAAA-99A3-4BCB-B976-6B88B1F139BC}</author>
    <author>tc={2F799752-3429-4CC3-BD56-1B6CE0F53413}</author>
    <author>tc={24F2A019-601A-4A63-97DD-C77EBA53CACA}</author>
    <author>tc={52436A38-F526-4FF5-B87F-AE3A248F03E9}</author>
    <author>tc={BAF78AEB-2600-4025-A7E6-E87E51858883}</author>
    <author>tc={C816D702-9C8A-44E0-A69B-F46B0B36812A}</author>
    <author>tc={D509278E-AB75-4BC5-9EF4-D1FD290ADAC1}</author>
    <author>tc={057A3B5B-47DB-4341-8E4C-A3BB3D2CDFC2}</author>
    <author>tc={A11B46AF-2946-4E4B-9BAE-7D26CB364719}</author>
    <author>tc={46F8E214-DA02-4E7C-A7F0-871A05C2BCC5}</author>
    <author>tc={818B7D5A-2062-41B6-8183-EB1FDD2C0354}</author>
    <author>tc={C45D802C-59AB-4132-A50C-7C964AAA5967}</author>
    <author>tc={06B097A0-93A3-4A86-8015-F85C061B8116}</author>
    <author>tc={4FE36B20-0BB6-4A49-9657-D182002E0090}</author>
    <author>tc={FDD63CE8-2B0C-4731-BF50-0CEB1A3213F4}</author>
    <author>tc={1F9A4896-F383-4AE6-8EA7-EF0C46FFE55D}</author>
    <author>tc={FB93AC26-283D-42BD-A187-674716B449EB}</author>
    <author>tc={E2C0AEF0-0701-42BF-A03A-C6B7D74A1F79}</author>
    <author>tc={BF80DD84-23D9-49DB-A3AA-536FF7B85DB7}</author>
    <author>tc={2235BEA6-741D-4798-BF9D-88DE11E9EB9C}</author>
    <author>tc={4C0E8544-3CA1-4AA8-AFA2-530412E57697}</author>
    <author>tc={6A540680-5166-4B92-88A2-8F1E9A5730A7}</author>
    <author>tc={A6CDE1BF-5350-45FF-9256-5A9BBF86C542}</author>
    <author>tc={9A5C5F95-A1B6-45E6-BA54-029CE6B0037F}</author>
    <author>tc={E0A7D739-0970-4B8C-B647-8B7FEFC06384}</author>
    <author>tc={72CB7386-EF5B-4C97-B498-0AB4D097DAC0}</author>
    <author>tc={0F2740D4-0076-4FA5-B6C8-CD64FE39CEF9}</author>
    <author>tc={5B3FC4A6-9A44-45E8-8BD8-1113A5AFB0AF}</author>
    <author>tc={35E25338-E47B-4940-AAC3-150FCAE0FE63}</author>
    <author>tc={5A7EC9D4-E079-4D5A-9B94-552C51912769}</author>
    <author>tc={18CB1ACE-5006-44B8-98F1-2174BC1613C0}</author>
    <author>tc={5886D45C-31BA-4942-8C3B-2E6B162F9B66}</author>
    <author>tc={398ADE25-266E-4081-80EC-2EFC6D2D5B88}</author>
    <author>tc={B98D4B66-6785-4ED2-B6BC-6C1A15069A91}</author>
    <author>tc={4CAAC870-677F-4AAD-A987-102E59D081CD}</author>
    <author>tc={8EB4E144-35A2-4B9C-A4E6-27988BD9B1BD}</author>
    <author>tc={9FDC09F4-1929-4D10-96D0-33B58E20AC36}</author>
    <author>tc={AB176A09-F579-4DC5-8B9A-FD998C86FB29}</author>
    <author>tc={3C532729-E13C-4AA4-B4C8-DDE6156A29E2}</author>
    <author>tc={A403AB61-09BC-4AA1-A467-8DE5A8436B88}</author>
    <author>tc={1DF6BE05-0EB8-444F-8377-3EDA914B7E0D}</author>
    <author>tc={D2A18276-2965-4FCD-BB06-1A3BEEDEEF3E}</author>
    <author>tc={07581A49-F954-4537-9BCE-E1D17E2F6FBB}</author>
    <author>tc={54AFB5F7-E6C9-4BE5-8198-123EC4675D2F}</author>
    <author>tc={87511CFF-99C5-4999-9B34-3C0A7D265AAD}</author>
    <author>tc={5852F848-C3F1-4275-9BCE-EED26AB1635C}</author>
    <author>tc={870D2962-DDE2-4286-A253-56DCC83D1AAF}</author>
    <author>tc={14F3FA63-67BA-46E0-B205-5DB48E2791D1}</author>
    <author>tc={05C1FE86-2DE9-4630-B8F5-AEF038EC5571}</author>
    <author>tc={6D903F1C-631A-44A1-AFD5-1871BDDF4162}</author>
    <author>tc={16F6C248-2334-4A9A-846F-5A42F738519D}</author>
    <author>tc={A76A8454-9A65-43BF-95EE-7BFC76BC7D95}</author>
    <author>tc={35C9FAC5-F540-43A2-B0AA-6D545C22FA4A}</author>
    <author>tc={7F4998FE-7390-4F60-AD9A-79D2AEFD1CF2}</author>
    <author>tc={1A9A198F-1A18-4D88-A51F-35B0E0D34FC5}</author>
    <author>tc={6AA37B52-D7A9-478A-BCE8-18A7C670A751}</author>
    <author>tc={07341363-7B3C-46D7-96C2-9F9B7894986C}</author>
    <author>tc={61EB3558-18C0-4F2D-90E4-4C52CB699744}</author>
    <author>tc={5D8B7BF9-1171-4138-BE89-2DFB98490B43}</author>
    <author>tc={2174FAE1-B906-4E20-95C6-E6E5343422C6}</author>
    <author>tc={E7ED62C8-734A-43A9-8E56-F736A2911BF6}</author>
    <author>tc={9D9C29B5-AF17-4C64-8177-4BDA35DD6C02}</author>
    <author>tc={685ED2A9-238D-47C6-92E6-3BB37E08CA21}</author>
    <author>tc={8A48C4D9-7BD9-4A97-A86F-6656268B1B60}</author>
    <author>tc={798AE87E-F95E-4829-8B66-817DD4FA1DAE}</author>
    <author>tc={90681CEA-BC47-4561-B5FA-1E672DAE282A}</author>
    <author>tc={3003300B-2BAC-4540-81A4-A96BFDA90C39}</author>
    <author>tc={E2DCDBBC-7A8B-45B6-AE94-FF3A7B189BE6}</author>
    <author>tc={96ADCDC1-3D6D-4AC6-8662-913F4598A0E9}</author>
    <author>tc={4273CA5C-25D3-4002-A656-0A2AAB1E14F7}</author>
    <author>tc={FBCC33EC-FA7C-4FB2-BF06-EC4A77F1973A}</author>
    <author>tc={12577716-184D-4B21-9567-E5B58533A9B7}</author>
    <author>tc={EE4F4FA7-A51D-445A-A320-91603F175E78}</author>
    <author>tc={9C1F7B8C-2707-48A3-A61C-22EF56F2EF58}</author>
    <author>tc={B52F1448-FF57-4972-AAA8-8F4CB0238E99}</author>
    <author>tc={DA9ED95F-10B6-4F0E-AE1D-A358C31F93F5}</author>
    <author>tc={B7B25C62-B39B-4CD1-B4EB-30774167AAA1}</author>
    <author>tc={C760CFE5-4FCF-4BE3-9B28-4FF35CBBC9C2}</author>
    <author>tc={F035B9A2-5BAA-492D-8324-91B23746B456}</author>
    <author>tc={AD6ABAD5-6F27-4F0C-AC8E-0B4E9030DD21}</author>
    <author>tc={88C5EE04-772F-4485-8EA4-203CA32E24E4}</author>
    <author>tc={31B09722-508A-4BBA-B43B-A4FA2F86D886}</author>
    <author>tc={15D18BB3-4D8C-4943-BB00-CD54DD8F2424}</author>
    <author>tc={4D288ACA-1963-4BCD-8941-CA4CD84894CD}</author>
    <author>tc={1622E6AC-4FED-4D5D-B80D-E0F53290D729}</author>
    <author>tc={20022E32-EB80-4388-BBAD-0433338E2920}</author>
    <author>tc={909D0D3F-B51C-4778-826A-4357CC143360}</author>
    <author>tc={A399C9CD-0D1A-4CF8-940F-21F866A3A0BA}</author>
    <author>tc={B9088731-3782-40FD-ACF0-641A4090F158}</author>
    <author>tc={312AFCF2-AB96-4AD2-93FB-0192C5F64F23}</author>
    <author>tc={E49B4D8C-DA37-4E5C-A353-5CD51FC85D38}</author>
    <author>tc={A1766771-2775-4945-A7A6-CB951F8750E5}</author>
    <author>tc={AF6A9AA0-E436-47AC-87D4-E4623A92D1A9}</author>
    <author>tc={BE39D1BF-2C54-4D81-A537-4357C06370EF}</author>
    <author>tc={F5F24689-FCD8-4CE5-BDC4-3A5C8866BC89}</author>
    <author>tc={DFF46E57-1EDC-4BB1-949F-E84B83DF582C}</author>
    <author>tc={53194F2B-9AD5-469C-9CFB-CA9448BF6FD6}</author>
    <author>tc={CFB5E8FD-31D9-4A08-8D90-B5F996DF9C49}</author>
    <author>tc={23F153E7-705A-43BD-8EA3-48B4B5A8349D}</author>
    <author>tc={FCA07594-4F76-46D1-9C03-B51F4456F0FB}</author>
    <author>tc={468E1293-7155-48C5-8858-5A95C667DE8F}</author>
    <author>tc={36D2C4C2-45E7-496F-A8F3-A6643E1A7774}</author>
    <author>tc={F1CE2D79-5E9B-4F00-AFE8-F5AB90DE55C5}</author>
    <author>tc={F22E37BA-FE8C-41E3-B9F0-1DFB346B802A}</author>
    <author>tc={7E38B830-68B5-4F20-800D-1D0201D62441}</author>
    <author>tc={862CF1FF-9A77-43D5-975D-E46BAF926254}</author>
    <author>tc={ED40BE04-0C72-43A9-8DBE-80E31B3C3E3E}</author>
    <author>tc={747F6176-EA43-4C5A-B26E-0F6166E89CB0}</author>
    <author>tc={C734BF45-7AC3-4EC6-9A19-BBB3D85B144E}</author>
    <author>tc={B7C9A6C9-BF5B-493C-ADD3-CB4EDA1782F8}</author>
    <author>tc={03A8BD89-A96E-4F89-A487-E283D9E4DB8F}</author>
    <author>tc={D1371AD6-0CF2-4D65-B6F3-2DC21937D794}</author>
  </authors>
  <commentList>
    <comment ref="DB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ptit dej escroc</t>
        </r>
      </text>
    </comment>
    <comment ref="EN7"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pres de la plage</t>
        </r>
      </text>
    </comment>
    <comment ref="EO7"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pres de la plage</t>
        </r>
      </text>
    </comment>
    <comment ref="FA7"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ptit dej sur la plage</t>
        </r>
      </text>
    </comment>
    <comment ref="AF8"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tortue</t>
        </r>
      </text>
    </comment>
    <comment ref="AJ8"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saumon</t>
        </r>
      </text>
    </comment>
    <comment ref="AT8"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sushi</t>
        </r>
      </text>
    </comment>
    <comment ref="AX8"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pizza</t>
        </r>
      </text>
    </comment>
    <comment ref="BD8"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canard roti</t>
        </r>
      </text>
    </comment>
    <comment ref="BF8"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t>
        </r>
      </text>
    </comment>
    <comment ref="BT8"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 Bia grillades</t>
        </r>
      </text>
    </comment>
    <comment ref="BZ8"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porcelet</t>
        </r>
      </text>
    </comment>
    <comment ref="CA8"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Chaca a domicile</t>
        </r>
      </text>
    </comment>
    <comment ref="CB8"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 Ga 36</t>
        </r>
      </text>
    </comment>
    <comment ref="CM8"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Hanoi a cote de Flat 3</t>
        </r>
      </text>
    </comment>
    <comment ref="CO8"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UT</t>
        </r>
      </text>
    </comment>
    <comment ref="CY8"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Hamburger, beaucoup trop cher</t>
        </r>
      </text>
    </comment>
    <comment ref="CZ8"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 Noi</t>
        </r>
      </text>
    </comment>
    <comment ref="DB8"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à 4 Tam Dao, avec Mr Ha et THUI</t>
        </r>
      </text>
    </comment>
    <comment ref="DE8"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sushi</t>
        </r>
      </text>
    </comment>
    <comment ref="DJ8"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canard</t>
        </r>
      </text>
    </comment>
    <comment ref="DO8"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Dao a domicile</t>
        </r>
      </text>
    </comment>
    <comment ref="DP8"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 noi le lac</t>
        </r>
      </text>
    </comment>
    <comment ref="DV8"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a domicile</t>
        </r>
      </text>
    </comment>
    <comment ref="DY8"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involontaire</t>
        </r>
      </text>
    </comment>
    <comment ref="DZ8"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porcelet grillé</t>
        </r>
      </text>
    </comment>
    <comment ref="EB8"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sushi a domicile</t>
        </r>
      </text>
    </comment>
    <comment ref="EG8"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Dao Ho Ba Mau</t>
        </r>
      </text>
    </comment>
    <comment ref="EN8"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Luyen bord de mer merveilleux</t>
        </r>
      </text>
    </comment>
    <comment ref="EO8"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Bang Mi Mme Quang</t>
        </r>
      </text>
    </comment>
    <comment ref="EP8" authorId="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 Noi at home</t>
        </r>
      </text>
    </comment>
    <comment ref="EZ8" authorId="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depuis la coiffeuse de Hoa</t>
        </r>
      </text>
    </comment>
    <comment ref="FA8" authorId="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sur la plage fdm</t>
        </r>
      </text>
    </comment>
    <comment ref="FB8" authorId="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dej merdique poulet</t>
        </r>
      </text>
    </comment>
    <comment ref="FC8" authorId="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sur la plage fdm</t>
        </r>
      </text>
    </comment>
    <comment ref="FE8" authorId="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D4APPOINT</t>
        </r>
      </text>
    </comment>
    <comment ref="FF8" authorId="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A DOMICILE</t>
        </r>
      </text>
    </comment>
    <comment ref="FM8" authorId="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at home</t>
        </r>
      </text>
    </comment>
    <comment ref="FP8" authorId="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SQUID bof</t>
        </r>
      </text>
    </comment>
    <comment ref="FR8" authorId="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Cha excellent</t>
        </r>
      </text>
    </comment>
    <comment ref="FT8" authorId="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t>
        </r>
      </text>
    </comment>
    <comment ref="FU8" authorId="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 fruit de mer</t>
        </r>
      </text>
    </comment>
    <comment ref="FV8" authorId="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Banh Mi cassolette !</t>
        </r>
      </text>
    </comment>
    <comment ref="FZ8" authorId="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t>
        </r>
      </text>
    </comment>
    <comment ref="GB8" authorId="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at home</t>
        </r>
      </text>
    </comment>
    <comment ref="GC8" authorId="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fruit de mer</t>
        </r>
      </text>
    </comment>
    <comment ref="GE8" authorId="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Cha</t>
        </r>
      </text>
    </comment>
    <comment ref="GF8" authorId="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SOLOHoa est allée voir sa mere</t>
        </r>
      </text>
    </comment>
    <comment ref="GG8" authorId="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Hoa 62 Hang Buom</t>
        </r>
      </text>
    </comment>
    <comment ref="GI8" authorId="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a domicile</t>
        </r>
      </text>
    </comment>
    <comment ref="GJ8" authorId="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Tuan hopital + Hoa</t>
        </r>
      </text>
    </comment>
    <comment ref="GL8" authorId="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tortue et repas avec Tuan</t>
        </r>
      </text>
    </comment>
    <comment ref="GZ8" authorId="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restaurant avec belle vue</t>
        </r>
      </text>
    </comment>
    <comment ref="HA8" authorId="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saumon vivant restau belvedere</t>
        </r>
      </text>
    </comment>
    <comment ref="HB8" authorId="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marché SAPA</t>
        </r>
      </text>
    </comment>
    <comment ref="HE8" authorId="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Hoa</t>
        </r>
      </text>
    </comment>
    <comment ref="HF8" authorId="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Coréen Hoa, Thu, Huong</t>
        </r>
      </text>
    </comment>
    <comment ref="HG8" authorId="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t>
        </r>
      </text>
    </comment>
    <comment ref="CA9" authorId="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I9" authorId="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SAUCISSE</t>
        </r>
      </text>
    </comment>
    <comment ref="CJ9" authorId="6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K9" authorId="6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L9" authorId="6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canard street food a cote des glaces</t>
        </r>
      </text>
    </comment>
    <comment ref="CM9" authorId="6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CP9" authorId="6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Q9" authorId="6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 Liet 'buffet''</t>
        </r>
      </text>
    </comment>
    <comment ref="CR9" authorId="6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poisson pres de din liet</t>
        </r>
      </text>
    </comment>
    <comment ref="CT9" authorId="6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t>
        </r>
      </text>
    </comment>
    <comment ref="CU9" authorId="6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Y9" authorId="6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Bar avec Sam</t>
        </r>
      </text>
    </comment>
    <comment ref="DA9" authorId="7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à 4 Tam Dao, avec Mr Ha et THUI</t>
        </r>
      </text>
    </comment>
    <comment ref="DC9" authorId="7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DD9" authorId="7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 dans la rue</t>
        </r>
      </text>
    </comment>
    <comment ref="DE9" authorId="7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 solo apres clash</t>
        </r>
      </text>
    </comment>
    <comment ref="DG9" authorId="7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familial</t>
        </r>
      </text>
    </comment>
    <comment ref="DH9" authorId="7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familial</t>
        </r>
      </text>
    </comment>
    <comment ref="DJ9" authorId="7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DL9" authorId="7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de fruit de mer</t>
        </r>
      </text>
    </comment>
    <comment ref="DM9" authorId="7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famille Hoa 9 personnes</t>
        </r>
      </text>
    </comment>
    <comment ref="DN9" authorId="7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poisson</t>
        </r>
      </text>
    </comment>
    <comment ref="DO9" authorId="8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fried noodles</t>
        </r>
      </text>
    </comment>
    <comment ref="DP9" authorId="8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chez Paul le hollnadais, plus que Bof</t>
        </r>
      </text>
    </comment>
    <comment ref="DQ9" authorId="8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de fruit de mer solo</t>
        </r>
      </text>
    </comment>
    <comment ref="DT9" authorId="8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DU9" authorId="8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fried noodles</t>
        </r>
      </text>
    </comment>
    <comment ref="DV9" authorId="8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rue</t>
        </r>
      </text>
    </comment>
    <comment ref="DW9" authorId="8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poisson Dinh Liet</t>
        </r>
      </text>
    </comment>
    <comment ref="DZ9" authorId="8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pizza</t>
        </r>
      </text>
    </comment>
    <comment ref="EB9" authorId="8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 chinois street</t>
        </r>
      </text>
    </comment>
    <comment ref="EE9" authorId="8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 de mer et ban me poisson poulet ! ! !</t>
        </r>
      </text>
    </comment>
    <comment ref="EF9" authorId="9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 at Spa</t>
        </r>
      </text>
    </comment>
    <comment ref="EG9" authorId="9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EH9" authorId="9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EI9" authorId="9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EJ9" authorId="9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t>
        </r>
      </text>
    </comment>
    <comment ref="EK9" authorId="9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EM9" authorId="9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Cao Lau</t>
        </r>
      </text>
    </comment>
    <comment ref="EN9" authorId="9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Cao Lau et Banh Mi</t>
        </r>
      </text>
    </comment>
    <comment ref="EP9" authorId="9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du soir</t>
        </r>
      </text>
    </comment>
    <comment ref="EQ9" authorId="9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je ne sais pas</t>
        </r>
      </text>
    </comment>
    <comment ref="ER9" authorId="10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avec Tuan</t>
        </r>
      </text>
    </comment>
    <comment ref="ES9" authorId="10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Banh Mi 75 et jus 40</t>
        </r>
      </text>
    </comment>
    <comment ref="EV9" authorId="10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3 copines</t>
        </r>
      </text>
    </comment>
    <comment ref="EX9" authorId="10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fish Dinh Liet</t>
        </r>
      </text>
    </comment>
    <comment ref="EZ9" authorId="10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B9" authorId="10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 a cote du fleuve et mer</t>
        </r>
      </text>
    </comment>
    <comment ref="FC9" authorId="10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 bord du lac</t>
        </r>
      </text>
    </comment>
    <comment ref="FD9" authorId="10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E9" authorId="10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I9" authorId="10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dry noodles</t>
        </r>
      </text>
    </comment>
    <comment ref="FJ9" authorId="1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L9" authorId="1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fish Dinh Liet</t>
        </r>
      </text>
    </comment>
    <comment ref="FM9" authorId="1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Ut et Ba</t>
        </r>
      </text>
    </comment>
    <comment ref="FN9" authorId="1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P9" authorId="1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FQ9" authorId="1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FS9" authorId="1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pizza</t>
        </r>
      </text>
    </comment>
    <comment ref="FW9" authorId="1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homard Hoa et sui cao Paul</t>
        </r>
      </text>
    </comment>
    <comment ref="FY9" authorId="1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fish Dinh Liet</t>
        </r>
      </text>
    </comment>
    <comment ref="FZ9" authorId="1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GA9" authorId="1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GB9" authorId="1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dry noodles</t>
        </r>
      </text>
    </comment>
    <comment ref="GC9" authorId="1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porridge</t>
        </r>
      </text>
    </comment>
    <comment ref="GE9" authorId="1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 Mi</t>
        </r>
      </text>
    </comment>
    <comment ref="GF9" authorId="1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oysters</t>
        </r>
      </text>
    </comment>
    <comment ref="GH9" authorId="1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chipirons et porc</t>
        </r>
      </text>
    </comment>
    <comment ref="GI9" authorId="1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GJ9" authorId="1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soupe de crabe</t>
        </r>
      </text>
    </comment>
    <comment ref="GP9" authorId="1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dry noodle</t>
        </r>
      </text>
    </comment>
    <comment ref="GS9" authorId="1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sea food street</t>
        </r>
      </text>
    </comment>
    <comment ref="GU9" authorId="1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GX9" authorId="1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GY9" authorId="1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Hot Pot saumon a l'homestay</t>
        </r>
      </text>
    </comment>
    <comment ref="GZ9" authorId="1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a  l'homestay</t>
        </r>
      </text>
    </comment>
    <comment ref="HA9" authorId="1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BBQ sous bache (pluie) à SAPA</t>
        </r>
      </text>
    </comment>
    <comment ref="HC9" authorId="1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HD9" authorId="1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HE9" authorId="1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street sea food</t>
        </r>
      </text>
    </comment>
    <comment ref="HF9" authorId="1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BN10" authorId="1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Cha</t>
        </r>
      </text>
    </comment>
    <comment ref="BO10" authorId="1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 au curry</t>
        </r>
      </text>
    </comment>
    <comment ref="BV10" authorId="1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viande croustillante</t>
        </r>
      </text>
    </comment>
    <comment ref="BY10" authorId="1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viande croustillante</t>
        </r>
      </text>
    </comment>
    <comment ref="ER10" authorId="1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boissons enfants de Tuan</t>
        </r>
      </text>
    </comment>
    <comment ref="FJ10" authorId="1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beignets</t>
        </r>
      </text>
    </comment>
    <comment ref="FR10" authorId="1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glace Hoa</t>
        </r>
      </text>
    </comment>
    <comment ref="BL11" authorId="1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vinades pour countryside</t>
        </r>
      </text>
    </comment>
    <comment ref="CH11" authorId="1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quids</t>
        </r>
      </text>
    </comment>
    <comment ref="DL11" authorId="1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citrons pour fin de soiree</t>
        </r>
      </text>
    </comment>
    <comment ref="EB11" authorId="1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ginseng un seul achat !</t>
        </r>
      </text>
    </comment>
    <comment ref="EN11" authorId="1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EQ11" authorId="1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marché anniversaire</t>
        </r>
      </text>
    </comment>
    <comment ref="FL11" authorId="1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Thui et Mr Ha</t>
        </r>
      </text>
    </comment>
    <comment ref="FO11" authorId="1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D4APPOINT</t>
        </r>
      </text>
    </comment>
    <comment ref="FP11" authorId="1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pharmacie Hoa</t>
        </r>
      </text>
    </comment>
    <comment ref="FW11" authorId="1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huitres 5douzianes epluchées pour 75</t>
        </r>
      </text>
    </comment>
    <comment ref="GD11" authorId="1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marché dont lessive</t>
        </r>
      </text>
    </comment>
    <comment ref="GM11" authorId="1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poulpe et autres</t>
        </r>
      </text>
    </comment>
    <comment ref="GN11" authorId="1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saumon</t>
        </r>
      </text>
    </comment>
    <comment ref="GX11" authorId="1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marché Hoa remboursement</t>
        </r>
      </text>
    </comment>
    <comment ref="HB11" authorId="16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esturgeon 220 dongs p kilo</t>
        </r>
      </text>
    </comment>
    <comment ref="H12" authorId="16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glaces</t>
        </r>
      </text>
    </comment>
    <comment ref="M12" authorId="16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jus chez Ut</t>
        </r>
      </text>
    </comment>
    <comment ref="EB12" authorId="16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café fils de Hoa</t>
        </r>
      </text>
    </comment>
    <comment ref="EL12" authorId="16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jus Luyen</t>
        </r>
      </text>
    </comment>
    <comment ref="EM12" authorId="16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jus avec Luyen</t>
        </r>
      </text>
    </comment>
    <comment ref="EN12" authorId="16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café Luyen et café Pub anglais</t>
        </r>
      </text>
    </comment>
    <comment ref="EO12" authorId="16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Jus Luyen et biere 50 aeroport Danang !</t>
        </r>
      </text>
    </comment>
    <comment ref="FG12" authorId="16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YAOURT POUR 6</t>
        </r>
      </text>
    </comment>
    <comment ref="FP12" authorId="16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yaourt avec Thu</t>
        </r>
      </text>
    </comment>
    <comment ref="FQ12" authorId="17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yaourt</t>
        </r>
      </text>
    </comment>
    <comment ref="GE12" authorId="17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t>
        </r>
      </text>
    </comment>
    <comment ref="N13" authorId="17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W</t>
        </r>
      </text>
    </comment>
    <comment ref="CN13" authorId="17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whisky Jin Beam</t>
        </r>
      </text>
    </comment>
    <comment ref="CU13" authorId="17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Bar anniversaire Paul le Hollandais</t>
        </r>
      </text>
    </comment>
    <comment ref="DE13" authorId="17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Bar avec Alex</t>
        </r>
      </text>
    </comment>
    <comment ref="DO13" authorId="17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les 3 Paul</t>
        </r>
      </text>
    </comment>
    <comment ref="DP13" authorId="17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4 whisky chez Paul le hollandais</t>
        </r>
      </text>
    </comment>
    <comment ref="DT13" authorId="17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bieres et vodka</t>
        </r>
      </text>
    </comment>
    <comment ref="DX13" authorId="17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alexavant Sapa</t>
        </r>
      </text>
    </comment>
    <comment ref="EP13" authorId="18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W avec Paul le Hollandais, suite a conversation dechirante avec Maman</t>
        </r>
      </text>
    </comment>
    <comment ref="ER13" authorId="18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biere Tuan chez Paul</t>
        </r>
      </text>
    </comment>
    <comment ref="EY13" authorId="18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chipirons avec Paul</t>
        </r>
      </text>
    </comment>
    <comment ref="FD13" authorId="18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Paul</t>
        </r>
      </text>
    </comment>
    <comment ref="FE13" authorId="18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Paul</t>
        </r>
      </text>
    </comment>
    <comment ref="FM13" authorId="18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chez Paul et oubli 200 et V 110</t>
        </r>
      </text>
    </comment>
    <comment ref="FQ13" authorId="18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5 W</t>
        </r>
      </text>
    </comment>
    <comment ref="FX13" authorId="18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whisky chez Paul quand Hoa estb avec les 3 policiers</t>
        </r>
      </text>
    </comment>
    <comment ref="GE13" authorId="18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W Paul</t>
        </r>
      </text>
    </comment>
    <comment ref="HB13" authorId="18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 20 + 100 a payer</t>
        </r>
      </text>
    </comment>
    <comment ref="E14" authorId="19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H14" authorId="19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cig</t>
        </r>
      </text>
    </comment>
    <comment ref="J14" authorId="19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cig</t>
        </r>
      </text>
    </comment>
    <comment ref="Z14" authorId="19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cig 30</t>
        </r>
      </text>
    </comment>
    <comment ref="BP14" authorId="19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ET14" authorId="19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FH14" authorId="19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FM14" authorId="19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 110</t>
        </r>
      </text>
    </comment>
    <comment ref="FS14" authorId="19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 110</t>
        </r>
      </text>
    </comment>
    <comment ref="FW14" authorId="19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GA14" authorId="20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GD14" authorId="20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GI14" authorId="20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GO14" authorId="20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AF15" authorId="20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 mardi et mercredi en flat 2</t>
        </r>
      </text>
    </comment>
    <comment ref="S16" authorId="20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80 essence</t>
        </r>
      </text>
    </comment>
    <comment ref="BP16" authorId="20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reparation scooter</t>
        </r>
      </text>
    </comment>
    <comment ref="CH16" authorId="20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 key gay boy</t>
        </r>
      </text>
    </comment>
    <comment ref="CK16" authorId="20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L16" authorId="20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N16" authorId="2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R16" authorId="2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S16" authorId="2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DO16" authorId="2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DP16" authorId="2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DT16" authorId="2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 CLES</t>
        </r>
      </text>
    </comment>
    <comment ref="EB16" authorId="2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EC16" authorId="2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EI16" authorId="2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EL16" authorId="2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100 de loc moto</t>
        </r>
      </text>
    </comment>
    <comment ref="EM16" authorId="2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 loc 100</t>
        </r>
      </text>
    </comment>
    <comment ref="EN16" authorId="2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 loc 100</t>
        </r>
      </text>
    </comment>
    <comment ref="EX16" authorId="2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A/R clé</t>
        </r>
      </text>
    </comment>
    <comment ref="EZ16" authorId="2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et grab Hoa pour moi</t>
        </r>
      </text>
    </comment>
    <comment ref="FE16" authorId="2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 oubli sac</t>
        </r>
      </text>
    </comment>
    <comment ref="FH16" authorId="2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40 et essence scoot</t>
        </r>
      </text>
    </comment>
    <comment ref="FS16" authorId="2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et essence</t>
        </r>
      </text>
    </comment>
    <comment ref="FT16" authorId="2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GQ16" authorId="2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essence 60</t>
        </r>
      </text>
    </comment>
    <comment ref="GR16" authorId="2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ECHANGE DE CL2S 100 ! ! !</t>
        </r>
      </text>
    </comment>
    <comment ref="HF16" authorId="2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Thuyen</t>
        </r>
      </text>
    </comment>
    <comment ref="F17" authorId="2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50 pedicure 150</t>
        </r>
      </text>
    </comment>
    <comment ref="K17" authorId="2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journée centre d'examen permis de conduire</t>
        </r>
      </text>
    </comment>
    <comment ref="M17" authorId="2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Hang</t>
        </r>
      </text>
    </comment>
    <comment ref="AQ17" authorId="2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 boire</t>
        </r>
      </text>
    </comment>
    <comment ref="AS17" authorId="2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 boire</t>
        </r>
      </text>
    </comment>
    <comment ref="AV17" authorId="2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billet de Hoa perdu (500)</t>
        </r>
      </text>
    </comment>
    <comment ref="BB17" authorId="2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 perdue</t>
        </r>
      </text>
    </comment>
    <comment ref="BC17" authorId="2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tip veilleur jour</t>
        </r>
      </text>
    </comment>
    <comment ref="BI17" authorId="2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t>
        </r>
      </text>
    </comment>
    <comment ref="BN17" authorId="2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four</t>
        </r>
      </text>
    </comment>
    <comment ref="BO17" authorId="2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moule a tarte</t>
        </r>
      </text>
    </comment>
    <comment ref="BP17" authorId="2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moule a tarte</t>
        </r>
      </text>
    </comment>
    <comment ref="BQ17" authorId="2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ustensiles cuisine</t>
        </r>
      </text>
    </comment>
    <comment ref="BR17" authorId="2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pourboire femme de menage</t>
        </r>
      </text>
    </comment>
    <comment ref="BS17" authorId="2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pouboire femme de menage 2</t>
        </r>
      </text>
    </comment>
    <comment ref="CD17" authorId="2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150 par jour , 2 motos</t>
        </r>
      </text>
    </comment>
    <comment ref="CE17" authorId="2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150 par jour , 2 motos</t>
        </r>
      </text>
    </comment>
    <comment ref="CF17" authorId="2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150 par jour , 2 motos</t>
        </r>
      </text>
    </comment>
    <comment ref="CJ17" authorId="2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Phuong pedicure</t>
        </r>
      </text>
    </comment>
    <comment ref="CL17" authorId="2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pouboire portier demenagement</t>
        </r>
      </text>
    </comment>
    <comment ref="CM17" authorId="2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pouboire femme de menage</t>
        </r>
      </text>
    </comment>
    <comment ref="EU17" authorId="2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tip de femme de menage</t>
        </r>
      </text>
    </comment>
    <comment ref="FC17" authorId="2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CHAMBRE POUR DOUCHE POUR HOA</t>
        </r>
      </text>
    </comment>
    <comment ref="FN17" authorId="2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barbe et cheveux</t>
        </r>
      </text>
    </comment>
    <comment ref="GP17" authorId="2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3</t>
        </r>
      </text>
    </comment>
    <comment ref="HF17" authorId="2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4 mains 30 mn Thu et Huong</t>
        </r>
      </text>
    </comment>
    <comment ref="AD18" authorId="2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aide Phuong</t>
        </r>
      </text>
    </comment>
    <comment ref="AF18" authorId="2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Phuong pour Hoa et moi</t>
        </r>
      </text>
    </comment>
    <comment ref="AO18" authorId="2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Phuong 4 mains</t>
        </r>
      </text>
    </comment>
    <comment ref="BJ18" authorId="26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Phuong et Van</t>
        </r>
      </text>
    </comment>
    <comment ref="BX18" authorId="26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VAN puis scene de Hoa</t>
        </r>
      </text>
    </comment>
    <comment ref="CB18" authorId="26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100 4 pills angle Dinh Liet</t>
        </r>
      </text>
    </comment>
    <comment ref="CR18" authorId="26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en couple, moi avec Van</t>
        </r>
      </text>
    </comment>
    <comment ref="CW18" authorId="26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Thu</t>
        </r>
      </text>
    </comment>
    <comment ref="CZ18" authorId="26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100 4 pills angle Dinh Liet</t>
        </r>
      </text>
    </comment>
    <comment ref="DC18" authorId="26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Van et Thu pour Hoa 30 mn</t>
        </r>
      </text>
    </comment>
    <comment ref="DG18" authorId="26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moyen</t>
        </r>
      </text>
    </comment>
    <comment ref="DH18" authorId="26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top 200 + tip 100</t>
        </r>
      </text>
    </comment>
    <comment ref="DI18" authorId="26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tip  top 200 + tip 300 Houahooh !</t>
        </r>
      </text>
    </comment>
    <comment ref="DK18" authorId="27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Dinh Liet</t>
        </r>
      </text>
    </comment>
    <comment ref="DO18" authorId="27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a 2 pour moi Thu, pour Hoa Huong</t>
        </r>
      </text>
    </comment>
    <comment ref="DY18" authorId="27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nullissime</t>
        </r>
      </text>
    </comment>
    <comment ref="EF18" authorId="27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100 4 pills pas bon</t>
        </r>
      </text>
    </comment>
    <comment ref="EK18" authorId="27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Huong</t>
        </r>
      </text>
    </comment>
    <comment ref="EM18" authorId="27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Luyen</t>
        </r>
      </text>
    </comment>
    <comment ref="EQ18" authorId="27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Thu</t>
        </r>
      </text>
    </comment>
    <comment ref="EY18" authorId="27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Thu</t>
        </r>
      </text>
    </comment>
    <comment ref="FM18" authorId="27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4 mains Thu et Huong : drole et extraordinaire</t>
        </r>
      </text>
    </comment>
    <comment ref="GC18" authorId="27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 moto et tip</t>
        </r>
      </text>
    </comment>
    <comment ref="GE18" authorId="28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30 mn 4 mains Thu et Huong</t>
        </r>
      </text>
    </comment>
    <comment ref="AG19" authorId="28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pourboire agent immobilier</t>
        </r>
      </text>
    </comment>
    <comment ref="AH19" authorId="28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concierge immeuble</t>
        </r>
      </text>
    </comment>
    <comment ref="DS19" authorId="28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jours une nuit a Ha Long Bay</t>
        </r>
      </text>
    </comment>
    <comment ref="DY19" authorId="28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hotel de 5h du mat a 14h 200 et hotel du soir 400</t>
        </r>
      </text>
    </comment>
    <comment ref="GC19" authorId="28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hotel 900 + charge annulation 200</t>
        </r>
      </text>
    </comment>
    <comment ref="Y20" authorId="28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3 jours</t>
        </r>
      </text>
    </comment>
    <comment ref="AB20" authorId="28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a deux</t>
        </r>
      </text>
    </comment>
    <comment ref="CD20" authorId="28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12000 dongs par litre</t>
        </r>
      </text>
    </comment>
    <comment ref="CE20" authorId="28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couchette pour Ha Giang aller retour</t>
        </r>
      </text>
    </comment>
    <comment ref="CF20" authorId="29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t>
        </r>
      </text>
    </comment>
    <comment ref="DG20" authorId="29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220 moto locale 50</t>
        </r>
      </text>
    </comment>
    <comment ref="DI20" authorId="29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100 + essence</t>
        </r>
      </text>
    </comment>
    <comment ref="DJ20" authorId="29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220 moto locale 50</t>
        </r>
      </text>
    </comment>
    <comment ref="DM20" authorId="29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240 et 500 Tuan frere de Hoa</t>
        </r>
      </text>
    </comment>
    <comment ref="DY20" authorId="29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bus payé par HOA</t>
        </r>
      </text>
    </comment>
    <comment ref="DZ20" authorId="29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scooter</t>
        </r>
      </text>
    </comment>
    <comment ref="EA20" authorId="29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scooter</t>
        </r>
      </text>
    </comment>
    <comment ref="EO20" authorId="29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moto Hoi An + taxi Hanoi +taxi</t>
        </r>
      </text>
    </comment>
    <comment ref="FA20" authorId="29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train de nuit</t>
        </r>
      </text>
    </comment>
    <comment ref="FB20" authorId="30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150 moto par jour et essence</t>
        </r>
      </text>
    </comment>
    <comment ref="FC20" authorId="30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train de nuit</t>
        </r>
      </text>
    </comment>
    <comment ref="GC20" authorId="30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 limousine</t>
        </r>
      </text>
    </comment>
    <comment ref="GV20" authorId="30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 Thai Nguyen</t>
        </r>
      </text>
    </comment>
    <comment ref="GY20" authorId="30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cabine a 2, excellent</t>
        </r>
      </text>
    </comment>
    <comment ref="GZ20" authorId="30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45 et loc 2 jours 300</t>
        </r>
      </text>
    </comment>
    <comment ref="HA20" authorId="30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50, et loc 1 jour 300 !!</t>
        </r>
      </text>
    </comment>
    <comment ref="HB20" authorId="30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cabine a 2, excellent</t>
        </r>
      </text>
    </comment>
    <comment ref="HG20" authorId="30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A/R Aeroport</t>
        </r>
      </text>
    </comment>
    <comment ref="E21" authorId="30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aeroport 1250 UT 500</t>
        </r>
      </text>
    </comment>
    <comment ref="X21" authorId="3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PHU QUOC</t>
        </r>
      </text>
    </comment>
    <comment ref="AM21" authorId="3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quote part Mars</t>
        </r>
      </text>
    </comment>
    <comment ref="BQ21" authorId="3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quote part Avril</t>
        </r>
      </text>
    </comment>
    <comment ref="BZ21" authorId="3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quote part Avril</t>
        </r>
      </text>
    </comment>
    <comment ref="CI21" authorId="3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10 jours</t>
        </r>
      </text>
    </comment>
    <comment ref="CJ21" authorId="3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extension visa 3 mois</t>
        </r>
      </text>
    </comment>
    <comment ref="CN21" authorId="3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CP21" authorId="3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DX21" authorId="3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EL21" authorId="3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A/R Hanoi Danang</t>
        </r>
      </text>
    </comment>
    <comment ref="GF21" authorId="3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extension visa 1 mois</t>
        </r>
      </text>
    </comment>
    <comment ref="T22" authorId="3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grille</t>
        </r>
      </text>
    </comment>
    <comment ref="AE22" authorId="3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masques</t>
        </r>
      </text>
    </comment>
    <comment ref="AH22" authorId="3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tabourets plastique</t>
        </r>
      </text>
    </comment>
    <comment ref="AP22" authorId="3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socks</t>
        </r>
      </text>
    </comment>
    <comment ref="BI22" authorId="3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souris</t>
        </r>
      </text>
    </comment>
    <comment ref="BZ22" authorId="3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affaires de sport</t>
        </r>
      </text>
    </comment>
    <comment ref="CG22" authorId="3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reparation chaussures</t>
        </r>
      </text>
    </comment>
    <comment ref="CI22" authorId="3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reparation laptop suite a m'etre assis dessus !</t>
        </r>
      </text>
    </comment>
    <comment ref="DW22" authorId="3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commission change sur 2600 euros</t>
        </r>
      </text>
    </comment>
    <comment ref="EW22" authorId="3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masques</t>
        </r>
      </text>
    </comment>
    <comment ref="HE22" authorId="3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1500 (10X4 pastilles); dentifrice (4) 260;</t>
        </r>
      </text>
    </comment>
    <comment ref="HF22" authorId="3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shrimps secs 420, chalott 1kg 120</t>
        </r>
      </text>
    </comment>
    <comment ref="HG22" authorId="3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cartouches supplémentaires de cigarettes</t>
        </r>
      </text>
    </comment>
    <comment ref="L23" authorId="3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ceintures noires</t>
        </r>
      </text>
    </comment>
    <comment ref="M23" authorId="3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acompte veste cuisine s/ 650</t>
        </r>
      </text>
    </comment>
    <comment ref="V23" authorId="3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pantalons</t>
        </r>
      </text>
    </comment>
    <comment ref="AA23" authorId="3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poivre</t>
        </r>
      </text>
    </comment>
    <comment ref="AG23" authorId="3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pantalons courts</t>
        </r>
      </text>
    </comment>
    <comment ref="BJ23" authorId="3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slips</t>
        </r>
      </text>
    </comment>
    <comment ref="ET23" authorId="3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tissu chemise</t>
        </r>
      </text>
    </comment>
    <comment ref="EW23" authorId="3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facon chemise</t>
        </r>
      </text>
    </comment>
    <comment ref="FE23" authorId="3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chemises la rouge et la pourpre</t>
        </r>
      </text>
    </comment>
    <comment ref="HF23" authorId="3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réteecissement de 3 chemises</t>
        </r>
      </text>
    </comment>
    <comment ref="R24" authorId="3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FLEURS HOA excuses</t>
        </r>
      </text>
    </comment>
    <comment ref="DE24" authorId="3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sac Hoa</t>
        </r>
      </text>
    </comment>
    <comment ref="DN24" authorId="3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Tuyen banane Nike</t>
        </r>
      </text>
    </comment>
    <comment ref="FM24" authorId="3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cadeaux multiples, voir detail sur Notes</t>
        </r>
      </text>
    </comment>
    <comment ref="FO24" authorId="3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cartouches de cigarette a receptionner</t>
        </r>
      </text>
    </comment>
    <comment ref="FZ24" authorId="3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medoc Hoa</t>
        </r>
      </text>
    </comment>
    <comment ref="GN24" authorId="3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maman 2000 et 500 anniv grand fils</t>
        </r>
      </text>
    </comment>
    <comment ref="GV24" authorId="3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petite niece</t>
        </r>
      </text>
    </comment>
    <comment ref="HB24" authorId="3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gateaux pour les filles</t>
        </r>
      </text>
    </comment>
    <comment ref="HG24" authorId="3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vases maman</t>
        </r>
      </text>
    </comment>
    <comment ref="E55" authorId="3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Renouleaud gare</t>
        </r>
      </text>
    </comment>
    <comment ref="E56" authorId="3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Avion</t>
        </r>
      </text>
    </comment>
    <comment ref="ET56" authorId="3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billet Air France acheté le 20 Mars</t>
        </r>
      </text>
    </comment>
    <comment ref="EU56" authorId="3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Complement Air France</t>
        </r>
      </text>
    </comment>
    <comment ref="FI56" authorId="3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Billet Ouigo,finalement non utilisé grace au Billet de retour Vietnam Airlines</t>
        </r>
      </text>
    </comment>
    <comment ref="E59" authorId="3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CADEAUX HOA et UT</t>
        </r>
      </text>
    </comment>
  </commentList>
</comments>
</file>

<file path=xl/comments6.xml><?xml version="1.0" encoding="utf-8"?>
<comments xmlns="http://schemas.openxmlformats.org/spreadsheetml/2006/main">
  <authors>
    <author>tc={8EB353CE-D36F-45A2-8EAE-5867C7427123}</author>
    <author>tc={0D6B0FA7-AB0B-4DFD-B4CD-286E031DC60F}</author>
    <author>tc={037CD725-2378-414A-8E4D-000182049147}</author>
    <author>tc={65049605-81FB-479A-BE45-6FBE2E99F244}</author>
    <author>tc={4C754831-A4B1-4EFF-897E-24968FBDC17D}</author>
    <author>tc={461D78D5-5F17-4A9C-B120-A2C210D75469}</author>
    <author>tc={AB0EC41D-A75D-4E9B-92E8-CB61DD45BFC9}</author>
    <author>tc={1051A659-8084-45BF-87F9-62FE0ADD7959}</author>
    <author>tc={52728AFF-B8E0-4B54-B163-F119258F50D7}</author>
    <author>tc={0811506B-6283-4C56-9709-DD034A857D3F}</author>
    <author>tc={3F4632F3-0141-423E-82A6-E917B7948413}</author>
    <author>tc={38E5BDDD-512A-4EE6-80DA-E165C5E297C6}</author>
    <author>tc={28D0F119-BFB1-44D1-9766-90F91A0C378F}</author>
    <author>tc={6DC83BA7-8426-4FD7-AD13-EE861EC237D9}</author>
    <author>tc={BE2A7A09-A87B-4B76-AC73-FB9AF4EA4E5D}</author>
    <author>tc={09771E8F-3F15-4068-9109-26CE518AE65D}</author>
    <author>tc={C4D5A7BD-A319-4422-BB26-FBCB4507DF7E}</author>
    <author>tc={376C6345-A19E-4B21-B0DC-56A0EB231A4A}</author>
    <author>tc={8D2E5587-A784-430F-9B11-CADE8970CE8D}</author>
    <author>tc={02301B53-DC03-44CB-A3F7-D34A99C73FDE}</author>
    <author>tc={72BE9F90-0175-4D16-B446-C68B92443A95}</author>
    <author>tc={C421B601-DEF4-4874-8C1C-C1C52E1ECBE2}</author>
    <author>tc={736573F3-A966-4964-9CCD-BEAE8CA2C35C}</author>
    <author>tc={72AA3EAA-0DBD-4641-A142-C1CA457028EA}</author>
    <author>tc={BD553734-8B15-4065-8779-263E25D3AA77}</author>
    <author>tc={E65F0A1A-0177-4B56-AFAA-7B66C0B878DA}</author>
    <author>tc={D832FEFD-5856-4BC7-A299-E5EBD75C50AE}</author>
    <author>tc={563523CC-B1EE-4579-A711-9EFAE758B383}</author>
    <author>tc={329ED5B8-F03E-4146-8F46-EDA8F52B9825}</author>
    <author>tc={E4F0D7C1-4C20-4320-A7BD-BA0AB678B56C}</author>
    <author>tc={67995A6D-F72B-4BB2-9A26-881647F5EE2B}</author>
    <author>tc={71DBC9BE-BB9A-4161-BDCE-EAEF3B04D74E}</author>
    <author>tc={7C6F47B1-A563-4FC9-901C-3BA182940DBD}</author>
    <author>tc={324F386D-7E62-4D8B-B8F0-9CD3AC42A94C}</author>
    <author>tc={59B1BC1E-557F-49E9-AACB-1ECA4E45E09B}</author>
    <author>tc={6C2C4DCE-B7DA-4F80-AC63-7D840FFEB041}</author>
    <author>tc={4AE31102-BCBF-4960-AFA2-E4DB5FD28425}</author>
    <author>tc={87289908-E53E-4851-9FC8-5A882086024B}</author>
    <author>tc={2BD70663-3165-43CE-8491-67905350840A}</author>
    <author>tc={96A138FA-BC48-4408-A35B-470A3AE844F5}</author>
    <author>tc={E12EBF9C-C464-41E7-8C67-19C32BF2CDF7}</author>
    <author>tc={324C5754-2F28-4B6E-92B1-6362415E4B2D}</author>
    <author>tc={35E40097-14CC-4008-BF9F-F3567B99B4DC}</author>
    <author>tc={C16FE0CA-F0EA-4673-8BD9-03BF9E450C15}</author>
    <author>tc={2175241E-C9C3-41DC-A9F8-7268D2817F8C}</author>
    <author>tc={156B28F2-5837-40F4-8421-CAEFE1FB2292}</author>
    <author>tc={12FA848F-9619-48BF-817B-0B5A2AE7482B}</author>
    <author>tc={F70FF0F0-D6EC-4470-AD83-DB08B5854302}</author>
    <author>tc={18636209-36DD-4BBD-AAF9-F9AFAB70E322}</author>
    <author>tc={8173BE7A-C203-46A9-9674-13FA7E326803}</author>
    <author>tc={14515282-0B9A-43D0-ABCE-B71EC2CE6AC9}</author>
    <author>tc={CE4C5CBA-4D72-4F86-941E-31C5CACD0C0C}</author>
    <author>tc={82AEC575-E28F-4A34-9104-992BCB5BE64C}</author>
    <author>tc={AC068297-C7BC-4EE9-9AD6-BD703CE0EE06}</author>
  </authors>
  <commentList>
    <comment ref="AD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Ptit dej pres de la mer Hoi An</t>
        </r>
      </text>
    </comment>
    <comment ref="P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COREEN</t>
        </r>
      </text>
    </comment>
    <comment ref="AC8"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midi Da nang entre aeroport et hotel</t>
        </r>
      </text>
    </comment>
    <comment ref="AD8"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sur le mem restau que Vo</t>
        </r>
      </text>
    </comment>
    <comment ref="AE8"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Meme restau que la veille ou retrouve le chargeur. Extraordianire coincidence, puisque nous n'etions censés manger là. nous ys sommes allés sur les conseils de la fille du Spa</t>
        </r>
      </text>
    </comment>
    <comment ref="AH8"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Churascaria</t>
        </r>
      </text>
    </comment>
    <comment ref="AC9"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du soir match de foot Vietnam Thailande</t>
        </r>
      </text>
    </comment>
    <comment ref="AD9"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du soir sur bord du fleuve, soiree tendue</t>
        </r>
      </text>
    </comment>
    <comment ref="AR9"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 Mi aeroport</t>
        </r>
      </text>
    </comment>
    <comment ref="AR10"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 tresorerie 400 par 3</t>
        </r>
      </text>
    </comment>
    <comment ref="X11"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600 maeché + 500 arriéré HOA</t>
        </r>
      </text>
    </comment>
    <comment ref="AD13"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whiskies apres massage et happy water parce que furieux
Réponse :
    pot delicieux sur le fleuve le midi 100</t>
        </r>
      </text>
    </comment>
    <comment ref="AE13"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avec Richard, un anglais, rencontré la veille aux toilettes, et son epouse 'Hoa'. Delicieux moment
Réponse :
    joignable sur Whatsapp</t>
        </r>
      </text>
    </comment>
    <comment ref="H14"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DETERGENT</t>
        </r>
      </text>
    </comment>
    <comment ref="P14"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Hoa</t>
        </r>
      </text>
    </comment>
    <comment ref="AE14"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bieres de fin de soiree avec Hoa sur la place de l'hotel</t>
        </r>
      </text>
    </comment>
    <comment ref="AF16"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30 et 25 parce j'ai oublié de rendre les clés de la moto à Hoa. Elle me ramene ensuite</t>
        </r>
      </text>
    </comment>
    <comment ref="O17"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et vodka</t>
        </r>
      </text>
    </comment>
    <comment ref="U17"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V17"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W17"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AC17"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Da Nang</t>
        </r>
      </text>
    </comment>
    <comment ref="AD17"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t>
        </r>
      </text>
    </comment>
    <comment ref="AE17"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 essence</t>
        </r>
      </text>
    </comment>
    <comment ref="AR17"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 tresorerie 400 par 3</t>
        </r>
      </text>
    </comment>
    <comment ref="L18"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Quynh</t>
        </r>
      </text>
    </comment>
    <comment ref="U18"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sieste du matin a Ha giang dans homestay de la gare</t>
        </r>
      </text>
    </comment>
    <comment ref="AD18"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body massage 2 personnes + foot 1 personnes 600 +tip Paul 150 + Hoa 100</t>
        </r>
      </text>
    </comment>
    <comment ref="AE18"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Home stay pour une sieste de 1h30 !</t>
        </r>
      </text>
    </comment>
    <comment ref="F20"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aeroport</t>
        </r>
      </text>
    </comment>
    <comment ref="O20" authorId="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t>
        </r>
      </text>
    </comment>
    <comment ref="U20" authorId="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V20" authorId="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W20" authorId="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AC20" authorId="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Aeropot Hanoi 300, airpot hotel da nang 200 plus atente, taxi soiree Hoi An 350 plus attente</t>
        </r>
      </text>
    </comment>
    <comment ref="F21" authorId="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AEROPORT + AGENCE UT</t>
        </r>
      </text>
    </comment>
    <comment ref="G22" authorId="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couteau, bacs plastique, serviettes</t>
        </r>
      </text>
    </comment>
    <comment ref="I22" authorId="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torchons</t>
        </r>
      </text>
    </comment>
    <comment ref="J22" authorId="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Ear phones</t>
        </r>
      </text>
    </comment>
    <comment ref="AO22" authorId="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couteaux 3 plateaux coupelles et chaussettes</t>
        </r>
      </text>
    </comment>
    <comment ref="AQ22" authorId="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valise 1600 coupelle 450
Réponse :
    + citronelle et tamarin 50 230</t>
        </r>
      </text>
    </comment>
    <comment ref="AR22" authorId="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dentifrice</t>
        </r>
      </text>
    </comment>
    <comment ref="H23" authorId="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2T shirt et un short</t>
        </r>
      </text>
    </comment>
    <comment ref="L23" authorId="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ceinture</t>
        </r>
      </text>
    </comment>
    <comment ref="O23" authorId="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slips</t>
        </r>
      </text>
    </comment>
    <comment ref="AB23" authorId="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slips</t>
        </r>
      </text>
    </comment>
    <comment ref="AN23" authorId="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Pantalon Paul</t>
        </r>
      </text>
    </comment>
    <comment ref="AO23" authorId="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Tissu pour 2 chemises</t>
        </r>
      </text>
    </comment>
    <comment ref="AQ23" authorId="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coupe vent 900 et 220 2 thisxhirts</t>
        </r>
      </text>
    </comment>
    <comment ref="AR23" authorId="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confection 2 chemises</t>
        </r>
      </text>
    </comment>
    <comment ref="AO24" authorId="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Carré soie Simone</t>
        </r>
      </text>
    </comment>
    <comment ref="AQ24" authorId="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 tresorerie 400 par 3</t>
        </r>
      </text>
    </comment>
    <comment ref="AR24" authorId="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cartouches de cigarette, 100 € pour plaque cuisson Hoa</t>
        </r>
      </text>
    </comment>
    <comment ref="E59" authorId="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Parfum Hoa</t>
        </r>
      </text>
    </comment>
  </commentList>
</comments>
</file>

<file path=xl/comments7.xml><?xml version="1.0" encoding="utf-8"?>
<comments xmlns="http://schemas.openxmlformats.org/spreadsheetml/2006/main">
  <authors>
    <author>tc={808E64B2-A581-4390-A484-FF4D70CA45F4}</author>
    <author>tc={BCB13A06-95D9-4C45-9065-A87487D2CAE2}</author>
    <author>tc={22CBA745-9B25-4EB3-9A63-AE9B4C7DAED7}</author>
    <author>tc={6CF1CB1D-A4E8-4AC4-B27B-31E951FA0363}</author>
    <author>tc={E745A6FA-FD32-4634-A4DB-B4FC512B7E10}</author>
    <author>tc={3987BDD7-BFCA-4F7D-881F-5798C663DE73}</author>
    <author>tc={E34D1AD3-9230-4C49-8F44-54257C04B8C3}</author>
    <author>tc={F5891E71-3E70-4D0F-8E55-DB6A2D0D767D}</author>
    <author>tc={724BAA96-1C77-4554-8BD9-038FBD99FB10}</author>
    <author>tc={F62C1A50-ACBF-4F32-8FEC-95688A1D921B}</author>
    <author>tc={525F85A4-CF0F-4A2C-B8F1-69604E61D4AF}</author>
    <author>tc={22F7DEB9-4FAE-4CF3-8943-4D2E3EF11DD0}</author>
    <author>tc={D60559C7-6A53-49C8-9625-CB15145D2F0E}</author>
    <author>tc={13E6640A-40C2-407D-A8ED-578DBA1888E7}</author>
    <author>tc={DF4E6415-D1DE-4002-9F5C-828FEBBF9964}</author>
    <author>tc={685B966A-31C0-48FA-8A1F-B3CB901862E6}</author>
    <author>tc={EED73391-E092-445E-910F-37CB28B9B866}</author>
    <author>tc={EA4B6AA8-259D-418B-AF11-B820719CC37A}</author>
    <author>tc={5A8ACE53-CD00-4A09-A94B-D0BE1851083E}</author>
    <author>tc={4BA79049-B281-46B6-8969-CE3A271C892F}</author>
    <author>tc={D0C1CD2D-5385-4D45-AA52-E620ACE0CF11}</author>
    <author>tc={50CD546E-C4D6-4D2E-8FCC-EEF5FCFD7576}</author>
    <author>tc={B3AF54C0-454C-460D-A5A9-096F8DF90A0E}</author>
    <author>tc={8264FB6D-2721-4B40-A4EF-5DEE52A94E1C}</author>
    <author>tc={2FA5681D-4C7B-44FE-9AEE-230C673DDB85}</author>
    <author>tc={082EAA57-F6D2-446C-B209-76697158747B}</author>
    <author>tc={EA330B3B-A419-4185-90BC-E72E1D132514}</author>
    <author>tc={EEE1F88F-69F8-45B8-B834-3E1807366FF7}</author>
    <author>tc={317E3E69-4B7F-491D-BFD7-D2029CBFEE29}</author>
    <author>tc={CB49896A-F518-46BB-9206-3A7398EAD2D0}</author>
  </authors>
  <commentList>
    <comment ref="AY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prix du vol defalqué de 400 € derniere minute</t>
        </r>
      </text>
    </comment>
    <comment ref="Z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que suis je dans le SPA</t>
        </r>
      </text>
    </comment>
    <comment ref="AA8"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que suis je dans le SPA</t>
        </r>
      </text>
    </comment>
    <comment ref="AY9"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annulation non realisée sur Hanoi Chic hotel + surcout avion derniere minutre</t>
        </r>
      </text>
    </comment>
    <comment ref="AJ15"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ELECTRICITE</t>
        </r>
      </text>
    </comment>
    <comment ref="N16"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V16"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Y16"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Z16"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80 essence scooter Hoa</t>
        </r>
      </text>
    </comment>
    <comment ref="AA16"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AB16"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AC16"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AD16"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pour prendre la limousine</t>
        </r>
      </text>
    </comment>
    <comment ref="AF16"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80 essence scooter Hoa</t>
        </r>
      </text>
    </comment>
    <comment ref="AK17"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CADRAGE 27€</t>
        </r>
      </text>
    </comment>
    <comment ref="E21"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de change des 18000 € (3584) et agence pour visa 7700</t>
        </r>
      </text>
    </comment>
    <comment ref="F21"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Paul</t>
        </r>
      </text>
    </comment>
    <comment ref="AC22"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 tip</t>
        </r>
      </text>
    </comment>
    <comment ref="AF22"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slip excellent</t>
        </r>
      </text>
    </comment>
    <comment ref="AH22"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 tablets de 4 +50 de slip</t>
        </r>
      </text>
    </comment>
    <comment ref="AI22"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CHEMISE SOIE BLEUE</t>
        </r>
      </text>
    </comment>
    <comment ref="AJ22"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COUTEAUX</t>
        </r>
      </text>
    </comment>
    <comment ref="AF24"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cartouches de cigarettes</t>
        </r>
      </text>
    </comment>
    <comment ref="AH24"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robe de chambre Chito 300 Caro 200 maman 200 Margaux 100</t>
        </r>
      </text>
    </comment>
    <comment ref="AI24"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Chemise noire soie Thierry 750 poncho Maga 250 Poncho Laura 250</t>
        </r>
      </text>
    </comment>
    <comment ref="AJ24"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Robe Hoa</t>
        </r>
      </text>
    </comment>
    <comment ref="E50"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erreur de reservation</t>
        </r>
      </text>
    </comment>
    <comment ref="E56"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avion</t>
        </r>
      </text>
    </comment>
    <comment ref="F56"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Paul</t>
        </r>
      </text>
    </comment>
    <comment ref="G56"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de transfert des 18000€</t>
        </r>
      </text>
    </comment>
  </commentList>
</comments>
</file>

<file path=xl/comments8.xml><?xml version="1.0" encoding="utf-8"?>
<comments xmlns="http://schemas.openxmlformats.org/spreadsheetml/2006/main">
  <authors>
    <author>tc={759788C4-3A48-450B-BC96-A50D35514A8B}</author>
    <author>tc={F91C72B6-0DB8-447A-8FC7-6ADBF670BC91}</author>
    <author>tc={D26805CB-869B-4503-ADAC-3B8B290578D3}</author>
    <author>tc={76D6BE04-FAD6-4983-9ABD-9861E49BBFBD}</author>
    <author>tc={51F9BFD7-AE8D-4C7C-9FB1-1DA46CD3BFC6}</author>
    <author>tc={4C743AFB-F638-406C-8675-D628697209A7}</author>
    <author>tc={2025573D-CF68-441D-8238-3CEAA0346B58}</author>
    <author>tc={6B1FD3D9-3E0F-428D-91C7-EDC30FA63422}</author>
    <author>tc={029F3023-E49D-430E-A75D-2D2E6C508950}</author>
    <author>tc={626331A3-4201-4914-9B30-0817F3CC69BE}</author>
    <author>tc={7478BBD3-5455-4C7D-BA48-8CC90D11231E}</author>
    <author>tc={65AC22B2-BDC7-405A-9909-5D9C1DAB4A95}</author>
    <author>tc={D2766FCA-AC66-48B4-BE88-B821AF28A9DC}</author>
    <author>tc={9D6B4289-918B-4BE7-8481-E8EFC783B0C3}</author>
    <author>tc={7D302F78-B6C1-4FEA-8576-B3E83CFCC176}</author>
    <author>tc={8A8C604F-D864-4BB8-BA8D-619E6898DE75}</author>
    <author>tc={87C78A5F-B65B-4022-A792-3E492C67D27D}</author>
    <author>tc={8854C8F3-B9CE-45D2-928F-AB4FE012D99B}</author>
    <author>tc={A5BC49F2-1CC2-48EA-B120-775339A95B71}</author>
    <author>tc={E90E0100-7172-47F6-AEB5-A8FB846BF5F7}</author>
    <author>tc={F851928C-79C6-4EFE-B028-3D271D168387}</author>
    <author>tc={9845CE82-DA78-425B-8948-48AE62FE9254}</author>
    <author>tc={930B4202-2E8E-48E4-A014-6B3637396527}</author>
    <author>tc={EBAA2DF7-867E-449C-BF32-448AB5192A7F}</author>
    <author>tc={339C8910-A06E-4A98-AAD6-73A5B934B3CD}</author>
    <author>tc={1605D169-42E9-4441-9898-D85C89139C56}</author>
    <author>tc={8BC0BD50-C49C-45DB-958A-6E98A289156A}</author>
    <author>tc={E416D4A1-328E-4907-A987-546F1546A647}</author>
    <author>tc={651E467C-F365-4AC8-8C59-C343377856C5}</author>
    <author>tc={00E9C4EF-D016-4CFF-B05D-D8DA385FAC67}</author>
    <author>tc={86A5602B-83C0-48FF-AEE5-3DE1F1F16BEB}</author>
    <author>tc={415C04B0-9E0C-49CB-9102-AE2CB98D9EFE}</author>
    <author>tc={61DE1C37-E8F8-44F2-9797-6FF0B121CF1B}</author>
    <author>tc={D950EB31-B042-4762-BD05-C8A875B399EE}</author>
    <author>tc={04F5C6D9-D204-40F8-8BD5-DF52BE0A674D}</author>
    <author>tc={6B4581C1-131F-414A-A1EC-FC70B385ADD4}</author>
    <author>tc={BBD0BF74-DF99-41D9-AAB0-E05BC1FD976F}</author>
    <author>tc={83E926DB-8206-44B7-BC4D-86AF8009220B}</author>
    <author>tc={D6509951-6EC5-4042-8A06-02F3BAEBFE12}</author>
  </authors>
  <commentList>
    <comment ref="X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extraordinaire 30 m de queue</t>
        </r>
      </text>
    </comment>
    <comment ref="F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420 CHA CA HOA</t>
        </r>
      </text>
    </comment>
    <comment ref="I8"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HOA 420</t>
        </r>
      </text>
    </comment>
    <comment ref="K8"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SALMONIDES</t>
        </r>
      </text>
    </comment>
    <comment ref="M8"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RRESTAURANT FRUIT DE MER</t>
        </r>
      </text>
    </comment>
    <comment ref="N8"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ptit boiboui sympa, toast desagreable</t>
        </r>
      </text>
    </comment>
    <comment ref="O8"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avec amie de Hoa, episode de l'allemand. moment douloureux</t>
        </r>
      </text>
    </comment>
    <comment ref="Q8"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repas indien</t>
        </r>
      </text>
    </comment>
    <comment ref="S8"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FDM</t>
        </r>
      </text>
    </comment>
    <comment ref="U8"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 japonais copines de Hoa</t>
        </r>
      </text>
    </comment>
    <comment ref="X8"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Restaurant fruit de mer avec Hoa</t>
        </r>
      </text>
    </comment>
    <comment ref="K9"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t>
        </r>
      </text>
    </comment>
    <comment ref="AN10"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ECART D4INVENTAIRE</t>
        </r>
      </text>
    </comment>
    <comment ref="G12"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laundry</t>
        </r>
      </text>
    </comment>
    <comment ref="K12"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dt 250 de pressing</t>
        </r>
      </text>
    </comment>
    <comment ref="V13"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FLAMINGO</t>
        </r>
      </text>
    </comment>
    <comment ref="P14"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a Tam Coc</t>
        </r>
      </text>
    </comment>
    <comment ref="O15"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250 location moto, 200 temple 500 statues</t>
        </r>
      </text>
    </comment>
    <comment ref="P15"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t>
        </r>
      </text>
    </comment>
    <comment ref="K16"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PEDICURE</t>
        </r>
      </text>
    </comment>
    <comment ref="U16"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body</t>
        </r>
      </text>
    </comment>
    <comment ref="N18"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Ninh binh</t>
        </r>
      </text>
    </comment>
    <comment ref="O18"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retour Ninh Binh</t>
        </r>
      </text>
    </comment>
    <comment ref="P18"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a Tam Coc</t>
        </r>
      </text>
    </comment>
    <comment ref="J20"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PORTE IPHONE SCOOTER</t>
        </r>
      </text>
    </comment>
    <comment ref="K20"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L20"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pantalons 2 chemises (Hoa) banane</t>
        </r>
      </text>
    </comment>
    <comment ref="M20"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chemises et valise Hoa</t>
        </r>
      </text>
    </comment>
    <comment ref="V20"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CROCS</t>
        </r>
      </text>
    </comment>
    <comment ref="W20"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Nuoc 200 et plastic pour nems 150</t>
        </r>
      </text>
    </comment>
    <comment ref="S21" authorId="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ACOMPTE " CHEMISES</t>
        </r>
      </text>
    </comment>
    <comment ref="U21" authorId="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solde 3 chemises (1500 +500) et 15 $ de lettres</t>
        </r>
      </text>
    </comment>
    <comment ref="X21" authorId="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chemisess soie Paul</t>
        </r>
      </text>
    </comment>
    <comment ref="N22" authorId="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valise Paul puis Hoa</t>
        </r>
      </text>
    </comment>
    <comment ref="S22" authorId="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THIERRY + CADEAU MAMAN</t>
        </r>
      </text>
    </comment>
    <comment ref="H40" authorId="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vers Danang</t>
        </r>
      </text>
    </comment>
    <comment ref="I46" authorId="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non utilisation Airbnb</t>
        </r>
      </text>
    </comment>
    <comment ref="L46" authorId="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Tam Coc annulé</t>
        </r>
      </text>
    </comment>
    <comment ref="F52" authorId="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bus entre les 2 aeroports</t>
        </r>
      </text>
    </comment>
  </commentList>
</comments>
</file>

<file path=xl/comments9.xml><?xml version="1.0" encoding="utf-8"?>
<comments xmlns="http://schemas.openxmlformats.org/spreadsheetml/2006/main">
  <authors>
    <author>ETCHEPAREBORDE Paul</author>
    <author>Paul PC</author>
  </authors>
  <commentList>
    <comment ref="W6" authorId="0" shapeId="0">
      <text>
        <r>
          <rPr>
            <b/>
            <sz val="9"/>
            <color indexed="81"/>
            <rFont val="Tahoma"/>
            <family val="2"/>
          </rPr>
          <t>ETCHEPAREBORDE Paul:</t>
        </r>
        <r>
          <rPr>
            <sz val="9"/>
            <color indexed="81"/>
            <rFont val="Tahoma"/>
            <family val="2"/>
          </rPr>
          <t xml:space="preserve">
PTIT DEJ AEROPORT hANOI</t>
        </r>
      </text>
    </comment>
    <comment ref="Z6" authorId="0" shapeId="0">
      <text>
        <r>
          <rPr>
            <b/>
            <sz val="9"/>
            <color indexed="81"/>
            <rFont val="Tahoma"/>
            <family val="2"/>
          </rPr>
          <t>ETCHEPAREBORDE Paul:repas avec Veronica</t>
        </r>
      </text>
    </comment>
    <comment ref="H7" authorId="0" shapeId="0">
      <text>
        <r>
          <rPr>
            <b/>
            <sz val="9"/>
            <color indexed="81"/>
            <rFont val="Tahoma"/>
            <family val="2"/>
          </rPr>
          <t>ETCHEPAREBORDE Paul:</t>
        </r>
        <r>
          <rPr>
            <sz val="9"/>
            <color indexed="81"/>
            <rFont val="Tahoma"/>
            <family val="2"/>
          </rPr>
          <t xml:space="preserve">
restau TREETS
 le soir</t>
        </r>
      </text>
    </comment>
    <comment ref="K7" authorId="0" shapeId="0">
      <text>
        <r>
          <rPr>
            <b/>
            <sz val="9"/>
            <color indexed="81"/>
            <rFont val="Tahoma"/>
            <family val="2"/>
          </rPr>
          <t>ETCHEPAREBORDE Paul:</t>
        </r>
        <r>
          <rPr>
            <sz val="9"/>
            <color indexed="81"/>
            <rFont val="Tahoma"/>
            <family val="2"/>
          </rPr>
          <t xml:space="preserve">
dont poisson 190
</t>
        </r>
      </text>
    </comment>
    <comment ref="N7" authorId="0" shapeId="0">
      <text>
        <r>
          <rPr>
            <b/>
            <sz val="9"/>
            <color indexed="81"/>
            <rFont val="Tahoma"/>
            <family val="2"/>
          </rPr>
          <t>ETCHEPAREBORDE Paul:</t>
        </r>
        <r>
          <rPr>
            <sz val="9"/>
            <color indexed="81"/>
            <rFont val="Tahoma"/>
            <family val="2"/>
          </rPr>
          <t xml:space="preserve">
Nina's
</t>
        </r>
      </text>
    </comment>
    <comment ref="U7" authorId="0" shapeId="0">
      <text>
        <r>
          <rPr>
            <b/>
            <sz val="9"/>
            <color indexed="81"/>
            <rFont val="Tahoma"/>
            <family val="2"/>
          </rPr>
          <t>ETCHEPAREBORDE Paul:</t>
        </r>
        <r>
          <rPr>
            <sz val="9"/>
            <color indexed="81"/>
            <rFont val="Tahoma"/>
            <family val="2"/>
          </rPr>
          <t xml:space="preserve">
brochette rue + yaourt</t>
        </r>
      </text>
    </comment>
    <comment ref="W7" authorId="0" shapeId="0">
      <text>
        <r>
          <rPr>
            <b/>
            <sz val="9"/>
            <color indexed="81"/>
            <rFont val="Tahoma"/>
            <family val="2"/>
          </rPr>
          <t>ETCHEPAREBORDE Paul:</t>
        </r>
        <r>
          <rPr>
            <sz val="9"/>
            <color indexed="81"/>
            <rFont val="Tahoma"/>
            <family val="2"/>
          </rPr>
          <t xml:space="preserve">
Kentucky fried chiken</t>
        </r>
      </text>
    </comment>
    <comment ref="Y7" authorId="0" shapeId="0">
      <text>
        <r>
          <rPr>
            <b/>
            <sz val="9"/>
            <color indexed="81"/>
            <rFont val="Tahoma"/>
            <family val="2"/>
          </rPr>
          <t>ETCHEPAREBORDE Paul:</t>
        </r>
        <r>
          <rPr>
            <sz val="9"/>
            <color indexed="81"/>
            <rFont val="Tahoma"/>
            <family val="2"/>
          </rPr>
          <t xml:space="preserve">
cafe a vec italienne et vietnamienne
</t>
        </r>
      </text>
    </comment>
    <comment ref="R8" authorId="0" shapeId="0">
      <text>
        <r>
          <rPr>
            <b/>
            <sz val="9"/>
            <color indexed="81"/>
            <rFont val="Tahoma"/>
            <family val="2"/>
          </rPr>
          <t>ETCHEPAREBORDE Paul:</t>
        </r>
        <r>
          <rPr>
            <sz val="9"/>
            <color indexed="81"/>
            <rFont val="Tahoma"/>
            <family val="2"/>
          </rPr>
          <t xml:space="preserve">
2 whisky apres massage vietnamien. Fete samedi soir a Saigon
</t>
        </r>
      </text>
    </comment>
    <comment ref="I9" authorId="0" shapeId="0">
      <text>
        <r>
          <rPr>
            <b/>
            <sz val="9"/>
            <color indexed="81"/>
            <rFont val="Tahoma"/>
            <family val="2"/>
          </rPr>
          <t>ETCHEPAREBORDE Paul:</t>
        </r>
        <r>
          <rPr>
            <sz val="9"/>
            <color indexed="81"/>
            <rFont val="Tahoma"/>
            <family val="2"/>
          </rPr>
          <t xml:space="preserve">
Laundry
</t>
        </r>
      </text>
    </comment>
    <comment ref="K9" authorId="0" shapeId="0">
      <text>
        <r>
          <rPr>
            <b/>
            <sz val="9"/>
            <color indexed="81"/>
            <rFont val="Tahoma"/>
            <family val="2"/>
          </rPr>
          <t>ETCHEPAREBORDE Paul:</t>
        </r>
        <r>
          <rPr>
            <sz val="9"/>
            <color indexed="81"/>
            <rFont val="Tahoma"/>
            <family val="2"/>
          </rPr>
          <t xml:space="preserve">
DONT 40 DE CIGARETTE
</t>
        </r>
      </text>
    </comment>
    <comment ref="O9" authorId="0" shapeId="0">
      <text>
        <r>
          <rPr>
            <b/>
            <sz val="9"/>
            <color indexed="81"/>
            <rFont val="Tahoma"/>
            <family val="2"/>
          </rPr>
          <t>ETCHEPAREBORDE Paul:</t>
        </r>
        <r>
          <rPr>
            <sz val="9"/>
            <color indexed="81"/>
            <rFont val="Tahoma"/>
            <family val="2"/>
          </rPr>
          <t xml:space="preserve">
consigne
</t>
        </r>
      </text>
    </comment>
    <comment ref="P9" authorId="0" shapeId="0">
      <text>
        <r>
          <rPr>
            <b/>
            <sz val="9"/>
            <color indexed="81"/>
            <rFont val="Tahoma"/>
            <family val="2"/>
          </rPr>
          <t>ETCHEPAREBORDE Paul:</t>
        </r>
        <r>
          <rPr>
            <sz val="9"/>
            <color indexed="81"/>
            <rFont val="Tahoma"/>
            <family val="2"/>
          </rPr>
          <t xml:space="preserve">
dont 200 de laundry</t>
        </r>
      </text>
    </comment>
    <comment ref="Q9" authorId="0" shapeId="0">
      <text>
        <r>
          <rPr>
            <b/>
            <sz val="9"/>
            <color indexed="81"/>
            <rFont val="Tahoma"/>
            <family val="2"/>
          </rPr>
          <t>ETCHEPAREBORDE Paul:</t>
        </r>
        <r>
          <rPr>
            <sz val="9"/>
            <color indexed="81"/>
            <rFont val="Tahoma"/>
            <family val="2"/>
          </rPr>
          <t xml:space="preserve">
dont cigarette</t>
        </r>
      </text>
    </comment>
    <comment ref="T9" authorId="0" shapeId="0">
      <text>
        <r>
          <rPr>
            <b/>
            <sz val="9"/>
            <color indexed="81"/>
            <rFont val="Tahoma"/>
            <family val="2"/>
          </rPr>
          <t>ETCHEPAREBORDE Paul:</t>
        </r>
        <r>
          <rPr>
            <sz val="9"/>
            <color indexed="81"/>
            <rFont val="Tahoma"/>
            <family val="2"/>
          </rPr>
          <t xml:space="preserve">
dont cigarettes
</t>
        </r>
      </text>
    </comment>
    <comment ref="X9" authorId="0" shapeId="0">
      <text>
        <r>
          <rPr>
            <b/>
            <sz val="9"/>
            <color indexed="81"/>
            <rFont val="Tahoma"/>
            <family val="2"/>
          </rPr>
          <t>ETCHEPAREBORDE Paul:</t>
        </r>
        <r>
          <rPr>
            <sz val="9"/>
            <color indexed="81"/>
            <rFont val="Tahoma"/>
            <family val="2"/>
          </rPr>
          <t xml:space="preserve">
dont cigarette
</t>
        </r>
      </text>
    </comment>
    <comment ref="AA9" authorId="0" shapeId="0">
      <text>
        <r>
          <rPr>
            <b/>
            <sz val="9"/>
            <color indexed="81"/>
            <rFont val="Tahoma"/>
            <family val="2"/>
          </rPr>
          <t>ETCHEPAREBORDE Paul:</t>
        </r>
        <r>
          <rPr>
            <sz val="9"/>
            <color indexed="81"/>
            <rFont val="Tahoma"/>
            <family val="2"/>
          </rPr>
          <t xml:space="preserve">
laundry
</t>
        </r>
      </text>
    </comment>
    <comment ref="E10" authorId="0" shapeId="0">
      <text>
        <r>
          <rPr>
            <b/>
            <sz val="9"/>
            <color indexed="81"/>
            <rFont val="Tahoma"/>
            <family val="2"/>
          </rPr>
          <t>ETCHEPAREBORDE Paul:</t>
        </r>
        <r>
          <rPr>
            <sz val="9"/>
            <color indexed="81"/>
            <rFont val="Tahoma"/>
            <family val="2"/>
          </rPr>
          <t xml:space="preserve">
COIFFEUR ET VISAGE
</t>
        </r>
      </text>
    </comment>
    <comment ref="G10" authorId="0" shapeId="0">
      <text>
        <r>
          <rPr>
            <b/>
            <sz val="9"/>
            <color indexed="81"/>
            <rFont val="Tahoma"/>
            <family val="2"/>
          </rPr>
          <t>ETCHEPAREBORDE Paul:</t>
        </r>
        <r>
          <rPr>
            <sz val="9"/>
            <color indexed="81"/>
            <rFont val="Tahoma"/>
            <family val="2"/>
          </rPr>
          <t xml:space="preserve">
2 musées
</t>
        </r>
      </text>
    </comment>
    <comment ref="J10" authorId="1" shapeId="0">
      <text>
        <r>
          <rPr>
            <b/>
            <sz val="9"/>
            <color indexed="81"/>
            <rFont val="Tahoma"/>
            <family val="2"/>
          </rPr>
          <t>Paul PC:</t>
        </r>
        <r>
          <rPr>
            <sz val="9"/>
            <color indexed="81"/>
            <rFont val="Tahoma"/>
            <family val="2"/>
          </rPr>
          <t xml:space="preserve">
cours de cuisine (?)  +ballade dans paniers</t>
        </r>
      </text>
    </comment>
    <comment ref="L10" authorId="0" shapeId="0">
      <text>
        <r>
          <rPr>
            <b/>
            <sz val="9"/>
            <color indexed="81"/>
            <rFont val="Tahoma"/>
            <family val="2"/>
          </rPr>
          <t>ETCHEPAREBORDE Paul:</t>
        </r>
        <r>
          <rPr>
            <sz val="9"/>
            <color indexed="81"/>
            <rFont val="Tahoma"/>
            <family val="2"/>
          </rPr>
          <t xml:space="preserve">
MARBLE ARCH
</t>
        </r>
      </text>
    </comment>
    <comment ref="N10" authorId="0" shapeId="0">
      <text>
        <r>
          <rPr>
            <b/>
            <sz val="9"/>
            <color indexed="81"/>
            <rFont val="Tahoma"/>
            <family val="2"/>
          </rPr>
          <t>ETCHEPAREBORDE Paul:</t>
        </r>
        <r>
          <rPr>
            <sz val="9"/>
            <color indexed="81"/>
            <rFont val="Tahoma"/>
            <family val="2"/>
          </rPr>
          <t xml:space="preserve">
visite Hué
</t>
        </r>
      </text>
    </comment>
    <comment ref="P10" authorId="0" shapeId="0">
      <text>
        <r>
          <rPr>
            <b/>
            <sz val="9"/>
            <color indexed="81"/>
            <rFont val="Tahoma"/>
            <family val="2"/>
          </rPr>
          <t>ETCHEPAREBORDE Paul:</t>
        </r>
        <r>
          <rPr>
            <sz val="9"/>
            <color indexed="81"/>
            <rFont val="Tahoma"/>
            <family val="2"/>
          </rPr>
          <t xml:space="preserve">
deux musées
</t>
        </r>
      </text>
    </comment>
    <comment ref="S10" authorId="0" shapeId="0">
      <text>
        <r>
          <rPr>
            <b/>
            <sz val="9"/>
            <color indexed="81"/>
            <rFont val="Tahoma"/>
            <family val="2"/>
          </rPr>
          <t>ETCHEPAREBORDE Paul:</t>
        </r>
        <r>
          <rPr>
            <sz val="9"/>
            <color indexed="81"/>
            <rFont val="Tahoma"/>
            <family val="2"/>
          </rPr>
          <t xml:space="preserve">
complement pour visite du site des barques + pourboire Ut 40 et non 100 qu'elle a refusé
</t>
        </r>
      </text>
    </comment>
    <comment ref="T10" authorId="0" shapeId="0">
      <text>
        <r>
          <rPr>
            <b/>
            <sz val="9"/>
            <color indexed="81"/>
            <rFont val="Tahoma"/>
            <family val="2"/>
          </rPr>
          <t>ETCHEPAREBORDE Paul:</t>
        </r>
        <r>
          <rPr>
            <sz val="9"/>
            <color indexed="81"/>
            <rFont val="Tahoma"/>
            <family val="2"/>
          </rPr>
          <t xml:space="preserve">
location sccoter 3 X 250
+ remplacement permis international + essence
</t>
        </r>
      </text>
    </comment>
    <comment ref="U10" authorId="0" shapeId="0">
      <text>
        <r>
          <rPr>
            <b/>
            <sz val="9"/>
            <color indexed="81"/>
            <rFont val="Tahoma"/>
            <family val="2"/>
          </rPr>
          <t>ETCHEPAREBORDE Paul:</t>
        </r>
        <r>
          <rPr>
            <sz val="9"/>
            <color indexed="81"/>
            <rFont val="Tahoma"/>
            <family val="2"/>
          </rPr>
          <t xml:space="preserve">
essence
</t>
        </r>
      </text>
    </comment>
    <comment ref="V10" authorId="0" shapeId="0">
      <text>
        <r>
          <rPr>
            <b/>
            <sz val="9"/>
            <color indexed="81"/>
            <rFont val="Tahoma"/>
            <family val="2"/>
          </rPr>
          <t>ETCHEPAREBORDE Paul:</t>
        </r>
        <r>
          <rPr>
            <sz val="9"/>
            <color indexed="81"/>
            <rFont val="Tahoma"/>
            <family val="2"/>
          </rPr>
          <t xml:space="preserve">
reparation roue partiellement remboursée
essence 3 litres à 50 et é litres à 75 !
</t>
        </r>
      </text>
    </comment>
    <comment ref="W10" authorId="0" shapeId="0">
      <text>
        <r>
          <rPr>
            <b/>
            <sz val="9"/>
            <color indexed="81"/>
            <rFont val="Tahoma"/>
            <family val="2"/>
          </rPr>
          <t>ETCHEPAREBORDE Paul:</t>
        </r>
        <r>
          <rPr>
            <sz val="9"/>
            <color indexed="81"/>
            <rFont val="Tahoma"/>
            <family val="2"/>
          </rPr>
          <t xml:space="preserve">
ongles pieds et mains</t>
        </r>
      </text>
    </comment>
    <comment ref="Y10" authorId="0" shapeId="0">
      <text>
        <r>
          <rPr>
            <b/>
            <sz val="9"/>
            <color indexed="81"/>
            <rFont val="Tahoma"/>
            <family val="2"/>
          </rPr>
          <t>ETCHEPAREBORDE Paul:</t>
        </r>
        <r>
          <rPr>
            <sz val="9"/>
            <color indexed="81"/>
            <rFont val="Tahoma"/>
            <family val="2"/>
          </rPr>
          <t xml:space="preserve">
cours de cuisine</t>
        </r>
      </text>
    </comment>
    <comment ref="H12" authorId="0" shapeId="0">
      <text>
        <r>
          <rPr>
            <b/>
            <sz val="9"/>
            <color indexed="81"/>
            <rFont val="Tahoma"/>
            <family val="2"/>
          </rPr>
          <t>ETCHEPAREBORDE Paul:</t>
        </r>
        <r>
          <rPr>
            <sz val="9"/>
            <color indexed="81"/>
            <rFont val="Tahoma"/>
            <family val="2"/>
          </rPr>
          <t xml:space="preserve">
Danang Hoi An + un autre
</t>
        </r>
      </text>
    </comment>
    <comment ref="L12" authorId="0" shapeId="0">
      <text>
        <r>
          <rPr>
            <b/>
            <sz val="9"/>
            <color indexed="81"/>
            <rFont val="Tahoma"/>
            <family val="2"/>
          </rPr>
          <t>ETCHEPAREBORDE Paul:</t>
        </r>
        <r>
          <rPr>
            <sz val="9"/>
            <color indexed="81"/>
            <rFont val="Tahoma"/>
            <family val="2"/>
          </rPr>
          <t xml:space="preserve">
Laundry
</t>
        </r>
      </text>
    </comment>
    <comment ref="M12" authorId="0" shapeId="0">
      <text>
        <r>
          <rPr>
            <b/>
            <sz val="9"/>
            <color indexed="81"/>
            <rFont val="Tahoma"/>
            <family val="2"/>
          </rPr>
          <t>ETCHEPAREBORDE Paul:</t>
        </r>
        <r>
          <rPr>
            <sz val="9"/>
            <color indexed="81"/>
            <rFont val="Tahoma"/>
            <family val="2"/>
          </rPr>
          <t xml:space="preserve">
TOUR VERS HUE</t>
        </r>
      </text>
    </comment>
    <comment ref="P12" authorId="0" shapeId="0">
      <text>
        <r>
          <rPr>
            <b/>
            <sz val="9"/>
            <color indexed="81"/>
            <rFont val="Tahoma"/>
            <family val="2"/>
          </rPr>
          <t>ETCHEPAREBORDE Paul:</t>
        </r>
        <r>
          <rPr>
            <sz val="9"/>
            <color indexed="81"/>
            <rFont val="Tahoma"/>
            <family val="2"/>
          </rPr>
          <t xml:space="preserve">
ESCROC et moi pigeon
, au lieu des 70</t>
        </r>
      </text>
    </comment>
    <comment ref="G14" authorId="0" shapeId="0">
      <text>
        <r>
          <rPr>
            <b/>
            <sz val="9"/>
            <color indexed="81"/>
            <rFont val="Tahoma"/>
            <family val="2"/>
          </rPr>
          <t>ETCHEPAREBORDE Paul:</t>
        </r>
        <r>
          <rPr>
            <sz val="9"/>
            <color indexed="81"/>
            <rFont val="Tahoma"/>
            <family val="2"/>
          </rPr>
          <t xml:space="preserve">
avion Saigon Danang</t>
        </r>
      </text>
    </comment>
    <comment ref="O14" authorId="0" shapeId="0">
      <text>
        <r>
          <rPr>
            <b/>
            <sz val="9"/>
            <color indexed="81"/>
            <rFont val="Tahoma"/>
            <family val="2"/>
          </rPr>
          <t>ETCHEPAREBORDE Paul:</t>
        </r>
        <r>
          <rPr>
            <sz val="9"/>
            <color indexed="81"/>
            <rFont val="Tahoma"/>
            <family val="2"/>
          </rPr>
          <t xml:space="preserve">
train de nuit Dong Hoi 
Hanoi</t>
        </r>
      </text>
    </comment>
    <comment ref="E15" authorId="0" shapeId="0">
      <text>
        <r>
          <rPr>
            <b/>
            <sz val="9"/>
            <color indexed="81"/>
            <rFont val="Tahoma"/>
            <family val="2"/>
          </rPr>
          <t>ETCHEPAREBORDE Paul:</t>
        </r>
        <r>
          <rPr>
            <sz val="9"/>
            <color indexed="81"/>
            <rFont val="Tahoma"/>
            <family val="2"/>
          </rPr>
          <t xml:space="preserve">
PORTEFEUILLE
</t>
        </r>
      </text>
    </comment>
    <comment ref="E16" authorId="0" shapeId="0">
      <text>
        <r>
          <rPr>
            <b/>
            <sz val="9"/>
            <color indexed="81"/>
            <rFont val="Tahoma"/>
            <family val="2"/>
          </rPr>
          <t>ETCHEPAREBORDE Paul:</t>
        </r>
        <r>
          <rPr>
            <sz val="9"/>
            <color indexed="81"/>
            <rFont val="Tahoma"/>
            <family val="2"/>
          </rPr>
          <t xml:space="preserve">
TELEPHONIE
</t>
        </r>
      </text>
    </comment>
    <comment ref="F16" authorId="0" shapeId="0">
      <text>
        <r>
          <rPr>
            <b/>
            <sz val="9"/>
            <color indexed="81"/>
            <rFont val="Tahoma"/>
            <family val="2"/>
          </rPr>
          <t>ETCHEPAREBORDE Paul:</t>
        </r>
        <r>
          <rPr>
            <sz val="9"/>
            <color indexed="81"/>
            <rFont val="Tahoma"/>
            <family val="2"/>
          </rPr>
          <t xml:space="preserve">
Clé USB 64 Go
</t>
        </r>
      </text>
    </comment>
    <comment ref="Z16" authorId="0" shapeId="0">
      <text>
        <r>
          <rPr>
            <b/>
            <sz val="9"/>
            <color indexed="81"/>
            <rFont val="Tahoma"/>
            <family val="2"/>
          </rPr>
          <t>ETCHEPAREBORDE Paul:</t>
        </r>
        <r>
          <rPr>
            <sz val="9"/>
            <color indexed="81"/>
            <rFont val="Tahoma"/>
            <family val="2"/>
          </rPr>
          <t xml:space="preserve">
</t>
        </r>
      </text>
    </comment>
    <comment ref="X17" authorId="0" shapeId="0">
      <text>
        <r>
          <rPr>
            <b/>
            <sz val="9"/>
            <color indexed="81"/>
            <rFont val="Tahoma"/>
            <family val="2"/>
          </rPr>
          <t>ETCHEPAREBORDE Paul:</t>
        </r>
        <r>
          <rPr>
            <sz val="9"/>
            <color indexed="81"/>
            <rFont val="Tahoma"/>
            <family val="2"/>
          </rPr>
          <t xml:space="preserve">
4 cartes sculpture</t>
        </r>
      </text>
    </comment>
    <comment ref="Y17" authorId="0" shapeId="0">
      <text>
        <r>
          <rPr>
            <b/>
            <sz val="9"/>
            <color indexed="81"/>
            <rFont val="Tahoma"/>
            <family val="2"/>
          </rPr>
          <t>ETCHEPAREBORDE Paul:</t>
        </r>
        <r>
          <rPr>
            <sz val="9"/>
            <color indexed="81"/>
            <rFont val="Tahoma"/>
            <family val="2"/>
          </rPr>
          <t xml:space="preserve">
cafe-chocolat,poivre</t>
        </r>
      </text>
    </comment>
    <comment ref="Z17" authorId="0" shapeId="0">
      <text>
        <r>
          <rPr>
            <b/>
            <sz val="9"/>
            <color indexed="81"/>
            <rFont val="Tahoma"/>
            <family val="2"/>
          </rPr>
          <t>ETCHEPAREBORDE P
Tunique Caro,Nuoc mam chilly</t>
        </r>
      </text>
    </comment>
    <comment ref="E18" authorId="0" shapeId="0">
      <text>
        <r>
          <rPr>
            <b/>
            <sz val="9"/>
            <color indexed="81"/>
            <rFont val="Tahoma"/>
            <family val="2"/>
          </rPr>
          <t>ETCHEPAREBORDE Paul:</t>
        </r>
        <r>
          <rPr>
            <sz val="9"/>
            <color indexed="81"/>
            <rFont val="Tahoma"/>
            <family val="2"/>
          </rPr>
          <t xml:space="preserve">
MAILLOT DE BAIN
</t>
        </r>
      </text>
    </comment>
    <comment ref="T18" authorId="0" shapeId="0">
      <text>
        <r>
          <rPr>
            <b/>
            <sz val="9"/>
            <color indexed="81"/>
            <rFont val="Tahoma"/>
            <family val="2"/>
          </rPr>
          <t>ETCHEPAREBORDE Paul:</t>
        </r>
        <r>
          <rPr>
            <sz val="9"/>
            <color indexed="81"/>
            <rFont val="Tahoma"/>
            <family val="2"/>
          </rPr>
          <t xml:space="preserve">
SLIPS</t>
        </r>
      </text>
    </comment>
    <comment ref="X18" authorId="0" shapeId="0">
      <text>
        <r>
          <rPr>
            <b/>
            <sz val="9"/>
            <color indexed="81"/>
            <rFont val="Tahoma"/>
            <family val="2"/>
          </rPr>
          <t>ETCHEPAREBORDE Paul:</t>
        </r>
        <r>
          <rPr>
            <sz val="9"/>
            <color indexed="81"/>
            <rFont val="Tahoma"/>
            <family val="2"/>
          </rPr>
          <t xml:space="preserve">
ensembble viet soie noir
</t>
        </r>
      </text>
    </comment>
    <comment ref="Z18" authorId="0" shapeId="0">
      <text>
        <r>
          <rPr>
            <b/>
            <sz val="9"/>
            <color indexed="81"/>
            <rFont val="Tahoma"/>
            <family val="2"/>
          </rPr>
          <t>ETCHEPAREBORDE Paul:</t>
        </r>
        <r>
          <rPr>
            <sz val="9"/>
            <color indexed="81"/>
            <rFont val="Tahoma"/>
            <family val="2"/>
          </rPr>
          <t xml:space="preserve">
3 slips</t>
        </r>
      </text>
    </comment>
    <comment ref="F19" authorId="0" shapeId="0">
      <text>
        <r>
          <rPr>
            <b/>
            <sz val="9"/>
            <color indexed="81"/>
            <rFont val="Tahoma"/>
            <family val="2"/>
          </rPr>
          <t>ETCHEPAREBORDE Paul:</t>
        </r>
        <r>
          <rPr>
            <sz val="9"/>
            <color indexed="81"/>
            <rFont val="Tahoma"/>
            <family val="2"/>
          </rPr>
          <t xml:space="preserve">
FOOT MASSAGE
</t>
        </r>
      </text>
    </comment>
    <comment ref="G19" authorId="0" shapeId="0">
      <text>
        <r>
          <rPr>
            <b/>
            <sz val="9"/>
            <color indexed="81"/>
            <rFont val="Tahoma"/>
            <family val="2"/>
          </rPr>
          <t>ETCHEPAREBORDE Paul:</t>
        </r>
        <r>
          <rPr>
            <sz val="9"/>
            <color indexed="81"/>
            <rFont val="Tahoma"/>
            <family val="2"/>
          </rPr>
          <t xml:space="preserve">
pourboire glaces
</t>
        </r>
      </text>
    </comment>
    <comment ref="P19" authorId="0" shapeId="0">
      <text>
        <r>
          <rPr>
            <b/>
            <sz val="9"/>
            <color indexed="81"/>
            <rFont val="Tahoma"/>
            <family val="2"/>
          </rPr>
          <t>ETCHEPAREBORDE Paul:</t>
        </r>
        <r>
          <rPr>
            <sz val="9"/>
            <color indexed="81"/>
            <rFont val="Tahoma"/>
            <family val="2"/>
          </rPr>
          <t xml:space="preserve">
massage vietnamien
</t>
        </r>
      </text>
    </comment>
    <comment ref="R19" authorId="0" shapeId="0">
      <text>
        <r>
          <rPr>
            <b/>
            <sz val="9"/>
            <color indexed="81"/>
            <rFont val="Tahoma"/>
            <family val="2"/>
          </rPr>
          <t>ETCHEPAREBORDE Paul:</t>
        </r>
        <r>
          <rPr>
            <sz val="9"/>
            <color indexed="81"/>
            <rFont val="Tahoma"/>
            <family val="2"/>
          </rPr>
          <t xml:space="preserve">
massage vietnamien extraordianire soiree du samedi a Saigon
</t>
        </r>
      </text>
    </comment>
    <comment ref="W19" authorId="0" shapeId="0">
      <text>
        <r>
          <rPr>
            <b/>
            <sz val="9"/>
            <color indexed="81"/>
            <rFont val="Tahoma"/>
            <family val="2"/>
          </rPr>
          <t>ETCHEPAREBORDE Paul:</t>
        </r>
        <r>
          <rPr>
            <sz val="9"/>
            <color indexed="81"/>
            <rFont val="Tahoma"/>
            <family val="2"/>
          </rPr>
          <t xml:space="preserve">
MASSAGE VIETNAMIEN</t>
        </r>
      </text>
    </comment>
    <comment ref="G20" authorId="0" shapeId="0">
      <text>
        <r>
          <rPr>
            <b/>
            <sz val="9"/>
            <color indexed="81"/>
            <rFont val="Tahoma"/>
            <family val="2"/>
          </rPr>
          <t>ETCHEPAREBORDE Paul:</t>
        </r>
        <r>
          <rPr>
            <sz val="9"/>
            <color indexed="81"/>
            <rFont val="Tahoma"/>
            <family val="2"/>
          </rPr>
          <t xml:space="preserve">
convenu 600 avec Trang
</t>
        </r>
      </text>
    </comment>
  </commentList>
</comments>
</file>

<file path=xl/sharedStrings.xml><?xml version="1.0" encoding="utf-8"?>
<sst xmlns="http://schemas.openxmlformats.org/spreadsheetml/2006/main" count="12476" uniqueCount="1333">
  <si>
    <t>P tit dej</t>
  </si>
  <si>
    <t>Bouffe</t>
  </si>
  <si>
    <t>Courses</t>
  </si>
  <si>
    <t>Habits Paul</t>
  </si>
  <si>
    <t>Massage</t>
  </si>
  <si>
    <t>Activité</t>
  </si>
  <si>
    <t>Cadeaux</t>
  </si>
  <si>
    <t>Bar</t>
  </si>
  <si>
    <t>Hotel</t>
  </si>
  <si>
    <t>Euros</t>
  </si>
  <si>
    <t>origine</t>
  </si>
  <si>
    <t>CHANGE</t>
  </si>
  <si>
    <t>Paris</t>
  </si>
  <si>
    <t>Dong</t>
  </si>
  <si>
    <t>Total</t>
  </si>
  <si>
    <t>Saïgon</t>
  </si>
  <si>
    <t>DG</t>
  </si>
  <si>
    <t>€</t>
  </si>
  <si>
    <t>electronique</t>
  </si>
  <si>
    <t>autres</t>
  </si>
  <si>
    <t>Hoi An</t>
  </si>
  <si>
    <t>courant</t>
  </si>
  <si>
    <t>equipement</t>
  </si>
  <si>
    <t>activité</t>
  </si>
  <si>
    <t>hors voyage</t>
  </si>
  <si>
    <t>transport</t>
  </si>
  <si>
    <t>transport 2</t>
  </si>
  <si>
    <t>Taxi intra</t>
  </si>
  <si>
    <t>Taxi exterieur</t>
  </si>
  <si>
    <t>CHEMISES</t>
  </si>
  <si>
    <t>CHAUSSURES</t>
  </si>
  <si>
    <t>ROBE</t>
  </si>
  <si>
    <t>TOTAL</t>
  </si>
  <si>
    <t>Paiement CB</t>
  </si>
  <si>
    <t>visa</t>
  </si>
  <si>
    <t>Hué</t>
  </si>
  <si>
    <t>restau</t>
  </si>
  <si>
    <t>Saigon</t>
  </si>
  <si>
    <t>Phong Nha</t>
  </si>
  <si>
    <t>grottes Phong Nha</t>
  </si>
  <si>
    <t>cite imperiale Hué</t>
  </si>
  <si>
    <t>Ho Chi Minh et prison</t>
  </si>
  <si>
    <t>messe et restau</t>
  </si>
  <si>
    <t>Baie d'Along</t>
  </si>
  <si>
    <t>Voyage bus à Hué</t>
  </si>
  <si>
    <t>HOTEL</t>
  </si>
  <si>
    <t>arrivée tel marché massage</t>
  </si>
  <si>
    <t>deux musées</t>
  </si>
  <si>
    <t>foot massages</t>
  </si>
  <si>
    <t>Along</t>
  </si>
  <si>
    <t>Jjournée a Din Binh</t>
  </si>
  <si>
    <t>Voyage a Saigon</t>
  </si>
  <si>
    <t>Hanoi</t>
  </si>
  <si>
    <t>Ha Giang</t>
  </si>
  <si>
    <t>Yen Minh</t>
  </si>
  <si>
    <t>Dong Van</t>
  </si>
  <si>
    <t>vol</t>
  </si>
  <si>
    <t>RER</t>
  </si>
  <si>
    <t>visite musée</t>
  </si>
  <si>
    <t>Ha giang loop 3 days</t>
  </si>
  <si>
    <t>Massage 2</t>
  </si>
  <si>
    <t>voyage</t>
  </si>
  <si>
    <t>chargeur batterie</t>
  </si>
  <si>
    <t>TAXI Renouleaud</t>
  </si>
  <si>
    <t>ptit dej</t>
  </si>
  <si>
    <t>cours de cuisine food tour</t>
  </si>
  <si>
    <t xml:space="preserve">Taux </t>
  </si>
  <si>
    <t>Zurich</t>
  </si>
  <si>
    <t>BDX</t>
  </si>
  <si>
    <t>Hanoi Da Nang</t>
  </si>
  <si>
    <t>dong</t>
  </si>
  <si>
    <t>JUS et bar</t>
  </si>
  <si>
    <t>chocolats UT</t>
  </si>
  <si>
    <t>Mac Do Caro</t>
  </si>
  <si>
    <t>Musee femme pedicure</t>
  </si>
  <si>
    <t>EUROS</t>
  </si>
  <si>
    <t>billets</t>
  </si>
  <si>
    <t>DONGS</t>
  </si>
  <si>
    <t>Vu Vo recherche sur mesure</t>
  </si>
  <si>
    <t>moyenne</t>
  </si>
  <si>
    <t>Tam Coc</t>
  </si>
  <si>
    <t>barque ballade  refus de visa !</t>
  </si>
  <si>
    <t>Mai Chau</t>
  </si>
  <si>
    <t>Dien Bien Phu</t>
  </si>
  <si>
    <t>lundi</t>
  </si>
  <si>
    <t>mardi</t>
  </si>
  <si>
    <t>Mer</t>
  </si>
  <si>
    <t>Jeu</t>
  </si>
  <si>
    <t>Ven</t>
  </si>
  <si>
    <t>Sam</t>
  </si>
  <si>
    <t>Dim</t>
  </si>
  <si>
    <t>repas caritatif tribu</t>
  </si>
  <si>
    <t>visites musee sites DBP repas couloir d'hotel genou</t>
  </si>
  <si>
    <t>ballade rizieres massage repas de famille convoyage u bus</t>
  </si>
  <si>
    <t>DONG</t>
  </si>
  <si>
    <t>ACTIVITES</t>
  </si>
  <si>
    <t>SYNTHESE DONG</t>
  </si>
  <si>
    <t>DONG + EUROS</t>
  </si>
  <si>
    <t>SYNTHESE DONG + EUROS</t>
  </si>
  <si>
    <t>Prince Boutique Hotel</t>
  </si>
  <si>
    <t>Golden charm Hotel</t>
  </si>
  <si>
    <t>La belle vie</t>
  </si>
  <si>
    <t>Lu's Homestay</t>
  </si>
  <si>
    <t>Hoang Kim Hotel</t>
  </si>
  <si>
    <t>Hoang Ngoc Hotel</t>
  </si>
  <si>
    <t>Du Gia</t>
  </si>
  <si>
    <t>Luxury Hotel</t>
  </si>
  <si>
    <t>windbell homestay villa</t>
  </si>
  <si>
    <t>BUS</t>
  </si>
  <si>
    <t>3 L</t>
  </si>
  <si>
    <t>2 L</t>
  </si>
  <si>
    <t>6 L</t>
  </si>
  <si>
    <t>conso essence 400 km</t>
  </si>
  <si>
    <t xml:space="preserve"> 22/01/2019</t>
  </si>
  <si>
    <t>Expedia 75 PARIS</t>
  </si>
  <si>
    <t xml:space="preserve"> 30/01/2019</t>
  </si>
  <si>
    <t xml:space="preserve"> 31/01/2019</t>
  </si>
  <si>
    <t xml:space="preserve"> 04/02/2019</t>
  </si>
  <si>
    <t xml:space="preserve"> 17/02/2019</t>
  </si>
  <si>
    <t xml:space="preserve"> 18/02/2019</t>
  </si>
  <si>
    <t xml:space="preserve"> 21/02/2019</t>
  </si>
  <si>
    <t>MC DONALD'S VILLENAVE D'OR</t>
  </si>
  <si>
    <t>SARL MAYLINA VILLENAVE D ORNO</t>
  </si>
  <si>
    <t>CONFISERIE SPRUNGLI AG V1 ZURICH</t>
  </si>
  <si>
    <t>JUICE &amp; MORE SAMUTPRAKARN</t>
  </si>
  <si>
    <t>HOTELS.COM155582189139 FR.HOTELS.COM</t>
  </si>
  <si>
    <t>HOTELS.COM155991799682 FR.HOTELS.COM</t>
  </si>
  <si>
    <t>VIATORTRIPADVISOR UK LONDON</t>
  </si>
  <si>
    <t>BURGER DEPARTURE1-NIA HA NOI</t>
  </si>
  <si>
    <t xml:space="preserve"> 22/02/2019</t>
  </si>
  <si>
    <t>UBER 75 PARIS</t>
  </si>
  <si>
    <t xml:space="preserve"> 20/12/2018</t>
  </si>
  <si>
    <t>Vol Hanoi Danang</t>
  </si>
  <si>
    <t>Vol Bdx Hanoi</t>
  </si>
  <si>
    <t>CARTES BLEUES</t>
  </si>
  <si>
    <t>Dongs</t>
  </si>
  <si>
    <t>cadeau</t>
  </si>
  <si>
    <t>habits</t>
  </si>
  <si>
    <t>VOL</t>
  </si>
  <si>
    <t>hotel</t>
  </si>
  <si>
    <t>repas</t>
  </si>
  <si>
    <t>change</t>
  </si>
  <si>
    <t>p tit dej</t>
  </si>
  <si>
    <t>tailleur</t>
  </si>
  <si>
    <t>bus train avion</t>
  </si>
  <si>
    <t>achats</t>
  </si>
  <si>
    <t>café jus</t>
  </si>
  <si>
    <t>street food</t>
  </si>
  <si>
    <t>biere whisky</t>
  </si>
  <si>
    <t>taxi int</t>
  </si>
  <si>
    <t>taxi ext</t>
  </si>
  <si>
    <t>massage</t>
  </si>
  <si>
    <t>M2</t>
  </si>
  <si>
    <t>cig eau divers</t>
  </si>
  <si>
    <t>Moscou</t>
  </si>
  <si>
    <t>Splendid star boutique hotel</t>
  </si>
  <si>
    <t>Milton boutique Hotel</t>
  </si>
  <si>
    <t>Ninh Binh</t>
  </si>
  <si>
    <t xml:space="preserve">NUIT A </t>
  </si>
  <si>
    <t>Icon 36 Hotel</t>
  </si>
  <si>
    <t>Emeralda</t>
  </si>
  <si>
    <t>exceptionnel</t>
  </si>
  <si>
    <t>Flamingo</t>
  </si>
  <si>
    <t>Hanoi Chic Boutic Hotel</t>
  </si>
  <si>
    <t>contact Ruby Whatsapp +84 37 597 9893</t>
  </si>
  <si>
    <t>Chambre 701 900 KDg</t>
  </si>
  <si>
    <t>chambre : 203 &amp; 303 Balcony</t>
  </si>
  <si>
    <t>Chambre 601 1M Dg Balcony</t>
  </si>
  <si>
    <t>35 37 Bat Su</t>
  </si>
  <si>
    <t>51 53 Bat Su</t>
  </si>
  <si>
    <t>Contact Marcus</t>
  </si>
  <si>
    <t>printemps à 500 Kdgs</t>
  </si>
  <si>
    <t>Hotel Orly sud</t>
  </si>
  <si>
    <t xml:space="preserve"> 28/03/2019</t>
  </si>
  <si>
    <t>Chèque</t>
  </si>
  <si>
    <t>Retrait espece Viet Nam 3</t>
  </si>
  <si>
    <t xml:space="preserve"> 29/03/2019</t>
  </si>
  <si>
    <t>Prélèvement</t>
  </si>
  <si>
    <t xml:space="preserve">FRAIS RETRAIT ESPECES           </t>
  </si>
  <si>
    <t xml:space="preserve"> 23/03/2019</t>
  </si>
  <si>
    <t>Carte</t>
  </si>
  <si>
    <t>AEROFLOT    5553495437552 PARIS</t>
  </si>
  <si>
    <t xml:space="preserve"> 02/04/2019</t>
  </si>
  <si>
    <t>Virement</t>
  </si>
  <si>
    <t xml:space="preserve">VIREMENT RENOULEAUD M EL        </t>
  </si>
  <si>
    <t>NATURE DECOUVERT BEGLES CEDEX</t>
  </si>
  <si>
    <t>SARL L&amp;N TALENCE</t>
  </si>
  <si>
    <t>AUBADE BEGLES BEGLES CEDEX</t>
  </si>
  <si>
    <t xml:space="preserve"> 01/04/2019</t>
  </si>
  <si>
    <t>SABON BEGLES</t>
  </si>
  <si>
    <t>MAMA RASHA MEZHDUNARODNAY KHIMKI</t>
  </si>
  <si>
    <t xml:space="preserve"> 04/04/2019</t>
  </si>
  <si>
    <t>AIRBNB 14158005959</t>
  </si>
  <si>
    <t xml:space="preserve"> 05/04/2019</t>
  </si>
  <si>
    <t xml:space="preserve"> 11/04/2019</t>
  </si>
  <si>
    <t>EMERALDA RESORT NINH BINH NINH BINH</t>
  </si>
  <si>
    <t xml:space="preserve"> 22/04/2019</t>
  </si>
  <si>
    <t>SHEREMETIEVO TERM. E KHIMKI</t>
  </si>
  <si>
    <t>BURGER KING 0045 KHIMKI</t>
  </si>
  <si>
    <t xml:space="preserve"> 23/04/2019</t>
  </si>
  <si>
    <t>HOTEL ORLY ATHIS MONS</t>
  </si>
  <si>
    <t>Aleas</t>
  </si>
  <si>
    <t>CASH RESTANT</t>
  </si>
  <si>
    <t>midi</t>
  </si>
  <si>
    <t>soir</t>
  </si>
  <si>
    <t>marché</t>
  </si>
  <si>
    <t>vetement</t>
  </si>
  <si>
    <t>Bordeaux</t>
  </si>
  <si>
    <t>HORS HOTEL ET EXTRA</t>
  </si>
  <si>
    <t>Aleas (Hoa's trip)</t>
  </si>
  <si>
    <t>PROJECTION</t>
  </si>
  <si>
    <t>Tam Dao</t>
  </si>
  <si>
    <t>aleas</t>
  </si>
  <si>
    <t>total</t>
  </si>
  <si>
    <t>Da Lat</t>
  </si>
  <si>
    <t xml:space="preserve">FRAIS TRANSF EUR 18000.00       </t>
  </si>
  <si>
    <t>YON VOYAGES ANGLET</t>
  </si>
  <si>
    <t>CADEAU HOA</t>
  </si>
  <si>
    <t>CADEAU MAGALI et UT</t>
  </si>
  <si>
    <t>CLASSIC STREET HOTEL-M HA NOI</t>
  </si>
  <si>
    <t>CADEAU FILS DE HOA</t>
  </si>
  <si>
    <t>TAXI RENOULEAUD</t>
  </si>
  <si>
    <t>SEPTEMBRE</t>
  </si>
  <si>
    <t>p'tit dej'</t>
  </si>
  <si>
    <t>ECRITURES</t>
  </si>
  <si>
    <t>cash aout</t>
  </si>
  <si>
    <t>4 vietnam LCL</t>
  </si>
  <si>
    <t>taxi</t>
  </si>
  <si>
    <t>Vietnam III</t>
  </si>
  <si>
    <t>Banque</t>
  </si>
  <si>
    <t>fichier</t>
  </si>
  <si>
    <t>valeur</t>
  </si>
  <si>
    <t>segmenter ecriture dongs et CB euros</t>
  </si>
  <si>
    <t>Appart</t>
  </si>
  <si>
    <t>DATE</t>
  </si>
  <si>
    <t>LIEU</t>
  </si>
  <si>
    <t>MARIAGE</t>
  </si>
  <si>
    <t>Yen Binh</t>
  </si>
  <si>
    <t>Meo Vac</t>
  </si>
  <si>
    <t>Ong Van</t>
  </si>
  <si>
    <t>Bungalow</t>
  </si>
  <si>
    <t>excellent</t>
  </si>
  <si>
    <t>Danang</t>
  </si>
  <si>
    <t>mariage</t>
  </si>
  <si>
    <t>Pot delicieux sur le bar , sur le fleuve</t>
  </si>
  <si>
    <t>3 whiskies apres massage et happy water parce que furieux</t>
  </si>
  <si>
    <t>pharmacie</t>
  </si>
  <si>
    <t>Vietnam V</t>
  </si>
  <si>
    <t>5 vietnam LCL</t>
  </si>
  <si>
    <t>ecriture</t>
  </si>
  <si>
    <t>oct</t>
  </si>
  <si>
    <t>Nov</t>
  </si>
  <si>
    <t>Dec</t>
  </si>
  <si>
    <t>Nbre jours</t>
  </si>
  <si>
    <t>Nature</t>
  </si>
  <si>
    <t>contrôle</t>
  </si>
  <si>
    <t>code</t>
  </si>
  <si>
    <t>date</t>
  </si>
  <si>
    <t>cash out</t>
  </si>
  <si>
    <t>ecriture reverse</t>
  </si>
  <si>
    <t>Voy V</t>
  </si>
  <si>
    <t>VIETNAM AIRLINES PARIS</t>
  </si>
  <si>
    <t xml:space="preserve"> CB  RETRAIT DU  20/02          </t>
  </si>
  <si>
    <t xml:space="preserve"> CB  RETRAIT DU  23/02          </t>
  </si>
  <si>
    <t>CADEAU UT</t>
  </si>
  <si>
    <t>WIFI EXTENDER HOA</t>
  </si>
  <si>
    <t>taxi renouleaud gare</t>
  </si>
  <si>
    <t>flamingo</t>
  </si>
  <si>
    <t>Lien TRI, 10, APPT 402</t>
  </si>
  <si>
    <t>Phu quoc par Airbnb</t>
  </si>
  <si>
    <t>16 The Giao, by booking</t>
  </si>
  <si>
    <t>Phu Quoc</t>
  </si>
  <si>
    <t>RAR</t>
  </si>
  <si>
    <t>cash out mars</t>
  </si>
  <si>
    <t>6 vietnam LCL</t>
  </si>
  <si>
    <t>Fev</t>
  </si>
  <si>
    <t>Mars</t>
  </si>
  <si>
    <t>Avril</t>
  </si>
  <si>
    <t>Flat 2</t>
  </si>
  <si>
    <t>Flat 1</t>
  </si>
  <si>
    <t>Flat 3</t>
  </si>
  <si>
    <t>H</t>
  </si>
  <si>
    <t>I</t>
  </si>
  <si>
    <t>AM</t>
  </si>
  <si>
    <t>MARS</t>
  </si>
  <si>
    <t>FEVRIER</t>
  </si>
  <si>
    <t>E</t>
  </si>
  <si>
    <t>AVRIL</t>
  </si>
  <si>
    <t>Thai Nguyen</t>
  </si>
  <si>
    <t>Lundi</t>
  </si>
  <si>
    <t>100</t>
  </si>
  <si>
    <t>BR</t>
  </si>
  <si>
    <t>BQ</t>
  </si>
  <si>
    <t>AN</t>
  </si>
  <si>
    <t>MAI</t>
  </si>
  <si>
    <t>CREDIT</t>
  </si>
  <si>
    <t>DEBIT</t>
  </si>
  <si>
    <t>sur N+1</t>
  </si>
  <si>
    <t>dépenses</t>
  </si>
  <si>
    <t>cash cum</t>
  </si>
  <si>
    <t>dep cumul</t>
  </si>
  <si>
    <t>COMPTA BANQUE</t>
  </si>
  <si>
    <t>??????</t>
  </si>
  <si>
    <t>Nombre de jours</t>
  </si>
  <si>
    <t>cour + act + transp</t>
  </si>
  <si>
    <t>reste a venir</t>
  </si>
  <si>
    <t>Bus VIP</t>
  </si>
  <si>
    <t>CASH IN</t>
  </si>
  <si>
    <t>ECRITURES PASSEES</t>
  </si>
  <si>
    <t>Ha Trung street</t>
  </si>
  <si>
    <t>CU</t>
  </si>
  <si>
    <t>CV</t>
  </si>
  <si>
    <t>JUIN</t>
  </si>
  <si>
    <t>airbnb</t>
  </si>
  <si>
    <t>Co's house</t>
  </si>
  <si>
    <t>Ha Long</t>
  </si>
  <si>
    <t>Sapa</t>
  </si>
  <si>
    <t>Icon 36</t>
  </si>
  <si>
    <t>bus</t>
  </si>
  <si>
    <t>Sapa view Hotel</t>
  </si>
  <si>
    <t>JUIL</t>
  </si>
  <si>
    <t>Cua Lo</t>
  </si>
  <si>
    <t>Khach San HOLIDAY CUA LO</t>
  </si>
  <si>
    <t>TRAIN</t>
  </si>
  <si>
    <t>FE</t>
  </si>
  <si>
    <t>FF</t>
  </si>
  <si>
    <t>FG</t>
  </si>
  <si>
    <t>DZ</t>
  </si>
  <si>
    <t>alimentation</t>
  </si>
  <si>
    <t>autres voyage</t>
  </si>
  <si>
    <t>Alimentation</t>
  </si>
  <si>
    <t>Ecart</t>
  </si>
  <si>
    <t>Dépenses Dong</t>
  </si>
  <si>
    <t>Dépenses Euros</t>
  </si>
  <si>
    <t>F</t>
  </si>
  <si>
    <t>G</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</si>
  <si>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</si>
  <si>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</si>
  <si>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</si>
  <si>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</si>
  <si>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</si>
  <si>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</si>
  <si>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</si>
  <si>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</si>
  <si>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</si>
  <si>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</si>
  <si>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</si>
  <si>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</si>
  <si>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</si>
  <si>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</si>
  <si>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</si>
  <si>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</si>
  <si>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</si>
  <si>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</si>
  <si>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</si>
  <si>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</si>
  <si>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</si>
  <si>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</si>
  <si>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</si>
  <si>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</si>
  <si>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</si>
  <si>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</si>
  <si>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</si>
  <si>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</si>
  <si>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</si>
  <si>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</si>
  <si>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</si>
  <si>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</si>
  <si>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</si>
  <si>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</si>
  <si>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</si>
  <si>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</si>
  <si>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</si>
  <si>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</si>
  <si>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</si>
  <si>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</si>
  <si>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</si>
  <si>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</si>
  <si>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</si>
  <si>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</si>
  <si>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</si>
  <si>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</si>
  <si>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</si>
  <si>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</si>
  <si>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</si>
  <si>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</si>
  <si>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</si>
  <si>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</si>
  <si>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</si>
  <si>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</si>
  <si>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</si>
  <si>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</si>
  <si>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</si>
  <si>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</si>
  <si>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</si>
  <si>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</si>
  <si>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</si>
  <si>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</si>
  <si>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</si>
  <si>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</si>
  <si>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</si>
  <si>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</si>
  <si>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</si>
  <si>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</si>
  <si>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</si>
  <si>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</si>
  <si>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</si>
  <si>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</si>
  <si>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</si>
  <si>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</si>
  <si>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</si>
  <si>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</si>
  <si>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</si>
  <si>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</si>
  <si>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</si>
  <si>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</si>
  <si>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</si>
  <si>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</si>
  <si>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</si>
  <si>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</si>
  <si>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</si>
  <si>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CW</t>
  </si>
  <si>
    <t>CX</t>
  </si>
  <si>
    <t>CY</t>
  </si>
  <si>
    <t>CZ</t>
  </si>
  <si>
    <t>DA</t>
  </si>
  <si>
    <t>DB</t>
  </si>
  <si>
    <t>DC</t>
  </si>
  <si>
    <t>DD</t>
  </si>
  <si>
    <t>DE</t>
  </si>
  <si>
    <t>DF</t>
  </si>
  <si>
    <t>DH</t>
  </si>
  <si>
    <t>DI</t>
  </si>
  <si>
    <t>DJ</t>
  </si>
  <si>
    <t>DK</t>
  </si>
  <si>
    <t>DL</t>
  </si>
  <si>
    <t>DM</t>
  </si>
  <si>
    <t>DN</t>
  </si>
  <si>
    <t>DO</t>
  </si>
  <si>
    <t>DP</t>
  </si>
  <si>
    <t>DQ</t>
  </si>
  <si>
    <t>DR</t>
  </si>
  <si>
    <t>DS</t>
  </si>
  <si>
    <t>DT</t>
  </si>
  <si>
    <t>DU</t>
  </si>
  <si>
    <t>DV</t>
  </si>
  <si>
    <t>DW</t>
  </si>
  <si>
    <t>DX</t>
  </si>
  <si>
    <t>DY</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</si>
  <si>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</si>
  <si>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</si>
  <si>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</si>
  <si>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</si>
  <si>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</si>
  <si>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</si>
  <si>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</si>
  <si>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</si>
  <si>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</si>
  <si>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</si>
  <si>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</si>
  <si>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</si>
  <si>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</si>
  <si>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</si>
  <si>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</si>
  <si>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</si>
  <si>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</si>
  <si>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</si>
  <si>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</si>
  <si>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</si>
  <si>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</si>
  <si>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</si>
  <si>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</si>
  <si>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</si>
  <si>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</si>
  <si>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</si>
  <si>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</si>
  <si>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</si>
  <si>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</si>
  <si>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</si>
  <si>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</si>
  <si>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</si>
  <si>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</si>
  <si>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</si>
  <si>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</si>
  <si>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</si>
  <si>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</si>
  <si>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</si>
  <si>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</si>
  <si>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</si>
  <si>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</si>
  <si>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</si>
  <si>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</si>
  <si>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</si>
  <si>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</si>
  <si>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</si>
  <si>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</si>
  <si>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</si>
  <si>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</si>
  <si>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</si>
  <si>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</si>
  <si>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</si>
  <si>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</si>
  <si>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</si>
  <si>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</si>
  <si>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</si>
  <si>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</si>
  <si>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</si>
  <si>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</si>
  <si>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</si>
  <si>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VietnamVI</t>
  </si>
  <si>
    <t>Ha giang</t>
  </si>
  <si>
    <t>Jour</t>
  </si>
  <si>
    <t>Ligne</t>
  </si>
  <si>
    <t>Resort</t>
  </si>
  <si>
    <t>Paul</t>
  </si>
  <si>
    <t>HORS APPART</t>
  </si>
  <si>
    <t>AOUT</t>
  </si>
  <si>
    <t>SEPT</t>
  </si>
  <si>
    <t>OCT</t>
  </si>
  <si>
    <t>Sam Son</t>
  </si>
  <si>
    <t>HM</t>
  </si>
  <si>
    <t>Sam son</t>
  </si>
  <si>
    <t>Bus limousine</t>
  </si>
  <si>
    <t>Sapa Eco Bungalows</t>
  </si>
  <si>
    <t>GL</t>
  </si>
  <si>
    <t>GM</t>
  </si>
  <si>
    <t>GN</t>
  </si>
  <si>
    <t>GO</t>
  </si>
  <si>
    <t>GP</t>
  </si>
  <si>
    <t>GQ</t>
  </si>
  <si>
    <t>GR</t>
  </si>
  <si>
    <t>GS</t>
  </si>
  <si>
    <t>GT</t>
  </si>
  <si>
    <t>Avion</t>
  </si>
  <si>
    <t>Air France</t>
  </si>
  <si>
    <t>cash €</t>
  </si>
  <si>
    <t>dongs</t>
  </si>
  <si>
    <t>cash Dongs</t>
  </si>
  <si>
    <t>Fine</t>
  </si>
  <si>
    <t>CASH, FINE, AND MONTHS</t>
  </si>
  <si>
    <t xml:space="preserve">RETRAIT VIREMENT ETRANGER 23042096506   </t>
  </si>
  <si>
    <t xml:space="preserve">VIREMENT ETRANGER 22052096560   </t>
  </si>
  <si>
    <t xml:space="preserve">CB RETRAIT DU 30/05/20 VCBC- 1  </t>
  </si>
  <si>
    <t xml:space="preserve">VIREMENT ETRANGER 19062096546   </t>
  </si>
  <si>
    <t xml:space="preserve">VIREMENT ETRANGER 28072096501   </t>
  </si>
  <si>
    <t xml:space="preserve">VIREMENT ETRANGER 11082096537   </t>
  </si>
  <si>
    <t>SNCF OUIGO PUTEAUX</t>
  </si>
  <si>
    <t xml:space="preserve">VERSEMENT EXPRESS 250920        </t>
  </si>
  <si>
    <t>Gu</t>
  </si>
  <si>
    <t>Hoa</t>
  </si>
  <si>
    <t>7 MOIS</t>
  </si>
  <si>
    <t>MENSUEL</t>
  </si>
  <si>
    <t>ZERO</t>
  </si>
  <si>
    <t>BOUFFE</t>
  </si>
  <si>
    <t>LOYER</t>
  </si>
  <si>
    <t>ACTIVITE</t>
  </si>
  <si>
    <t>ACHATS</t>
  </si>
  <si>
    <t>Amsterdam</t>
  </si>
  <si>
    <t>Invest</t>
  </si>
  <si>
    <t>local</t>
  </si>
  <si>
    <t>telecom, divers</t>
  </si>
  <si>
    <t>cig divers</t>
  </si>
  <si>
    <t>RESTE</t>
  </si>
  <si>
    <t>DEPENSES</t>
  </si>
  <si>
    <t xml:space="preserve">Invest </t>
  </si>
  <si>
    <t>INITIAL</t>
  </si>
  <si>
    <t>taux de change</t>
  </si>
  <si>
    <t>87 P. Bui Thi Xuan</t>
  </si>
  <si>
    <t>101 P. Bui Thi Xuan</t>
  </si>
  <si>
    <t>Singapore</t>
  </si>
  <si>
    <t>81 P. Bui Thi Xuan</t>
  </si>
  <si>
    <t>changé</t>
  </si>
  <si>
    <t>36/37</t>
  </si>
  <si>
    <t>40/41</t>
  </si>
  <si>
    <t>38/39</t>
  </si>
  <si>
    <t>Hai Phong</t>
  </si>
  <si>
    <t>Da nang</t>
  </si>
  <si>
    <t>Visa</t>
  </si>
  <si>
    <t>taux</t>
  </si>
  <si>
    <t>Euros Jour</t>
  </si>
  <si>
    <t>LOCAL</t>
  </si>
  <si>
    <t>TRANSP</t>
  </si>
  <si>
    <t>EXCEPT</t>
  </si>
  <si>
    <t>x</t>
  </si>
  <si>
    <t>DIF</t>
  </si>
  <si>
    <t>DIFFERENCE</t>
  </si>
  <si>
    <t>cash + dépenses</t>
  </si>
  <si>
    <t>CUMUL</t>
  </si>
  <si>
    <t xml:space="preserve">Disponible </t>
  </si>
  <si>
    <t>Dépenses</t>
  </si>
  <si>
    <t>DG en EURO</t>
  </si>
  <si>
    <t>dernier taux moyen</t>
  </si>
  <si>
    <t>Bangkok</t>
  </si>
  <si>
    <t>Pattaya</t>
  </si>
  <si>
    <t>Thailand</t>
  </si>
  <si>
    <t>somme dongs</t>
  </si>
  <si>
    <t>EURO+DONGS (1)</t>
  </si>
  <si>
    <t>DONGS (0)</t>
  </si>
  <si>
    <t>alim</t>
  </si>
  <si>
    <t>transp</t>
  </si>
  <si>
    <t>hors voy</t>
  </si>
  <si>
    <t>Par jour</t>
  </si>
  <si>
    <t>INDIRECT($C$25&amp;LIGNE())</t>
  </si>
  <si>
    <t>hors visa</t>
  </si>
  <si>
    <t>hors voy except</t>
  </si>
  <si>
    <t>TRANSP hors visa</t>
  </si>
  <si>
    <t>VAR DEP</t>
  </si>
  <si>
    <t>var cash</t>
  </si>
  <si>
    <t>treso</t>
  </si>
  <si>
    <t>depenses</t>
  </si>
  <si>
    <t>Nha Toi</t>
  </si>
  <si>
    <t>Flat 3,5 : 87 Bui Thi Xuan</t>
  </si>
  <si>
    <t>CUBE FAMILY BOUTIQUE</t>
  </si>
  <si>
    <t>Pattaya : City Garden Tower Condo by Som +66 922622461</t>
  </si>
  <si>
    <t>DLG Hotel Danang 
+84 236 3925 888</t>
  </si>
  <si>
    <t>DLG Hotel Danang 
+84 236 3925 886</t>
  </si>
  <si>
    <t>DLG Hotel Danang 
+84 236 3925 887</t>
  </si>
  <si>
    <t>Flat 4 : 81 Bui Thi Xuan</t>
  </si>
  <si>
    <t>Bangkok Trinity Silom Hotel 
+66 2 2315050</t>
  </si>
  <si>
    <t>Pattaya; Royal Beach View +66 38 250 585
+66 38 250 585</t>
  </si>
  <si>
    <t>Bangkok: AT EASE saladaeng by AETAS</t>
  </si>
  <si>
    <t>20 20 50 20</t>
  </si>
  <si>
    <t>tranf de Viet 7</t>
  </si>
  <si>
    <t>vpyage Hoa</t>
  </si>
  <si>
    <t>depot casl LCL</t>
  </si>
  <si>
    <t>Jean Louis</t>
  </si>
  <si>
    <t>Hoa Juin</t>
  </si>
  <si>
    <t>cash 170 €</t>
  </si>
  <si>
    <t>-</t>
  </si>
  <si>
    <t>Appart + Ene</t>
  </si>
  <si>
    <t>Bar, Cig</t>
  </si>
  <si>
    <t>local + act</t>
  </si>
  <si>
    <t>Divers &amp; Tel</t>
  </si>
  <si>
    <t>JL</t>
  </si>
  <si>
    <t>au 12/11/2022</t>
  </si>
  <si>
    <t>NOV</t>
  </si>
  <si>
    <t>FEV</t>
  </si>
  <si>
    <t>DEC</t>
  </si>
  <si>
    <t>JAN</t>
  </si>
  <si>
    <t>WECOZZY</t>
  </si>
  <si>
    <t>au 15/11/2022</t>
  </si>
  <si>
    <t>1 marché</t>
  </si>
  <si>
    <t>2 midi</t>
  </si>
  <si>
    <t>3 soir</t>
  </si>
  <si>
    <t>Sui Cao</t>
  </si>
  <si>
    <t>4 café jus</t>
  </si>
  <si>
    <t>5 Bar Cig</t>
  </si>
  <si>
    <t>6 taxi int</t>
  </si>
  <si>
    <t>7 Divrs &amp; Tel</t>
  </si>
  <si>
    <t>180 shorts</t>
  </si>
  <si>
    <t>SPA 3</t>
  </si>
  <si>
    <t>Dry noodle</t>
  </si>
  <si>
    <t>30 30</t>
  </si>
  <si>
    <t>Massage 400 +200 Tip</t>
  </si>
  <si>
    <t>* 18 Nov Ven</t>
  </si>
  <si>
    <t>30 23 30 30</t>
  </si>
  <si>
    <t>Kam 3 120</t>
  </si>
  <si>
    <t>* 19 Nov Sam</t>
  </si>
  <si>
    <t>50 20</t>
  </si>
  <si>
    <t>Ananas</t>
  </si>
  <si>
    <t>Bun ca</t>
  </si>
  <si>
    <t>au 22/11/2022</t>
  </si>
  <si>
    <t xml:space="preserve">COMPTES VN8 </t>
  </si>
  <si>
    <t>40 40 40</t>
  </si>
  <si>
    <t>XXXXXXX</t>
  </si>
  <si>
    <t>jours</t>
  </si>
  <si>
    <t>inflation</t>
  </si>
  <si>
    <t>reduc vet</t>
  </si>
  <si>
    <t>contrat</t>
  </si>
  <si>
    <t>Viet 7</t>
  </si>
  <si>
    <t>Jan</t>
  </si>
  <si>
    <t>Viet 8</t>
  </si>
  <si>
    <t>Hanoi Hotel</t>
  </si>
  <si>
    <t>depenses locales</t>
  </si>
  <si>
    <t>depenses FR</t>
  </si>
  <si>
    <t>au 29/11/2022</t>
  </si>
  <si>
    <t>au 30/11/2022</t>
  </si>
  <si>
    <t>France</t>
  </si>
  <si>
    <t>nov</t>
  </si>
  <si>
    <t>dec</t>
  </si>
  <si>
    <t>jan</t>
  </si>
  <si>
    <t>fev</t>
  </si>
  <si>
    <t>cadeaux</t>
  </si>
  <si>
    <t>avion taxi</t>
  </si>
  <si>
    <t>Depenses FR</t>
  </si>
  <si>
    <t>Depenses VN</t>
  </si>
  <si>
    <t>effet cash</t>
  </si>
  <si>
    <t>Ut</t>
  </si>
  <si>
    <t>Prêt Hoa</t>
  </si>
  <si>
    <t>cash Viet</t>
  </si>
  <si>
    <t>ESPECES</t>
  </si>
  <si>
    <t>UR+phone</t>
  </si>
  <si>
    <t>depenses locales :</t>
  </si>
  <si>
    <t>A venir</t>
  </si>
  <si>
    <t>32,0 MD</t>
  </si>
  <si>
    <t>Bail</t>
  </si>
  <si>
    <t>cash Hoa (4/32 MD)</t>
  </si>
  <si>
    <t>Cash Euro</t>
  </si>
  <si>
    <t>cash Hoa (12/32 MD)</t>
  </si>
  <si>
    <t>HaiPhong</t>
  </si>
  <si>
    <t>au 5/11/2022</t>
  </si>
  <si>
    <t>VietnamVIII</t>
  </si>
  <si>
    <t>REEL</t>
  </si>
  <si>
    <t>BUDGET 8</t>
  </si>
  <si>
    <t>initial</t>
  </si>
  <si>
    <t>solde</t>
  </si>
  <si>
    <t>au 16/12/2022</t>
  </si>
  <si>
    <t>au 8/12/2022</t>
  </si>
  <si>
    <t>au 6/12/2022</t>
  </si>
  <si>
    <t>Electricité</t>
  </si>
  <si>
    <t>12h02</t>
  </si>
  <si>
    <t>16h56</t>
  </si>
  <si>
    <t>tot Kw</t>
  </si>
  <si>
    <t>tot mont</t>
  </si>
  <si>
    <t>Kw par jour</t>
  </si>
  <si>
    <t>KD / jour</t>
  </si>
  <si>
    <t>au 24/12/2022</t>
  </si>
  <si>
    <t>BacNinh</t>
  </si>
  <si>
    <t>au 27/12/2022</t>
  </si>
  <si>
    <t>Bdgt</t>
  </si>
  <si>
    <t>hors avion</t>
  </si>
  <si>
    <t>Budget</t>
  </si>
  <si>
    <t>tranf de Viet 8</t>
  </si>
  <si>
    <t>recup cash LCL</t>
  </si>
  <si>
    <t>16H30</t>
  </si>
  <si>
    <t>Iphone</t>
  </si>
  <si>
    <t>bail 1m</t>
  </si>
  <si>
    <t>about flat</t>
  </si>
  <si>
    <t>Hoa's loan</t>
  </si>
  <si>
    <t>au 31/12/2022</t>
  </si>
  <si>
    <t>30 50</t>
  </si>
  <si>
    <t>Bac Ninh</t>
  </si>
  <si>
    <t>25 </t>
  </si>
  <si>
    <t>Porridge</t>
  </si>
  <si>
    <t>mariage niece</t>
  </si>
  <si>
    <t>Mar</t>
  </si>
  <si>
    <t>hoa</t>
  </si>
  <si>
    <t>Bdgt 1</t>
  </si>
  <si>
    <t>dec-jan-Mar</t>
  </si>
  <si>
    <t>loyer paiem Paul</t>
  </si>
  <si>
    <t>loyer paiem Hoa Iphone</t>
  </si>
  <si>
    <t>Loyer P&amp;L Budget</t>
  </si>
  <si>
    <t>collier</t>
  </si>
  <si>
    <t>cash</t>
  </si>
  <si>
    <t>avion Bdx ?</t>
  </si>
  <si>
    <t>Paypal 1</t>
  </si>
  <si>
    <t>Paypal 2</t>
  </si>
  <si>
    <t>cash LCL</t>
  </si>
  <si>
    <t>FAIT</t>
  </si>
  <si>
    <t>Mdongs</t>
  </si>
  <si>
    <t>770€/783 USD</t>
  </si>
  <si>
    <t>19200 KD</t>
  </si>
  <si>
    <t>MAR</t>
  </si>
  <si>
    <t>JOURS</t>
  </si>
  <si>
    <t>Bdgt flex</t>
  </si>
  <si>
    <t>SURCOUT</t>
  </si>
  <si>
    <t>VIEREMENT</t>
  </si>
  <si>
    <t>COLLIER</t>
  </si>
  <si>
    <t>CASH</t>
  </si>
  <si>
    <t>ORIGINE</t>
  </si>
  <si>
    <t>transfert</t>
  </si>
  <si>
    <t>au 14/01/2023</t>
  </si>
  <si>
    <t>involved</t>
  </si>
  <si>
    <t>CASH PAUL</t>
  </si>
  <si>
    <t>billet retour</t>
  </si>
  <si>
    <t>Hoa transfert voir tableau</t>
  </si>
  <si>
    <t>voir comment le comptabiliser</t>
  </si>
  <si>
    <t>au 19/01/2023</t>
  </si>
  <si>
    <t>cash local</t>
  </si>
  <si>
    <t>dong Paul local</t>
  </si>
  <si>
    <t>du a Hoa</t>
  </si>
  <si>
    <t>pris sur cash local</t>
  </si>
  <si>
    <t>Paiement à Hoa</t>
  </si>
  <si>
    <t>virement à Hoa</t>
  </si>
  <si>
    <t>chge par Hoa du cash en € Paul</t>
  </si>
  <si>
    <t>depuis Fr</t>
  </si>
  <si>
    <t>vrt Paypal</t>
  </si>
  <si>
    <t>LCL</t>
  </si>
  <si>
    <t>somme cash+dep dongs</t>
  </si>
  <si>
    <t>cash + dépenses euros</t>
  </si>
  <si>
    <t>Enveloppe globale</t>
  </si>
  <si>
    <t>virement de 770 € Paypal</t>
  </si>
  <si>
    <t>HOA mois</t>
  </si>
  <si>
    <t>au 23/01/2023</t>
  </si>
  <si>
    <t>initial + entrees</t>
  </si>
  <si>
    <t>depenses +cash final</t>
  </si>
  <si>
    <t>de 2000€</t>
  </si>
  <si>
    <t>au 25/01/2023</t>
  </si>
  <si>
    <t>en billetts euros</t>
  </si>
  <si>
    <t>????</t>
  </si>
  <si>
    <t>21h06</t>
  </si>
  <si>
    <t>Jours</t>
  </si>
  <si>
    <t>€ / jour</t>
  </si>
  <si>
    <t>Mont €</t>
  </si>
  <si>
    <t>Cpteur 1</t>
  </si>
  <si>
    <t>Cpteur 2</t>
  </si>
  <si>
    <t>heure</t>
  </si>
  <si>
    <t>janvier ???</t>
  </si>
  <si>
    <t>120 </t>
  </si>
  <si>
    <t>Transfert from Paul</t>
  </si>
  <si>
    <t>transfert from Ut</t>
  </si>
  <si>
    <t>from Hoa to Paul</t>
  </si>
  <si>
    <t>17,7+2</t>
  </si>
  <si>
    <t>30/01/2023</t>
  </si>
  <si>
    <t>au 30/01/2023</t>
  </si>
  <si>
    <t>en fait 25,4</t>
  </si>
  <si>
    <t>POUR LOYER</t>
  </si>
  <si>
    <t>en fait 25,35</t>
  </si>
  <si>
    <t>POUR cash</t>
  </si>
  <si>
    <t>HOA</t>
  </si>
  <si>
    <t>VOYAGE THAILANDE</t>
  </si>
  <si>
    <t>DONE</t>
  </si>
  <si>
    <t>TO DO</t>
  </si>
  <si>
    <t>au 5/02/2023</t>
  </si>
  <si>
    <t>Baht</t>
  </si>
  <si>
    <t>change 1</t>
  </si>
  <si>
    <t>change 2</t>
  </si>
  <si>
    <t>change 3</t>
  </si>
  <si>
    <t>Total change</t>
  </si>
  <si>
    <t>change 4</t>
  </si>
  <si>
    <t>Taux</t>
  </si>
  <si>
    <t>Somme Total</t>
  </si>
  <si>
    <t>Caution 1000B</t>
  </si>
  <si>
    <t>lun</t>
  </si>
  <si>
    <t>mar.</t>
  </si>
  <si>
    <t>mer.</t>
  </si>
  <si>
    <t>jeu.</t>
  </si>
  <si>
    <t>ven.</t>
  </si>
  <si>
    <t>sam.</t>
  </si>
  <si>
    <t>Change 400€ a 34,9 13960 Bath</t>
  </si>
  <si>
    <t>RESTE portefeuille</t>
  </si>
  <si>
    <t>RESTE CASH LOCAL</t>
  </si>
  <si>
    <t>300 D</t>
  </si>
  <si>
    <t>Payé hôtel At Ease , 53.87 € CB </t>
  </si>
  <si>
    <t>especes</t>
  </si>
  <si>
    <t>cig</t>
  </si>
  <si>
    <t>au 11/02/2023</t>
  </si>
  <si>
    <t>change Bangkok</t>
  </si>
  <si>
    <t>RESTE REEL</t>
  </si>
  <si>
    <t>RESTE THEO</t>
  </si>
  <si>
    <t>Thaïlande</t>
  </si>
  <si>
    <t>voyage Thai a Hoa</t>
  </si>
  <si>
    <t xml:space="preserve">reste a changer </t>
  </si>
  <si>
    <t>au 16/02/2023</t>
  </si>
  <si>
    <t>55 </t>
  </si>
  <si>
    <t>150 pedicure feet tip Trang</t>
  </si>
  <si>
    <t>7000</t>
  </si>
  <si>
    <t>7 MD cash de prêt HOA, en portefeuille,  non inclus en comptabilité</t>
  </si>
  <si>
    <t>PRÊT HOA</t>
  </si>
  <si>
    <t>PRÊT UT COMPL RETOUR THAI</t>
  </si>
  <si>
    <t>Et attente comptabilisation 2,5 MD payés par UT sur voyage retour Thailande</t>
  </si>
  <si>
    <t>ss/Total</t>
  </si>
  <si>
    <t>11h47</t>
  </si>
  <si>
    <t>Payés</t>
  </si>
  <si>
    <t>Fin dec</t>
  </si>
  <si>
    <t>Fin Jan</t>
  </si>
  <si>
    <t>A payer</t>
  </si>
  <si>
    <t>PREV CONSO TOTALE</t>
  </si>
  <si>
    <t>Banh Mi </t>
  </si>
  <si>
    <t>au 19/02/2023</t>
  </si>
  <si>
    <t>cash by Ut</t>
  </si>
  <si>
    <t>cash by Ut voyage Thai</t>
  </si>
  <si>
    <t>transport EXT</t>
  </si>
  <si>
    <t>Invest &amp;HOA</t>
  </si>
  <si>
    <t>Mariage</t>
  </si>
  <si>
    <t>au 23/02/2023</t>
  </si>
  <si>
    <t>19 Nov Sam</t>
  </si>
  <si>
    <t>20 Nov Dim</t>
  </si>
  <si>
    <t>25 Nov Ven</t>
  </si>
  <si>
    <t>27 Nov Dim</t>
  </si>
  <si>
    <t>01 Dec Jeu</t>
  </si>
  <si>
    <t>04 Dec Dim</t>
  </si>
  <si>
    <t>06 Dec Mar</t>
  </si>
  <si>
    <t>09 Dec jeu</t>
  </si>
  <si>
    <t>0 Dec Sam </t>
  </si>
  <si>
    <t>11 Dec Dim</t>
  </si>
  <si>
    <t>14 Dec Mer</t>
  </si>
  <si>
    <t>15 Dec jeu</t>
  </si>
  <si>
    <t>18 Dec Dim</t>
  </si>
  <si>
    <t>20 Dec Mar</t>
  </si>
  <si>
    <t>26 Dec Lun</t>
  </si>
  <si>
    <t>31 Dec Sam</t>
  </si>
  <si>
    <t>02 Jan Lun</t>
  </si>
  <si>
    <t>04 Jan mer</t>
  </si>
  <si>
    <t>07 Jan Sam</t>
  </si>
  <si>
    <t>09 Jan Lun</t>
  </si>
  <si>
    <t>0 Jan Mar </t>
  </si>
  <si>
    <t>12 Jan Jeu</t>
  </si>
  <si>
    <t>13 Jan Ven</t>
  </si>
  <si>
    <t>14 Jan Sam</t>
  </si>
  <si>
    <t>15 Jan Dim</t>
  </si>
  <si>
    <t>17 Jan Mar</t>
  </si>
  <si>
    <t>18 Jan Mer</t>
  </si>
  <si>
    <t>19 Jan Jeu</t>
  </si>
  <si>
    <t>21 Jan Sam</t>
  </si>
  <si>
    <t>23 Jan Lun</t>
  </si>
  <si>
    <t>25 Jan Mer</t>
  </si>
  <si>
    <t>26 Jan Jeu</t>
  </si>
  <si>
    <t>29 Jan Dim</t>
  </si>
  <si>
    <t>31 Jan Mar</t>
  </si>
  <si>
    <t xml:space="preserve"> 2 Feb Jeu</t>
  </si>
  <si>
    <t>04 Feb Sam</t>
  </si>
  <si>
    <t>05 Feb Dim</t>
  </si>
  <si>
    <t>11 Fév Sam</t>
  </si>
  <si>
    <t>12 Fév Dim</t>
  </si>
  <si>
    <t>13 Fev Lun</t>
  </si>
  <si>
    <t>15 Fev Mer</t>
  </si>
  <si>
    <t>17 Fév Ven</t>
  </si>
  <si>
    <t>18 Fév Sam</t>
  </si>
  <si>
    <t>19 Fév Dim</t>
  </si>
  <si>
    <t>CIG</t>
  </si>
  <si>
    <t>26 Nov Sam</t>
  </si>
  <si>
    <t>16 Nov Mer</t>
  </si>
  <si>
    <t>17 Nov Jeu</t>
  </si>
  <si>
    <t>18 Nov Ven</t>
  </si>
  <si>
    <t>21 Nov Lun</t>
  </si>
  <si>
    <t>22 Nov Mar</t>
  </si>
  <si>
    <t>23 Nov Mer</t>
  </si>
  <si>
    <t>24 Nov Jeu</t>
  </si>
  <si>
    <t>28 Nov Lun</t>
  </si>
  <si>
    <t>29 Nov Mar</t>
  </si>
  <si>
    <t>30 Nov Mer</t>
  </si>
  <si>
    <t>02 Dec Ven</t>
  </si>
  <si>
    <t>03 Dec Sam</t>
  </si>
  <si>
    <t>05 Dec Lun</t>
  </si>
  <si>
    <t>07 Dec Mer</t>
  </si>
  <si>
    <t>08 Dec jeu</t>
  </si>
  <si>
    <t>12 Dec Lun</t>
  </si>
  <si>
    <t>13 Dec Mar</t>
  </si>
  <si>
    <t>16 Dec Ven</t>
  </si>
  <si>
    <t>17 Dec Ven</t>
  </si>
  <si>
    <t>19 Dec Lun</t>
  </si>
  <si>
    <t>21 Dec Mer</t>
  </si>
  <si>
    <t>22 Dec Jeu</t>
  </si>
  <si>
    <t>23 Dec Ven</t>
  </si>
  <si>
    <t>24 Dec Sam</t>
  </si>
  <si>
    <t>25 Dec Dim</t>
  </si>
  <si>
    <t>27 Dec Mar</t>
  </si>
  <si>
    <t>28 Dec Mer</t>
  </si>
  <si>
    <t>29 Dec Jeu</t>
  </si>
  <si>
    <t>30 Dec ven</t>
  </si>
  <si>
    <t>01 Jan Dim</t>
  </si>
  <si>
    <t>03 Jan Mar</t>
  </si>
  <si>
    <t>05 Jan Jeu</t>
  </si>
  <si>
    <t>06 Jan Ven</t>
  </si>
  <si>
    <t>08 Jan Dim</t>
  </si>
  <si>
    <t>11 Jan Mer</t>
  </si>
  <si>
    <t>16 Jan Lun</t>
  </si>
  <si>
    <t>20 Jan Ven</t>
  </si>
  <si>
    <t>22 Jan Dim</t>
  </si>
  <si>
    <t>24 Jan Mar</t>
  </si>
  <si>
    <t>27 Jan Ven</t>
  </si>
  <si>
    <t>28 Jan Sam</t>
  </si>
  <si>
    <t>30 Jan Lun</t>
  </si>
  <si>
    <t xml:space="preserve"> 1 Feb Mer</t>
  </si>
  <si>
    <t>03 Feb Ven</t>
  </si>
  <si>
    <t>06 Feb Lun</t>
  </si>
  <si>
    <t>07 Feb Mar</t>
  </si>
  <si>
    <t>08 Jan Mer</t>
  </si>
  <si>
    <t>09 Fev Jeu</t>
  </si>
  <si>
    <t>10 Fév Ven</t>
  </si>
  <si>
    <t>14 Fev Mar</t>
  </si>
  <si>
    <t>16 Jan Jeu</t>
  </si>
  <si>
    <t/>
  </si>
  <si>
    <t>vie 1 à 7</t>
  </si>
  <si>
    <t>Hors Appart et invest</t>
  </si>
  <si>
    <t>COMPTABILISER LES 800 € DU VOYAGE RETOUR SUR FEVRIER EN DONGS</t>
  </si>
  <si>
    <t>HoiAn</t>
  </si>
  <si>
    <t>December Hoi An Villa , suite Junior, 29 € EXCELLENTISSIME</t>
  </si>
  <si>
    <t>Royal Beach View Pattaya</t>
  </si>
  <si>
    <t>At Ease Bangkok</t>
  </si>
  <si>
    <t>Hoi An Dat Cam</t>
  </si>
  <si>
    <t>au 28/02/2023</t>
  </si>
  <si>
    <t>11h09</t>
  </si>
  <si>
    <t>au 05/03/2023</t>
  </si>
  <si>
    <t>Sui Cao </t>
  </si>
  <si>
    <t>16h24</t>
  </si>
  <si>
    <t>au 9/03</t>
  </si>
  <si>
    <t>8 </t>
  </si>
  <si>
    <r>
      <t xml:space="preserve">* </t>
    </r>
    <r>
      <rPr>
        <b/>
        <u/>
        <sz val="12"/>
        <color theme="1"/>
        <rFont val="Calibri"/>
        <family val="2"/>
        <scheme val="minor"/>
      </rPr>
      <t>16 Nov</t>
    </r>
    <r>
      <rPr>
        <b/>
        <sz val="12"/>
        <color theme="1"/>
        <rFont val="Calibri"/>
        <family val="2"/>
        <scheme val="minor"/>
      </rPr>
      <t xml:space="preserve"> Mer</t>
    </r>
  </si>
  <si>
    <r>
      <t xml:space="preserve">* </t>
    </r>
    <r>
      <rPr>
        <b/>
        <u/>
        <sz val="12"/>
        <color theme="1"/>
        <rFont val="Calibri"/>
        <family val="2"/>
        <scheme val="minor"/>
      </rPr>
      <t>17 Nov</t>
    </r>
    <r>
      <rPr>
        <b/>
        <sz val="12"/>
        <color theme="1"/>
        <rFont val="Calibri"/>
        <family val="2"/>
        <scheme val="minor"/>
      </rPr>
      <t xml:space="preserve"> Jeu</t>
    </r>
  </si>
  <si>
    <t>au 12/03/2023</t>
  </si>
  <si>
    <t>en fait 24,7</t>
  </si>
  <si>
    <t>cash IN</t>
  </si>
  <si>
    <t>n'affecte pas le solde de LCL mais oui de patrimoine</t>
  </si>
  <si>
    <t>Ne pas passer ces ecritures sur LCL.xls</t>
  </si>
  <si>
    <t>V8</t>
  </si>
  <si>
    <t>V9</t>
  </si>
  <si>
    <t>Viet 9</t>
  </si>
  <si>
    <t>JUILLET</t>
  </si>
  <si>
    <t>*</t>
  </si>
  <si>
    <t>au 7/6/2023</t>
  </si>
  <si>
    <t>au 12/6/2023</t>
  </si>
  <si>
    <t>* 05 Jun Lun</t>
  </si>
  <si>
    <t>5€ bières</t>
  </si>
  <si>
    <t>40€ taxi ext</t>
  </si>
  <si>
    <t>* 06 Jun Mar</t>
  </si>
  <si>
    <t>* 07 Jun Mer</t>
  </si>
  <si>
    <t>55 40</t>
  </si>
  <si>
    <t>C15</t>
  </si>
  <si>
    <t>J’avais 500</t>
  </si>
  <si>
    <t>Hoa a payé 5000 flat, 300 taxi</t>
  </si>
  <si>
    <t>Taxi 300 + 50 tip</t>
  </si>
  <si>
    <t>Tip Appart 100</t>
  </si>
  <si>
    <t>Coiffeur 70</t>
  </si>
  <si>
    <t>Clarins 1570</t>
  </si>
  <si>
    <t>* 08 Jun Jeu</t>
  </si>
  <si>
    <t>60 125 70</t>
  </si>
  <si>
    <t>Duck Oie</t>
  </si>
  <si>
    <t>Scoot Payé 1 M renting et 2 M caution</t>
  </si>
  <si>
    <t>Payé 11 M loyer</t>
  </si>
  <si>
    <t>* 09 Jun Ven</t>
  </si>
  <si>
    <t>80 150 50</t>
  </si>
  <si>
    <t>Ribs rice</t>
  </si>
  <si>
    <t>Ess</t>
  </si>
  <si>
    <t>*  10 Jun Sam</t>
  </si>
  <si>
    <t>120 60 80 60 100 40</t>
  </si>
  <si>
    <t>Payé tissu  540 pour tenue complète 3m et chemise 1,5 m</t>
  </si>
  <si>
    <t>* 11 Jun Dim</t>
  </si>
  <si>
    <t>54 61</t>
  </si>
  <si>
    <t>300 cadeau anniv Trang</t>
  </si>
  <si>
    <t>5000</t>
  </si>
  <si>
    <t>300 GATEAU anniv Trang</t>
  </si>
  <si>
    <t>* 12 Jun Lun</t>
  </si>
  <si>
    <t>Thaï </t>
  </si>
  <si>
    <t>Vodka</t>
  </si>
  <si>
    <t>* 13 Jun Mar</t>
  </si>
  <si>
    <t>=125.355</t>
  </si>
  <si>
    <t>Sui</t>
  </si>
  <si>
    <t>Change 1000 € a 25,250</t>
  </si>
  <si>
    <t>* 14 Jun Mer</t>
  </si>
  <si>
    <t>???</t>
  </si>
  <si>
    <t>* 15 Jun Jeu</t>
  </si>
  <si>
    <t>Pho</t>
  </si>
  <si>
    <t>=55.108</t>
  </si>
  <si>
    <t>130 C15</t>
  </si>
  <si>
    <t>Paiement façon chemise ocre 500 + tenue marron 1000</t>
  </si>
  <si>
    <t>Grattage corne talon de pied Trang 150</t>
  </si>
  <si>
    <t>21 Ha Trung</t>
  </si>
  <si>
    <t>* 16 Jun Ven</t>
  </si>
  <si>
    <t>Beefsteak</t>
  </si>
  <si>
    <t>4 porridges</t>
  </si>
  <si>
    <t>Ven 16</t>
  </si>
  <si>
    <t>Pho 100</t>
  </si>
  <si>
    <t>Chaussures 550</t>
  </si>
  <si>
    <t>Semelles 3 paires 150</t>
  </si>
  <si>
    <t>Café 30</t>
  </si>
  <si>
    <t>Bière 60</t>
  </si>
  <si>
    <t>Dîner 100</t>
  </si>
  <si>
    <t>*  17 Jun Sam</t>
  </si>
  <si>
    <t>195 </t>
  </si>
  <si>
    <t>Indien solo</t>
  </si>
  <si>
    <t>C15 140</t>
  </si>
  <si>
    <t>* 18 Jun Dim</t>
  </si>
  <si>
    <t> Thaï excellent</t>
  </si>
  <si>
    <t>C15 150</t>
  </si>
  <si>
    <t>Pot Tahiti Vai et Cedric</t>
  </si>
  <si>
    <t>* 19 Jun Lun</t>
  </si>
  <si>
    <t>Thaï à 2</t>
  </si>
  <si>
    <t>* 20 Jun Mar</t>
  </si>
  <si>
    <t>60 40</t>
  </si>
  <si>
    <t>C15 200 135 </t>
  </si>
  <si>
    <t>Stefan vodka</t>
  </si>
  <si>
    <t>* 21 Jun Mer</t>
  </si>
  <si>
    <t>Bun cha</t>
  </si>
  <si>
    <t>Ess 60</t>
  </si>
  <si>
    <t>100 telephonie</t>
  </si>
  <si>
    <t>Hoa me prête 2 M</t>
  </si>
  <si>
    <t>* 22 Jun Jeu</t>
  </si>
  <si>
    <t>* 23 Jun Ven</t>
  </si>
  <si>
    <t>Pizza</t>
  </si>
  <si>
    <t>Robe de Hoa à payer 1,1 MD</t>
  </si>
  <si>
    <t>*  24 Jun Sam</t>
  </si>
  <si>
    <t>Viande</t>
  </si>
  <si>
    <t>* 25 Jun Dim</t>
  </si>
  <si>
    <t>2100 activité </t>
  </si>
  <si>
    <t>Fête des pharmaciens </t>
  </si>
  <si>
    <t>60 80 80</t>
  </si>
  <si>
    <t>W + 2 mojitos</t>
  </si>
  <si>
    <t>Taxi 120 80 Hoa</t>
  </si>
  <si>
    <t>pharmaciens</t>
  </si>
  <si>
    <t>au 26/6/2023</t>
  </si>
  <si>
    <t>* 26 Jun Lun</t>
  </si>
  <si>
    <t>25 40</t>
  </si>
  <si>
    <t>3 lit essence</t>
  </si>
  <si>
    <t>700 3 EarPods </t>
  </si>
  <si>
    <t>* 27 Jun Mar</t>
  </si>
  <si>
    <t>Saladerie phieu tam tinh</t>
  </si>
  <si>
    <t>Ban mi </t>
  </si>
  <si>
    <t>Café Stefan ! ! ! 2W</t>
  </si>
  <si>
    <t>* 28 Jun Mer</t>
  </si>
  <si>
    <t>15 10 60</t>
  </si>
  <si>
    <t>40 et 140</t>
  </si>
  <si>
    <t>Légumes et poulet 2 cuisses</t>
  </si>
  <si>
    <t>80 60</t>
  </si>
  <si>
    <t>440 bouffe Thai Nguyen </t>
  </si>
  <si>
    <t>* 29 Jun Jeu</t>
  </si>
  <si>
    <t>Bière Stefan  et vodka</t>
  </si>
  <si>
    <t>70 </t>
  </si>
  <si>
    <t>Hoa l’ preté 500 </t>
  </si>
  <si>
    <t>* 30 Jun Ven</t>
  </si>
  <si>
    <t>80 40</t>
  </si>
  <si>
    <t>Hoa m’a prêté 1 M</t>
  </si>
  <si>
    <t>Taxi à payer 1000 + 100 clé + 400 bouffe countryside d’hier</t>
  </si>
  <si>
    <t>* 01 Jul Sam</t>
  </si>
  <si>
    <t>53 35</t>
  </si>
  <si>
    <r>
      <t>55 20 120</t>
    </r>
    <r>
      <rPr>
        <sz val="12"/>
        <color rgb="FF000000"/>
        <rFont val="Arial"/>
        <family val="2"/>
      </rPr>
      <t> </t>
    </r>
  </si>
  <si>
    <r>
      <t>C15•2  </t>
    </r>
    <r>
      <rPr>
        <sz val="12"/>
        <color rgb="FFE4AF0A"/>
        <rFont val="Arial"/>
        <family val="2"/>
      </rPr>
      <t>30 120 140</t>
    </r>
  </si>
  <si>
    <t>au 30/6/2023</t>
  </si>
  <si>
    <t>100 Tip Boy</t>
  </si>
  <si>
    <t>Poisson</t>
  </si>
  <si>
    <t>100 50</t>
  </si>
  <si>
    <t>* 02 Jul Dim</t>
  </si>
  <si>
    <t>120 35 20 25</t>
  </si>
  <si>
    <t>Langue de porc et 10 œufs de canard</t>
  </si>
  <si>
    <t>Squids et ribs at Bia Hoi near Lien Tri</t>
  </si>
  <si>
    <t>Eau 110</t>
  </si>
  <si>
    <t>65 eau (19 lit) et 45 Tip </t>
  </si>
  <si>
    <t>Raccourcissement pantalons 100</t>
  </si>
  <si>
    <t>* 03 Jul Lun</t>
  </si>
  <si>
    <t>Glaces</t>
  </si>
  <si>
    <t>Oie</t>
  </si>
  <si>
    <t>40 60</t>
  </si>
  <si>
    <t>2 Semelles orthopédiques 150</t>
  </si>
  <si>
    <t>* 04 Jul Mar</t>
  </si>
  <si>
    <t>40 </t>
  </si>
  <si>
    <t>35 </t>
  </si>
  <si>
    <t>C15 50</t>
  </si>
  <si>
    <t>55 20 Tip </t>
  </si>
  <si>
    <t>* 05 Jul Mer</t>
  </si>
  <si>
    <t>* 06 Jul Jeu</t>
  </si>
  <si>
    <t>C15 220 126 </t>
  </si>
  <si>
    <t>Stefan et vodka </t>
  </si>
  <si>
    <t>Change 400 a 25.6</t>
  </si>
  <si>
    <t>50 50</t>
  </si>
  <si>
    <t>Japonais</t>
  </si>
  <si>
    <t>Fresh kitchen</t>
  </si>
  <si>
    <t>30 90 60</t>
  </si>
  <si>
    <t>8364 loyer</t>
  </si>
  <si>
    <t>465 Tissu blanc pour deux Chemise, une manche courte, une manche longue</t>
  </si>
  <si>
    <t>12h09</t>
  </si>
  <si>
    <t>12h07</t>
  </si>
  <si>
    <t>FLAT 3</t>
  </si>
  <si>
    <t>81 BUI THI XUAN</t>
  </si>
  <si>
    <t>3100 electricité passée et 5680 loyer a venir 16 jours</t>
  </si>
  <si>
    <t>au 7/07/2023</t>
  </si>
  <si>
    <t>21h41</t>
  </si>
  <si>
    <t>08h29</t>
  </si>
  <si>
    <t>nuit une seul clim</t>
  </si>
  <si>
    <t>Entre 7 juin (45693) et 7juillet (46452), la consommation aurait été de 759 Kw. Ce qui est énorme pour deux appareils de clim que j'utilise souvent pour un seul.Et le 10 juillet 21h41 (46731), montre que la consommation a été de 279 Kw, soit l'quivalent jours du mois précédent.</t>
  </si>
  <si>
    <t>au 13/07/2023</t>
  </si>
  <si>
    <t>* 07 Jul Ven</t>
  </si>
  <si>
    <t>* 08 Jul sam</t>
  </si>
  <si>
    <t>*  08 Jul Sam</t>
  </si>
  <si>
    <t>Légumes </t>
  </si>
  <si>
    <t>25 80 </t>
  </si>
  <si>
    <t>Café le matin et puis avec Hoa</t>
  </si>
  <si>
    <t>120 30 C15</t>
  </si>
  <si>
    <t>W près de l’église et bière </t>
  </si>
  <si>
    <t>* 09 Jul Dim</t>
  </si>
  <si>
    <t>110 35 60</t>
  </si>
  <si>
    <t>* 10 Jul Lun</t>
  </si>
  <si>
    <t>20 10</t>
  </si>
  <si>
    <t>Saumon</t>
  </si>
  <si>
    <t>25 80</t>
  </si>
  <si>
    <t>Clés </t>
  </si>
  <si>
    <t>* 11 Jul Mar</t>
  </si>
  <si>
    <t>C15 C15</t>
  </si>
  <si>
    <t>Limousine 560 </t>
  </si>
  <si>
    <t>* 12 Jul Mer</t>
  </si>
  <si>
    <t>200 40</t>
  </si>
  <si>
    <t>P’tit dej</t>
  </si>
  <si>
    <t>270 40 50</t>
  </si>
  <si>
    <t>45 30 40 75 125</t>
  </si>
  <si>
    <t>Cruise 2,3 MD à payer </t>
  </si>
  <si>
    <t>* 13 Jul Jeu</t>
  </si>
  <si>
    <t>80 30</t>
  </si>
  <si>
    <t>Pizza Stefan</t>
  </si>
  <si>
    <t>50 25</t>
  </si>
  <si>
    <t>C15 250 60</t>
  </si>
  <si>
    <t>Pot Stefan au pirat </t>
  </si>
  <si>
    <t>Limousine 560</t>
  </si>
  <si>
    <t>Location scoot 2 fois 180</t>
  </si>
  <si>
    <t>Dispositif scoot phone 100</t>
  </si>
  <si>
    <t>Paiement façon 2 chemises blanches 1200</t>
  </si>
  <si>
    <t>au 18/07/2023</t>
  </si>
  <si>
    <t>* 14 Jul Ven</t>
  </si>
  <si>
    <t>Payé 2,3 MD a Hoa</t>
  </si>
  <si>
    <t>*  15 Jul Sam</t>
  </si>
  <si>
    <t>70 50 30</t>
  </si>
  <si>
    <t>Cochon de lait ?</t>
  </si>
  <si>
    <t>60 ess 2 lit</t>
  </si>
  <si>
    <t>Tissu chemise 150 crème foncé </t>
  </si>
  <si>
    <t>* 16 Jul Dim</t>
  </si>
  <si>
    <t>Bia Hoi Lien Tri</t>
  </si>
  <si>
    <t>Avec le jap</t>
  </si>
  <si>
    <t>* 17 Jul Lun</t>
  </si>
  <si>
    <t>90 20 50</t>
  </si>
  <si>
    <t>Invitation  Thuy et Mr Ha au japonais</t>
  </si>
  <si>
    <t>80 </t>
  </si>
  <si>
    <t>C15 120</t>
  </si>
  <si>
    <t>100 extraordinaire c’est moi qui ai conduit</t>
  </si>
  <si>
    <t>* 18 Jul Mar</t>
  </si>
  <si>
    <t>55 30</t>
  </si>
  <si>
    <t>Kebab super près du garage </t>
  </si>
  <si>
    <t>C15 30</t>
  </si>
  <si>
    <t>$</t>
  </si>
  <si>
    <t>mar</t>
  </si>
  <si>
    <t>mer</t>
  </si>
  <si>
    <t>jeu</t>
  </si>
  <si>
    <t>ven</t>
  </si>
  <si>
    <t>sam</t>
  </si>
  <si>
    <t>dim</t>
  </si>
  <si>
    <t>Thứ Hai</t>
  </si>
  <si>
    <t>Thứ Ba</t>
  </si>
  <si>
    <t>Thứ Tư</t>
  </si>
  <si>
    <t>Thứ Năm</t>
  </si>
  <si>
    <t>Thứ Sáu</t>
  </si>
  <si>
    <t>Thứ Bảy</t>
  </si>
  <si>
    <t>Chủ Nhật</t>
  </si>
  <si>
    <t>jour</t>
  </si>
  <si>
    <t>compteur</t>
  </si>
  <si>
    <t>temps</t>
  </si>
  <si>
    <t>conso</t>
  </si>
  <si>
    <t>KW/H</t>
  </si>
  <si>
    <t>mois</t>
  </si>
  <si>
    <t>q</t>
  </si>
  <si>
    <t>d</t>
  </si>
  <si>
    <t>semaine</t>
  </si>
  <si>
    <t>année</t>
  </si>
  <si>
    <t>mois seul</t>
  </si>
  <si>
    <t>minut</t>
  </si>
  <si>
    <t>h</t>
  </si>
  <si>
    <t>mn</t>
  </si>
  <si>
    <t>hhhh</t>
  </si>
  <si>
    <t>tot mn</t>
  </si>
  <si>
    <t>ff</t>
  </si>
  <si>
    <t>gg</t>
  </si>
  <si>
    <t>ii</t>
  </si>
  <si>
    <t>exterieur</t>
  </si>
  <si>
    <t>°C</t>
  </si>
  <si>
    <t>ec</t>
  </si>
  <si>
    <t>p</t>
  </si>
  <si>
    <t>minutes</t>
  </si>
  <si>
    <t>Kw</t>
  </si>
  <si>
    <t>Kw/h</t>
  </si>
  <si>
    <t>KW mensuel</t>
  </si>
  <si>
    <t>Kdongs mensuel</t>
  </si>
  <si>
    <t>frigo</t>
  </si>
  <si>
    <t>eau chaude</t>
  </si>
  <si>
    <t>clim 1</t>
  </si>
  <si>
    <t>clim 2</t>
  </si>
  <si>
    <t>ngày</t>
  </si>
  <si>
    <t>giờ</t>
  </si>
  <si>
    <t>quầy tính tiền</t>
  </si>
  <si>
    <t>phút</t>
  </si>
  <si>
    <t>Kw/giờ</t>
  </si>
  <si>
    <t>Kw hàng tháng</t>
  </si>
  <si>
    <t>Kdong hàng tháng</t>
  </si>
  <si>
    <t>nuit</t>
  </si>
  <si>
    <t>Một tháng</t>
  </si>
  <si>
    <t>Un mois</t>
  </si>
  <si>
    <t>ba ngày</t>
  </si>
  <si>
    <t>trois jours</t>
  </si>
  <si>
    <t>đêm</t>
  </si>
  <si>
    <t>09h31</t>
  </si>
  <si>
    <t>15h27</t>
  </si>
  <si>
    <t>2 ngày nữa</t>
  </si>
  <si>
    <t>2 jours absent</t>
  </si>
  <si>
    <t>yes</t>
  </si>
  <si>
    <t>no</t>
  </si>
  <si>
    <t>22h00</t>
  </si>
  <si>
    <t>11h28</t>
  </si>
  <si>
    <t>21h51</t>
  </si>
  <si>
    <t>01h30</t>
  </si>
  <si>
    <t>21h46</t>
  </si>
  <si>
    <t>UNE seule clim</t>
  </si>
  <si>
    <t>22h52</t>
  </si>
  <si>
    <t>701</t>
  </si>
  <si>
    <t>13/7 --&gt;</t>
  </si>
  <si>
    <t>6/6 --&gt; 7/7</t>
  </si>
  <si>
    <t>7/7 --&gt;</t>
  </si>
  <si>
    <t>702</t>
  </si>
  <si>
    <t>22h01</t>
  </si>
  <si>
    <t>01h44</t>
  </si>
  <si>
    <t>402</t>
  </si>
  <si>
    <t>10h27</t>
  </si>
  <si>
    <t>tranf de Viet 9</t>
  </si>
  <si>
    <t>voyage Viet 9</t>
  </si>
  <si>
    <t>Batterie scoot 330</t>
  </si>
  <si>
    <t>* 19 Jul mer</t>
  </si>
  <si>
    <t>Japonais Bui Thi Xuan</t>
  </si>
  <si>
    <t>Crispy noodle 32,Bat Dan</t>
  </si>
  <si>
    <t>85 60</t>
  </si>
  <si>
    <t>Pédicure 200 Thuy extra</t>
  </si>
  <si>
    <t>Cigarettes 30 a 360KD et 20 de Tip</t>
  </si>
  <si>
    <t>* 20 Jul Jeu</t>
  </si>
  <si>
    <t>SUi cao</t>
  </si>
  <si>
    <t>Kebab sel, avec Hoa</t>
  </si>
  <si>
    <t>C15 500</t>
  </si>
  <si>
    <t>Stefan</t>
  </si>
  <si>
    <t>6 semelles 500</t>
  </si>
  <si>
    <t>Façon chemise 500</t>
  </si>
  <si>
    <t>Je paie le cadeau de Hoa 500: les chaussures trop grandes</t>
  </si>
  <si>
    <t>* 21 Jul ven</t>
  </si>
  <si>
    <t>Garden market</t>
  </si>
  <si>
    <t>50 60</t>
  </si>
  <si>
    <t>Essence 30</t>
  </si>
  <si>
    <t>Foulard Élodie 300</t>
  </si>
  <si>
    <t>Foulard Nathalie 200</t>
  </si>
  <si>
    <t>Filtre </t>
  </si>
  <si>
    <t>phone et coque 200</t>
  </si>
  <si>
    <t>* 22 Jul Sam </t>
  </si>
  <si>
    <t>Sandwich tous les jours et p’tit dej </t>
  </si>
  <si>
    <t>2 kebab</t>
  </si>
  <si>
    <t>100 location balance</t>
  </si>
  <si>
    <t>Cadeaux Elo Maga 700</t>
  </si>
  <si>
    <t>Paiement scoot 500 </t>
  </si>
  <si>
    <t>Récup caution 2000</t>
  </si>
  <si>
    <t>Remboursement batterie 330</t>
  </si>
  <si>
    <t>Fruit de la passion 100</t>
  </si>
  <si>
    <t>200 tip Trang et Linh</t>
  </si>
  <si>
    <t>Électricité 1080</t>
  </si>
  <si>
    <t>5000 remboursés à Hoa</t>
  </si>
  <si>
    <t>Taxi 250</t>
  </si>
  <si>
    <t>Cadeau Anh et fils 1600</t>
  </si>
  <si>
    <t>Coupelles 700</t>
  </si>
  <si>
    <t>* 23 Jul Dim</t>
  </si>
  <si>
    <t>Reste 215 €</t>
  </si>
  <si>
    <t>au 23/07/2023</t>
  </si>
  <si>
    <t>OK</t>
  </si>
  <si>
    <t>attention</t>
  </si>
  <si>
    <t>correction difference de cash 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</si>
</sst>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0\ &quot;€&quot;;[Red]\-#,##0\ &quot;€&quot;"/>
    <numFmt numFmtId="8" formatCode="#,##0.00\ &quot;€&quot;;[Red]\-#,##0.00\ &quot;€&quot;"/>
    <numFmt numFmtId="164" formatCode="[$-F800]dddd\,\ mmmm\ dd\,\ yyyy"/>
    <numFmt numFmtId="165" formatCode="#,##0.0\ &quot;€&quot;;[Red]\-#,##0.0\ &quot;€&quot;"/>
    <numFmt numFmtId="166" formatCode="[$-40C]dddd\ d\ mmmm"/>
    <numFmt numFmtId="167" formatCode="0.0"/>
    <numFmt numFmtId="168" formatCode="#,##0_ ;[Red]\-#,##0\ "/>
    <numFmt numFmtId="169" formatCode="#,##0\ _€"/>
    <numFmt numFmtId="170" formatCode="#,##0\ \k[$₫-42A]"/>
    <numFmt numFmtId="171" formatCode="d/m;@"/>
    <numFmt numFmtId="172" formatCode="#,##0.00\ _€"/>
    <numFmt numFmtId="173" formatCode="#,##0\ &quot;€&quot;"/>
    <numFmt numFmtId="174" formatCode="#,##0.00\ [$₫-42A]"/>
    <numFmt numFmtId="175" formatCode="[$฿-41E]#,##0"/>
    <numFmt numFmtId="176" formatCode="d/m/yy;@"/>
    <numFmt numFmtId="177" formatCode="0.0000"/>
    <numFmt numFmtId="178" formatCode="h:mm;@"/>
  </numFmts>
  <fonts count="57">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48"/>
      <color theme="1"/>
      <name val="Calibri"/>
      <family val="2"/>
      <scheme val="minor"/>
    </font>
    <font>
      <sz val="9"/>
      <color theme="1"/>
      <name val="Calibri"/>
      <family val="2"/>
      <scheme val="minor"/>
    </font>
    <font>
      <b/>
      <sz val="18"/>
      <color theme="1"/>
      <name val="Calibri"/>
      <family val="2"/>
      <scheme val="minor"/>
    </font>
    <font>
      <sz val="12"/>
      <name val="Arial"/>
      <family val="2"/>
    </font>
    <font>
      <sz val="12"/>
      <color rgb="FFFF0000"/>
      <name val="Arial"/>
      <family val="2"/>
    </font>
    <font>
      <sz val="14"/>
      <color theme="1"/>
      <name val="Calibri"/>
      <family val="2"/>
      <scheme val="minor"/>
    </font>
    <font>
      <b/>
      <sz val="14"/>
      <color theme="1"/>
      <name val="Calibri"/>
      <family val="2"/>
      <scheme val="minor"/>
    </font>
    <font>
      <sz val="8"/>
      <name val="Calibri"/>
      <family val="2"/>
      <scheme val="minor"/>
    </font>
    <font>
      <sz val="11"/>
      <color rgb="FFFF0000"/>
      <name val="Calibri"/>
      <family val="2"/>
      <scheme val="minor"/>
    </font>
    <font>
      <sz val="10"/>
      <name val="Arial"/>
      <family val="2"/>
    </font>
    <font>
      <sz val="10"/>
      <color theme="1"/>
      <name val="Calibri"/>
      <family val="2"/>
      <scheme val="minor"/>
    </font>
    <font>
      <sz val="11"/>
      <name val="Calibri"/>
      <family val="2"/>
      <scheme val="minor"/>
    </font>
    <font>
      <b/>
      <sz val="11"/>
      <color rgb="FFFF0000"/>
      <name val="Calibri"/>
      <family val="2"/>
      <scheme val="minor"/>
    </font>
    <font>
      <b/>
      <sz val="11"/>
      <name val="Calibri"/>
      <family val="2"/>
      <scheme val="minor"/>
    </font>
    <font>
      <i/>
      <sz val="11"/>
      <color theme="1"/>
      <name val="Calibri"/>
      <family val="2"/>
      <scheme val="minor"/>
    </font>
    <font>
      <b/>
      <sz val="11"/>
      <color rgb="FF00B050"/>
      <name val="Calibri"/>
      <family val="2"/>
      <scheme val="minor"/>
    </font>
    <font>
      <b/>
      <sz val="11"/>
      <color rgb="FFFD9803"/>
      <name val="Calibri"/>
      <family val="2"/>
      <scheme val="minor"/>
    </font>
    <font>
      <b/>
      <sz val="11"/>
      <color rgb="FF7030A0"/>
      <name val="Calibri"/>
      <family val="2"/>
      <scheme val="minor"/>
    </font>
    <font>
      <sz val="8"/>
      <color theme="1"/>
      <name val="Calibri"/>
      <family val="2"/>
      <scheme val="minor"/>
    </font>
    <font>
      <sz val="8"/>
      <color rgb="FFFF0000"/>
      <name val="Calibri"/>
      <family val="2"/>
      <scheme val="minor"/>
    </font>
    <font>
      <b/>
      <i/>
      <sz val="11"/>
      <color theme="1"/>
      <name val="Calibri"/>
      <family val="2"/>
      <scheme val="minor"/>
    </font>
    <font>
      <b/>
      <sz val="10"/>
      <color theme="1"/>
      <name val="Calibri"/>
      <family val="2"/>
      <scheme val="minor"/>
    </font>
    <font>
      <i/>
      <sz val="11"/>
      <name val="Calibri"/>
      <family val="2"/>
      <scheme val="minor"/>
    </font>
    <font>
      <b/>
      <i/>
      <sz val="11"/>
      <color rgb="FF00B050"/>
      <name val="Calibri"/>
      <family val="2"/>
      <scheme val="minor"/>
    </font>
    <font>
      <sz val="11"/>
      <color rgb="FF00B0F0"/>
      <name val="Calibri"/>
      <family val="2"/>
      <scheme val="minor"/>
    </font>
    <font>
      <b/>
      <sz val="11"/>
      <color rgb="FF00B0F0"/>
      <name val="Calibri"/>
      <family val="2"/>
      <scheme val="minor"/>
    </font>
    <font>
      <b/>
      <sz val="9"/>
      <color theme="1"/>
      <name val="Calibri"/>
      <family val="2"/>
      <scheme val="minor"/>
    </font>
    <font>
      <i/>
      <sz val="9"/>
      <color theme="1"/>
      <name val="Calibri"/>
      <family val="2"/>
      <scheme val="minor"/>
    </font>
    <font>
      <b/>
      <sz val="12"/>
      <color theme="1"/>
      <name val="Calibri"/>
      <family val="2"/>
      <scheme val="minor"/>
    </font>
    <font>
      <b/>
      <sz val="11"/>
      <color rgb="FF0070C0"/>
      <name val="Calibri"/>
      <family val="2"/>
      <scheme val="minor"/>
    </font>
    <font>
      <sz val="11"/>
      <color rgb="FF0070C0"/>
      <name val="Calibri"/>
      <family val="2"/>
      <scheme val="minor"/>
    </font>
    <font>
      <sz val="11"/>
      <color rgb="FF7030A0"/>
      <name val="Calibri"/>
      <family val="2"/>
      <scheme val="minor"/>
    </font>
    <font>
      <sz val="18"/>
      <color rgb="FF0070C0"/>
      <name val="Calibri"/>
      <family val="2"/>
      <scheme val="minor"/>
    </font>
    <font>
      <sz val="11"/>
      <color rgb="FF05FF76"/>
      <name val="Calibri"/>
      <family val="2"/>
      <scheme val="minor"/>
    </font>
    <font>
      <b/>
      <sz val="11"/>
      <color rgb="FF05FF76"/>
      <name val="Calibri"/>
      <family val="2"/>
      <scheme val="minor"/>
    </font>
    <font>
      <b/>
      <sz val="11"/>
      <color theme="9" tint="-0.249977111117893"/>
      <name val="Calibri"/>
      <family val="2"/>
      <scheme val="minor"/>
    </font>
    <font>
      <b/>
      <sz val="11"/>
      <color rgb="FFB88C00"/>
      <name val="Calibri"/>
      <family val="2"/>
      <scheme val="minor"/>
    </font>
    <font>
      <sz val="12"/>
      <color theme="1"/>
      <name val="Calibri"/>
      <family val="2"/>
      <scheme val="minor"/>
    </font>
    <font>
      <b/>
      <u/>
      <sz val="12"/>
      <color theme="1"/>
      <name val="Calibri"/>
      <family val="2"/>
      <scheme val="minor"/>
    </font>
    <font>
      <b/>
      <sz val="11"/>
      <color theme="0"/>
      <name val="Calibri"/>
      <family val="2"/>
      <scheme val="minor"/>
    </font>
    <font>
      <sz val="11"/>
      <color theme="0"/>
      <name val="Calibri"/>
      <family val="2"/>
      <scheme val="minor"/>
    </font>
    <font>
      <b/>
      <sz val="12"/>
      <color rgb="FFFF0000"/>
      <name val="Calibri"/>
      <family val="2"/>
      <scheme val="minor"/>
    </font>
    <font>
      <sz val="12"/>
      <color rgb="FF000000"/>
      <name val="Arial"/>
      <family val="2"/>
    </font>
    <font>
      <b/>
      <sz val="12"/>
      <color rgb="FF000000"/>
      <name val="Arial"/>
      <family val="2"/>
    </font>
    <font>
      <sz val="12"/>
      <color theme="1"/>
      <name val="Arial"/>
      <family val="2"/>
    </font>
    <font>
      <sz val="12"/>
      <color rgb="FFE4AF0A"/>
      <name val="Arial"/>
      <family val="2"/>
    </font>
    <font>
      <b/>
      <sz val="12"/>
      <color theme="1"/>
      <name val="Arial"/>
      <family val="2"/>
    </font>
    <font>
      <b/>
      <sz val="12"/>
      <color rgb="FF222222"/>
      <name val="Arial"/>
      <family val="2"/>
    </font>
    <font>
      <sz val="12"/>
      <color rgb="FF222222"/>
      <name val="Arial"/>
      <family val="2"/>
    </font>
    <font>
      <b/>
      <sz val="11"/>
      <color theme="6"/>
      <name val="Calibri"/>
      <family val="2"/>
      <scheme val="minor"/>
    </font>
    <font>
      <sz val="11"/>
      <color theme="6"/>
      <name val="Calibri"/>
      <family val="2"/>
      <scheme val="minor"/>
    </font>
    <font>
      <b/>
      <sz val="12"/>
      <color rgb="FF000000"/>
      <name val="UICTFontTextStyleEmphasizedBody"/>
    </font>
    <font>
      <sz val="12"/>
      <color rgb="FF000000"/>
      <name val="Helvetica"/>
    </font>
  </fonts>
  <fills count="23">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indexed="43"/>
        <bgColor indexed="64"/>
      </patternFill>
    </fill>
    <fill>
      <patternFill patternType="solid">
        <fgColor theme="8"/>
        <bgColor indexed="64"/>
      </patternFill>
    </fill>
    <fill>
      <patternFill patternType="solid">
        <fgColor rgb="FFFFC000"/>
        <bgColor indexed="64"/>
      </patternFill>
    </fill>
    <fill>
      <patternFill patternType="solid">
        <fgColor them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7" tint="0.39997558519241921"/>
        <bgColor indexed="64"/>
      </patternFill>
    </fill>
  </fills>
  <borders count="4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rgb="FFFF0000"/>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rgb="FFCCCCCC"/>
      </left>
      <right style="medium">
        <color rgb="FFCCCCCC"/>
      </right>
      <top style="medium">
        <color rgb="FFCCCCCC"/>
      </top>
      <bottom style="medium">
        <color rgb="FFCCCCCC"/>
      </bottom>
      <diagonal/>
    </border>
    <border>
      <left style="medium">
        <color rgb="FFAAAAAA"/>
      </left>
      <right style="medium">
        <color rgb="FFAAAAAA"/>
      </right>
      <top style="medium">
        <color rgb="FFAAAAAA"/>
      </top>
      <bottom style="medium">
        <color rgb="FFAAAAAA"/>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CCCCCC"/>
      </right>
      <top/>
      <bottom style="medium">
        <color rgb="FFCCCCCC"/>
      </bottom>
      <diagonal/>
    </border>
  </borders>
  <cellStyleXfs count="1">
    <xf numFmtId="0" fontId="0" fillId="0" borderId="0"/>
  </cellStyleXfs>
  <cellXfs count="579">
    <xf numFmtId="0" fontId="0" fillId="0" borderId="0" xfId="0"/>
    <xf numFmtId="164"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vertical="center"/>
    </xf>
    <xf numFmtId="0" fontId="1" fillId="0" borderId="0" xfId="0" applyFont="1" applyAlignment="1">
      <alignment horizontal="center"/>
    </xf>
    <xf numFmtId="16" fontId="0" fillId="0" borderId="0" xfId="0" applyNumberFormat="1" applyAlignment="1">
      <alignment horizontal="center"/>
    </xf>
    <xf numFmtId="6" fontId="0" fillId="0" borderId="0" xfId="0" applyNumberFormat="1" applyAlignment="1">
      <alignment horizontal="center"/>
    </xf>
    <xf numFmtId="6" fontId="0" fillId="2" borderId="0" xfId="0" applyNumberFormat="1" applyFill="1" applyAlignment="1">
      <alignment horizontal="center"/>
    </xf>
    <xf numFmtId="16" fontId="1" fillId="0" borderId="0" xfId="0" applyNumberFormat="1" applyFont="1" applyAlignment="1">
      <alignment horizontal="center"/>
    </xf>
    <xf numFmtId="0" fontId="1" fillId="0" borderId="0" xfId="0" applyFont="1"/>
    <xf numFmtId="164" fontId="0" fillId="0" borderId="0" xfId="0" applyNumberFormat="1"/>
    <xf numFmtId="0" fontId="0" fillId="3" borderId="0" xfId="0" applyFill="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167" fontId="0" fillId="0" borderId="0" xfId="0" applyNumberFormat="1" applyAlignment="1">
      <alignment horizontal="center"/>
    </xf>
    <xf numFmtId="166" fontId="1" fillId="0" borderId="0" xfId="0" applyNumberFormat="1" applyFont="1" applyAlignment="1">
      <alignment horizontal="center" vertical="center" textRotation="90"/>
    </xf>
    <xf numFmtId="165"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168" fontId="0" fillId="0" borderId="0" xfId="0" applyNumberFormat="1" applyAlignment="1">
      <alignment horizontal="center"/>
    </xf>
    <xf numFmtId="168" fontId="1" fillId="0" borderId="0" xfId="0" applyNumberFormat="1" applyFont="1" applyAlignment="1">
      <alignment horizontal="center"/>
    </xf>
    <xf numFmtId="0" fontId="4" fillId="0" borderId="0" xfId="0" applyFont="1" applyAlignment="1">
      <alignment horizontal="center" vertical="center"/>
    </xf>
    <xf numFmtId="8" fontId="0" fillId="0" borderId="0" xfId="0" applyNumberFormat="1" applyAlignment="1">
      <alignment horizontal="center"/>
    </xf>
    <xf numFmtId="168" fontId="1" fillId="4" borderId="0" xfId="0" applyNumberFormat="1" applyFont="1" applyFill="1" applyAlignment="1">
      <alignment horizontal="center"/>
    </xf>
    <xf numFmtId="169" fontId="0" fillId="0" borderId="0" xfId="0" applyNumberFormat="1" applyAlignment="1">
      <alignment horizontal="center"/>
    </xf>
    <xf numFmtId="169" fontId="1" fillId="0" borderId="0" xfId="0" applyNumberFormat="1" applyFont="1"/>
    <xf numFmtId="14" fontId="0" fillId="0" borderId="0" xfId="0" applyNumberFormat="1" applyAlignment="1">
      <alignment horizontal="center"/>
    </xf>
    <xf numFmtId="170" fontId="0" fillId="0" borderId="0" xfId="0" quotePrefix="1" applyNumberFormat="1" applyAlignment="1">
      <alignment horizontal="center"/>
    </xf>
    <xf numFmtId="6" fontId="1" fillId="0" borderId="0" xfId="0" applyNumberFormat="1" applyFont="1" applyAlignment="1">
      <alignment horizontal="center"/>
    </xf>
    <xf numFmtId="170" fontId="1" fillId="0" borderId="0" xfId="0" quotePrefix="1" applyNumberFormat="1" applyFont="1" applyAlignment="1">
      <alignment horizontal="center"/>
    </xf>
    <xf numFmtId="169" fontId="0" fillId="2" borderId="0" xfId="0" applyNumberFormat="1" applyFill="1" applyAlignment="1">
      <alignment horizontal="center"/>
    </xf>
    <xf numFmtId="4" fontId="0" fillId="2" borderId="0" xfId="0" applyNumberFormat="1" applyFill="1" applyAlignment="1">
      <alignment horizontal="center"/>
    </xf>
    <xf numFmtId="4" fontId="1" fillId="0" borderId="0" xfId="0" applyNumberFormat="1" applyFont="1" applyAlignment="1">
      <alignment horizontal="center"/>
    </xf>
    <xf numFmtId="0" fontId="5" fillId="0" borderId="0" xfId="0" applyFont="1" applyAlignment="1">
      <alignment horizontal="center" vertical="center" wrapText="1"/>
    </xf>
    <xf numFmtId="171" fontId="1" fillId="0" borderId="0" xfId="0" applyNumberFormat="1" applyFont="1" applyAlignment="1">
      <alignment horizontal="center"/>
    </xf>
    <xf numFmtId="168" fontId="1" fillId="0" borderId="2" xfId="0" applyNumberFormat="1" applyFont="1" applyBorder="1" applyAlignment="1">
      <alignment horizontal="center"/>
    </xf>
    <xf numFmtId="168" fontId="1" fillId="0" borderId="3" xfId="0" applyNumberFormat="1" applyFont="1" applyBorder="1" applyAlignment="1">
      <alignment horizontal="center"/>
    </xf>
    <xf numFmtId="168" fontId="0" fillId="0" borderId="3" xfId="0" applyNumberFormat="1" applyBorder="1" applyAlignment="1">
      <alignment horizontal="center"/>
    </xf>
    <xf numFmtId="168" fontId="1" fillId="0" borderId="4" xfId="0" applyNumberFormat="1" applyFont="1" applyBorder="1" applyAlignment="1">
      <alignment horizontal="center"/>
    </xf>
    <xf numFmtId="171" fontId="0" fillId="0" borderId="0" xfId="0" applyNumberFormat="1" applyAlignment="1">
      <alignment horizontal="center"/>
    </xf>
    <xf numFmtId="0" fontId="6" fillId="0" borderId="0" xfId="0" applyFont="1" applyAlignment="1">
      <alignment horizontal="center" vertical="center"/>
    </xf>
    <xf numFmtId="170" fontId="0" fillId="5" borderId="2" xfId="0" quotePrefix="1" applyNumberFormat="1" applyFill="1" applyBorder="1" applyAlignment="1">
      <alignment horizontal="center"/>
    </xf>
    <xf numFmtId="170" fontId="0" fillId="0" borderId="4" xfId="0" quotePrefix="1" applyNumberFormat="1" applyBorder="1" applyAlignment="1">
      <alignment horizontal="center"/>
    </xf>
    <xf numFmtId="0" fontId="0" fillId="0" borderId="3" xfId="0" applyBorder="1" applyAlignment="1">
      <alignment horizontal="center"/>
    </xf>
    <xf numFmtId="0" fontId="1" fillId="0" borderId="0" xfId="0" applyFont="1" applyAlignment="1">
      <alignment vertical="center"/>
    </xf>
    <xf numFmtId="0" fontId="0" fillId="0" borderId="1" xfId="0" applyBorder="1" applyAlignment="1">
      <alignment horizontal="center" vertical="center" wrapText="1"/>
    </xf>
    <xf numFmtId="170" fontId="0" fillId="0" borderId="5" xfId="0" quotePrefix="1" applyNumberFormat="1" applyBorder="1" applyAlignment="1">
      <alignment horizontal="center"/>
    </xf>
    <xf numFmtId="170" fontId="0" fillId="0" borderId="6" xfId="0" quotePrefix="1" applyNumberFormat="1" applyBorder="1" applyAlignment="1">
      <alignment horizontal="center"/>
    </xf>
    <xf numFmtId="170" fontId="0" fillId="0" borderId="7" xfId="0" quotePrefix="1" applyNumberFormat="1" applyBorder="1" applyAlignment="1">
      <alignment horizontal="center"/>
    </xf>
    <xf numFmtId="170" fontId="0" fillId="0" borderId="8" xfId="0" quotePrefix="1" applyNumberFormat="1" applyBorder="1" applyAlignment="1">
      <alignment horizontal="center"/>
    </xf>
    <xf numFmtId="170" fontId="0" fillId="0" borderId="9" xfId="0" quotePrefix="1" applyNumberFormat="1" applyBorder="1" applyAlignment="1">
      <alignment horizontal="center"/>
    </xf>
    <xf numFmtId="170" fontId="0" fillId="0" borderId="10" xfId="0" quotePrefix="1" applyNumberFormat="1" applyBorder="1" applyAlignment="1">
      <alignment horizontal="center"/>
    </xf>
    <xf numFmtId="6" fontId="0" fillId="0" borderId="11" xfId="0" applyNumberFormat="1" applyBorder="1" applyAlignment="1">
      <alignment horizontal="center"/>
    </xf>
    <xf numFmtId="6" fontId="0" fillId="0" borderId="12" xfId="0" applyNumberFormat="1" applyBorder="1" applyAlignment="1">
      <alignment horizontal="center"/>
    </xf>
    <xf numFmtId="6" fontId="0" fillId="0" borderId="13" xfId="0" applyNumberFormat="1" applyBorder="1" applyAlignment="1">
      <alignment horizontal="center"/>
    </xf>
    <xf numFmtId="170" fontId="0" fillId="6" borderId="0" xfId="0" quotePrefix="1" applyNumberFormat="1" applyFill="1" applyAlignment="1">
      <alignment horizontal="center"/>
    </xf>
    <xf numFmtId="170" fontId="1" fillId="2" borderId="0" xfId="0" quotePrefix="1" applyNumberFormat="1" applyFont="1" applyFill="1" applyAlignment="1">
      <alignment horizontal="center"/>
    </xf>
    <xf numFmtId="0" fontId="0" fillId="7" borderId="0" xfId="0" applyFill="1" applyAlignment="1">
      <alignment horizontal="center"/>
    </xf>
    <xf numFmtId="2" fontId="7" fillId="0" borderId="0" xfId="0" applyNumberFormat="1" applyFont="1" applyAlignment="1">
      <alignment horizontal="center"/>
    </xf>
    <xf numFmtId="2" fontId="8" fillId="0" borderId="0" xfId="0" applyNumberFormat="1" applyFont="1" applyAlignment="1">
      <alignment horizontal="center"/>
    </xf>
    <xf numFmtId="0" fontId="7" fillId="0" borderId="0" xfId="0" applyFont="1"/>
    <xf numFmtId="6" fontId="0" fillId="0" borderId="0" xfId="0" applyNumberFormat="1"/>
    <xf numFmtId="8" fontId="0" fillId="0" borderId="0" xfId="0" applyNumberFormat="1"/>
    <xf numFmtId="6" fontId="0" fillId="6" borderId="0" xfId="0" applyNumberFormat="1" applyFill="1" applyAlignment="1">
      <alignment horizontal="center"/>
    </xf>
    <xf numFmtId="6" fontId="0" fillId="6" borderId="0" xfId="0" quotePrefix="1" applyNumberFormat="1" applyFill="1" applyAlignment="1">
      <alignment horizontal="center"/>
    </xf>
    <xf numFmtId="6" fontId="1" fillId="0" borderId="2" xfId="0" applyNumberFormat="1" applyFont="1" applyBorder="1" applyAlignment="1">
      <alignment horizontal="center"/>
    </xf>
    <xf numFmtId="6" fontId="1" fillId="0" borderId="4" xfId="0" applyNumberFormat="1" applyFont="1" applyBorder="1" applyAlignment="1">
      <alignment horizontal="center"/>
    </xf>
    <xf numFmtId="0" fontId="0" fillId="0" borderId="14" xfId="0" applyBorder="1"/>
    <xf numFmtId="0" fontId="0" fillId="0" borderId="15" xfId="0" applyBorder="1"/>
    <xf numFmtId="0" fontId="0" fillId="0" borderId="11" xfId="0" applyBorder="1"/>
    <xf numFmtId="0" fontId="0" fillId="0" borderId="12" xfId="0" applyBorder="1"/>
    <xf numFmtId="0" fontId="0" fillId="0" borderId="13" xfId="0" applyBorder="1"/>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 fillId="0" borderId="0" xfId="0" applyFont="1" applyAlignment="1">
      <alignment horizontal="right"/>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3" fontId="0" fillId="0" borderId="0" xfId="0" applyNumberFormat="1" applyAlignment="1">
      <alignment horizontal="center"/>
    </xf>
    <xf numFmtId="6" fontId="0" fillId="5" borderId="0" xfId="0" applyNumberFormat="1" applyFill="1" applyAlignment="1">
      <alignment horizontal="center"/>
    </xf>
    <xf numFmtId="0" fontId="0" fillId="4" borderId="0" xfId="0" applyFill="1"/>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0" fillId="0" borderId="9" xfId="0" applyBorder="1"/>
    <xf numFmtId="0" fontId="0" fillId="0" borderId="10" xfId="0" applyBorder="1"/>
    <xf numFmtId="0" fontId="0" fillId="0" borderId="19" xfId="0" applyBorder="1"/>
    <xf numFmtId="0" fontId="0" fillId="0" borderId="20" xfId="0" applyBorder="1"/>
    <xf numFmtId="0" fontId="0" fillId="0" borderId="21" xfId="0" applyBorder="1"/>
    <xf numFmtId="0" fontId="0" fillId="0" borderId="8" xfId="0" applyBorder="1"/>
    <xf numFmtId="6" fontId="0" fillId="0" borderId="0" xfId="0" quotePrefix="1" applyNumberFormat="1" applyAlignment="1">
      <alignment horizontal="center"/>
    </xf>
    <xf numFmtId="0" fontId="0" fillId="2" borderId="0" xfId="0" applyFill="1"/>
    <xf numFmtId="6" fontId="1" fillId="0" borderId="3" xfId="0" applyNumberFormat="1" applyFont="1" applyBorder="1" applyAlignment="1">
      <alignment horizontal="center"/>
    </xf>
    <xf numFmtId="6" fontId="0" fillId="0" borderId="4" xfId="0" applyNumberFormat="1" applyBorder="1" applyAlignment="1">
      <alignment horizontal="center"/>
    </xf>
    <xf numFmtId="0" fontId="0" fillId="0" borderId="22" xfId="0" applyBorder="1" applyAlignment="1">
      <alignment horizontal="center"/>
    </xf>
    <xf numFmtId="6" fontId="12" fillId="0" borderId="0" xfId="0" applyNumberFormat="1" applyFont="1" applyAlignment="1">
      <alignment horizontal="center"/>
    </xf>
    <xf numFmtId="0" fontId="0" fillId="0" borderId="11" xfId="0" applyBorder="1" applyAlignment="1">
      <alignment horizontal="center"/>
    </xf>
    <xf numFmtId="0" fontId="0" fillId="2" borderId="0" xfId="0" applyFill="1" applyAlignment="1">
      <alignment horizontal="center"/>
    </xf>
    <xf numFmtId="2" fontId="13" fillId="0" borderId="0" xfId="0" applyNumberFormat="1" applyFont="1" applyAlignment="1">
      <alignment horizontal="center"/>
    </xf>
    <xf numFmtId="0" fontId="14" fillId="0" borderId="0" xfId="0" applyFont="1"/>
    <xf numFmtId="0" fontId="13" fillId="0" borderId="0" xfId="0" applyFont="1"/>
    <xf numFmtId="2" fontId="1" fillId="0" borderId="0" xfId="0" applyNumberFormat="1" applyFont="1" applyAlignment="1">
      <alignment horizontal="center"/>
    </xf>
    <xf numFmtId="2" fontId="13" fillId="0" borderId="2" xfId="0" applyNumberFormat="1" applyFont="1" applyBorder="1" applyAlignment="1">
      <alignment horizontal="center"/>
    </xf>
    <xf numFmtId="2" fontId="13" fillId="0" borderId="3" xfId="0" applyNumberFormat="1" applyFont="1" applyBorder="1" applyAlignment="1">
      <alignment horizontal="center"/>
    </xf>
    <xf numFmtId="2" fontId="13" fillId="0" borderId="4" xfId="0" applyNumberFormat="1" applyFont="1" applyBorder="1" applyAlignment="1">
      <alignment horizontal="center"/>
    </xf>
    <xf numFmtId="2" fontId="0" fillId="0" borderId="0" xfId="0" applyNumberFormat="1" applyAlignment="1">
      <alignment horizontal="center"/>
    </xf>
    <xf numFmtId="6" fontId="1" fillId="2" borderId="0" xfId="0" applyNumberFormat="1" applyFont="1" applyFill="1" applyAlignment="1">
      <alignment horizontal="center"/>
    </xf>
    <xf numFmtId="8" fontId="0" fillId="0" borderId="2" xfId="0" applyNumberFormat="1" applyBorder="1" applyAlignment="1">
      <alignment horizontal="center"/>
    </xf>
    <xf numFmtId="8" fontId="0" fillId="0" borderId="3" xfId="0" applyNumberFormat="1" applyBorder="1" applyAlignment="1">
      <alignment horizontal="center"/>
    </xf>
    <xf numFmtId="8" fontId="0" fillId="0" borderId="4" xfId="0" applyNumberFormat="1" applyBorder="1" applyAlignment="1">
      <alignment horizontal="center"/>
    </xf>
    <xf numFmtId="6" fontId="15" fillId="0" borderId="0" xfId="0" applyNumberFormat="1" applyFont="1" applyAlignment="1">
      <alignment horizontal="center"/>
    </xf>
    <xf numFmtId="8" fontId="1" fillId="0" borderId="0" xfId="0" applyNumberFormat="1" applyFont="1" applyAlignment="1">
      <alignment horizontal="center"/>
    </xf>
    <xf numFmtId="8" fontId="1" fillId="0" borderId="3" xfId="0" applyNumberFormat="1" applyFont="1" applyBorder="1" applyAlignment="1">
      <alignment horizontal="center"/>
    </xf>
    <xf numFmtId="0" fontId="1" fillId="2" borderId="0" xfId="0" applyFont="1" applyFill="1" applyAlignment="1">
      <alignment horizontal="left"/>
    </xf>
    <xf numFmtId="0" fontId="1" fillId="2" borderId="0" xfId="0" applyFont="1" applyFill="1"/>
    <xf numFmtId="0" fontId="1" fillId="2" borderId="0" xfId="0" applyFont="1" applyFill="1" applyAlignment="1">
      <alignment horizontal="center"/>
    </xf>
    <xf numFmtId="8" fontId="1" fillId="0" borderId="0" xfId="0" applyNumberFormat="1" applyFont="1"/>
    <xf numFmtId="8" fontId="1" fillId="0" borderId="2" xfId="0" applyNumberFormat="1" applyFont="1" applyBorder="1" applyAlignment="1">
      <alignment horizontal="center"/>
    </xf>
    <xf numFmtId="0" fontId="1" fillId="0" borderId="5" xfId="0" applyFont="1" applyBorder="1" applyAlignment="1">
      <alignment horizontal="center"/>
    </xf>
    <xf numFmtId="0" fontId="0" fillId="0" borderId="14" xfId="0" applyBorder="1" applyAlignment="1">
      <alignment horizontal="center"/>
    </xf>
    <xf numFmtId="8" fontId="1" fillId="0" borderId="8" xfId="0" applyNumberFormat="1" applyFont="1"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0" fontId="1" fillId="0" borderId="15" xfId="0" applyFont="1" applyBorder="1" applyAlignment="1">
      <alignment horizontal="center"/>
    </xf>
    <xf numFmtId="0" fontId="0" fillId="0" borderId="10" xfId="0" applyBorder="1" applyAlignment="1">
      <alignment horizontal="center"/>
    </xf>
    <xf numFmtId="8" fontId="16" fillId="0" borderId="0" xfId="0" applyNumberFormat="1" applyFont="1" applyAlignment="1">
      <alignment horizontal="center"/>
    </xf>
    <xf numFmtId="8" fontId="0" fillId="0" borderId="16" xfId="0" applyNumberFormat="1" applyBorder="1"/>
    <xf numFmtId="8" fontId="0" fillId="0" borderId="17" xfId="0" applyNumberFormat="1" applyBorder="1"/>
    <xf numFmtId="8" fontId="0" fillId="0" borderId="18" xfId="0" applyNumberFormat="1" applyBorder="1"/>
    <xf numFmtId="8" fontId="1" fillId="2" borderId="0" xfId="0" applyNumberFormat="1" applyFont="1" applyFill="1" applyAlignment="1">
      <alignment horizontal="center"/>
    </xf>
    <xf numFmtId="8" fontId="0" fillId="2" borderId="0" xfId="0" applyNumberFormat="1" applyFill="1" applyAlignment="1">
      <alignment horizont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10" fillId="0" borderId="0" xfId="0" applyFont="1" applyAlignment="1">
      <alignment horizontal="center" vertical="center"/>
    </xf>
    <xf numFmtId="0" fontId="0" fillId="0" borderId="0" xfId="0" applyAlignment="1">
      <alignment horizontal="right"/>
    </xf>
    <xf numFmtId="0" fontId="0" fillId="0" borderId="12" xfId="0" applyBorder="1" applyAlignment="1">
      <alignment horizontal="center"/>
    </xf>
    <xf numFmtId="0" fontId="0" fillId="0" borderId="13" xfId="0" applyBorder="1" applyAlignment="1">
      <alignment horizontal="center"/>
    </xf>
    <xf numFmtId="1" fontId="0" fillId="0" borderId="0" xfId="0" applyNumberFormat="1" applyAlignment="1">
      <alignment horizontal="center"/>
    </xf>
    <xf numFmtId="0" fontId="0" fillId="4" borderId="0" xfId="0" applyFill="1" applyAlignment="1">
      <alignment horizontal="center"/>
    </xf>
    <xf numFmtId="167" fontId="0" fillId="0" borderId="0" xfId="0" applyNumberFormat="1"/>
    <xf numFmtId="8" fontId="1" fillId="3" borderId="2" xfId="0" applyNumberFormat="1" applyFont="1" applyFill="1" applyBorder="1" applyAlignment="1">
      <alignment horizontal="center"/>
    </xf>
    <xf numFmtId="0" fontId="1" fillId="0" borderId="1" xfId="0" applyFont="1" applyBorder="1" applyAlignment="1">
      <alignment horizontal="center"/>
    </xf>
    <xf numFmtId="8" fontId="1" fillId="0" borderId="16" xfId="0" applyNumberFormat="1" applyFont="1" applyBorder="1" applyAlignment="1">
      <alignment horizontal="center"/>
    </xf>
    <xf numFmtId="8" fontId="0" fillId="0" borderId="17" xfId="0" applyNumberFormat="1" applyBorder="1" applyAlignment="1">
      <alignment horizontal="center"/>
    </xf>
    <xf numFmtId="8" fontId="0" fillId="0" borderId="18" xfId="0" applyNumberFormat="1" applyBorder="1" applyAlignment="1">
      <alignment horizontal="center"/>
    </xf>
    <xf numFmtId="8" fontId="0" fillId="0" borderId="1" xfId="0" applyNumberFormat="1" applyBorder="1"/>
    <xf numFmtId="2" fontId="13" fillId="4" borderId="0" xfId="0" applyNumberFormat="1" applyFont="1" applyFill="1" applyAlignment="1">
      <alignment horizontal="center"/>
    </xf>
    <xf numFmtId="2" fontId="0" fillId="4" borderId="0" xfId="0" applyNumberFormat="1" applyFill="1" applyAlignment="1">
      <alignment horizontal="center"/>
    </xf>
    <xf numFmtId="6" fontId="17" fillId="0" borderId="0" xfId="0" applyNumberFormat="1" applyFont="1" applyAlignment="1">
      <alignment horizontal="center"/>
    </xf>
    <xf numFmtId="0" fontId="15" fillId="0" borderId="0" xfId="0" applyFont="1" applyAlignment="1">
      <alignment horizontal="center"/>
    </xf>
    <xf numFmtId="168" fontId="17" fillId="0" borderId="0" xfId="0" applyNumberFormat="1" applyFont="1" applyAlignment="1">
      <alignment horizontal="center"/>
    </xf>
    <xf numFmtId="0" fontId="15" fillId="0" borderId="0" xfId="0" applyFont="1"/>
    <xf numFmtId="168" fontId="15" fillId="0" borderId="0" xfId="0" applyNumberFormat="1" applyFont="1" applyAlignment="1">
      <alignment horizontal="center"/>
    </xf>
    <xf numFmtId="167" fontId="12" fillId="0" borderId="0" xfId="0" applyNumberFormat="1" applyFont="1" applyAlignment="1">
      <alignment horizontal="center"/>
    </xf>
    <xf numFmtId="170" fontId="0" fillId="0" borderId="0" xfId="0" applyNumberFormat="1"/>
    <xf numFmtId="0" fontId="12" fillId="0" borderId="0" xfId="0" applyFont="1" applyAlignment="1">
      <alignment horizontal="center"/>
    </xf>
    <xf numFmtId="1" fontId="1" fillId="0" borderId="0" xfId="0" applyNumberFormat="1" applyFont="1" applyAlignment="1">
      <alignment horizontal="center"/>
    </xf>
    <xf numFmtId="167" fontId="0" fillId="0" borderId="19" xfId="0" applyNumberFormat="1" applyBorder="1" applyAlignment="1">
      <alignment horizontal="center"/>
    </xf>
    <xf numFmtId="167" fontId="0" fillId="0" borderId="20" xfId="0" applyNumberFormat="1" applyBorder="1" applyAlignment="1">
      <alignment horizontal="center"/>
    </xf>
    <xf numFmtId="167" fontId="0" fillId="0" borderId="21" xfId="0" applyNumberFormat="1" applyBorder="1" applyAlignment="1">
      <alignment horizontal="center"/>
    </xf>
    <xf numFmtId="167" fontId="0" fillId="0" borderId="27" xfId="0" applyNumberFormat="1" applyBorder="1" applyAlignment="1">
      <alignment horizontal="center"/>
    </xf>
    <xf numFmtId="0" fontId="0" fillId="0" borderId="0" xfId="0" quotePrefix="1" applyAlignment="1">
      <alignment horizontal="center"/>
    </xf>
    <xf numFmtId="0" fontId="1" fillId="9" borderId="0" xfId="0" applyFont="1" applyFill="1" applyAlignment="1">
      <alignment horizontal="center"/>
    </xf>
    <xf numFmtId="8" fontId="0" fillId="8" borderId="0" xfId="0" applyNumberFormat="1" applyFill="1" applyAlignment="1">
      <alignment horizontal="center"/>
    </xf>
    <xf numFmtId="0" fontId="19" fillId="0" borderId="0" xfId="0" applyFont="1" applyAlignment="1">
      <alignment horizontal="center"/>
    </xf>
    <xf numFmtId="0" fontId="20" fillId="0" borderId="0" xfId="0" applyFont="1" applyAlignment="1">
      <alignment horizontal="center"/>
    </xf>
    <xf numFmtId="0" fontId="19" fillId="0" borderId="22" xfId="0" applyFont="1" applyBorder="1" applyAlignment="1">
      <alignment horizontal="center"/>
    </xf>
    <xf numFmtId="0" fontId="20" fillId="0" borderId="22" xfId="0" applyFont="1" applyBorder="1" applyAlignment="1">
      <alignment horizontal="center"/>
    </xf>
    <xf numFmtId="2" fontId="19" fillId="0" borderId="0" xfId="0" applyNumberFormat="1" applyFont="1" applyAlignment="1">
      <alignment horizontal="center"/>
    </xf>
    <xf numFmtId="2" fontId="12" fillId="0" borderId="0" xfId="0" applyNumberFormat="1" applyFont="1" applyAlignment="1">
      <alignment horizontal="center"/>
    </xf>
    <xf numFmtId="0" fontId="21" fillId="0" borderId="22" xfId="0" applyFont="1" applyBorder="1"/>
    <xf numFmtId="1" fontId="22" fillId="10" borderId="0" xfId="0" applyNumberFormat="1" applyFont="1" applyFill="1" applyAlignment="1">
      <alignment horizontal="right"/>
    </xf>
    <xf numFmtId="0" fontId="0" fillId="6" borderId="0" xfId="0" applyFill="1" applyAlignment="1">
      <alignment horizontal="center"/>
    </xf>
    <xf numFmtId="171" fontId="1" fillId="6" borderId="0" xfId="0" applyNumberFormat="1" applyFont="1" applyFill="1" applyAlignment="1">
      <alignment horizontal="center"/>
    </xf>
    <xf numFmtId="0" fontId="0" fillId="6" borderId="0" xfId="0" applyFill="1"/>
    <xf numFmtId="170" fontId="1" fillId="6" borderId="0" xfId="0" quotePrefix="1" applyNumberFormat="1" applyFont="1" applyFill="1" applyAlignment="1">
      <alignment horizontal="center"/>
    </xf>
    <xf numFmtId="170" fontId="0" fillId="6" borderId="0" xfId="0" applyNumberFormat="1" applyFill="1"/>
    <xf numFmtId="0" fontId="1" fillId="6" borderId="0" xfId="0" applyFont="1" applyFill="1" applyAlignment="1">
      <alignment horizontal="center"/>
    </xf>
    <xf numFmtId="171" fontId="0" fillId="6" borderId="0" xfId="0" applyNumberFormat="1" applyFill="1" applyAlignment="1">
      <alignment horizontal="center"/>
    </xf>
    <xf numFmtId="6" fontId="1" fillId="6" borderId="0" xfId="0" applyNumberFormat="1" applyFont="1" applyFill="1" applyAlignment="1">
      <alignment horizontal="center"/>
    </xf>
    <xf numFmtId="0" fontId="0" fillId="6" borderId="0" xfId="0" applyFill="1" applyAlignment="1">
      <alignment horizontal="center" vertical="center" wrapText="1"/>
    </xf>
    <xf numFmtId="167" fontId="0" fillId="6" borderId="0" xfId="0" applyNumberFormat="1" applyFill="1" applyAlignment="1">
      <alignment horizontal="center"/>
    </xf>
    <xf numFmtId="167" fontId="0" fillId="0" borderId="28" xfId="0" applyNumberFormat="1" applyBorder="1" applyAlignment="1">
      <alignment horizontal="center"/>
    </xf>
    <xf numFmtId="0" fontId="0" fillId="0" borderId="6" xfId="0" applyBorder="1"/>
    <xf numFmtId="0" fontId="0" fillId="0" borderId="7" xfId="0" applyBorder="1"/>
    <xf numFmtId="1" fontId="12" fillId="0" borderId="0" xfId="0" applyNumberFormat="1" applyFont="1" applyAlignment="1">
      <alignment horizontal="center"/>
    </xf>
    <xf numFmtId="0" fontId="16" fillId="0" borderId="0" xfId="0" applyFont="1" applyAlignment="1">
      <alignment horizontal="center"/>
    </xf>
    <xf numFmtId="171" fontId="1" fillId="3" borderId="0" xfId="0" applyNumberFormat="1" applyFont="1" applyFill="1" applyAlignment="1">
      <alignment horizontal="center"/>
    </xf>
    <xf numFmtId="170" fontId="0" fillId="3" borderId="0" xfId="0" quotePrefix="1" applyNumberFormat="1" applyFill="1" applyAlignment="1">
      <alignment horizontal="center"/>
    </xf>
    <xf numFmtId="170" fontId="1" fillId="3" borderId="0" xfId="0" quotePrefix="1" applyNumberFormat="1" applyFont="1" applyFill="1" applyAlignment="1">
      <alignment horizontal="center"/>
    </xf>
    <xf numFmtId="170" fontId="0" fillId="3" borderId="0" xfId="0" applyNumberFormat="1" applyFill="1"/>
    <xf numFmtId="0" fontId="1" fillId="3" borderId="0" xfId="0" applyFont="1" applyFill="1" applyAlignment="1">
      <alignment horizontal="center"/>
    </xf>
    <xf numFmtId="171" fontId="0" fillId="3" borderId="0" xfId="0" applyNumberFormat="1" applyFill="1" applyAlignment="1">
      <alignment horizontal="center"/>
    </xf>
    <xf numFmtId="6" fontId="0" fillId="3" borderId="0" xfId="0" applyNumberFormat="1" applyFill="1" applyAlignment="1">
      <alignment horizontal="center"/>
    </xf>
    <xf numFmtId="0" fontId="0" fillId="3" borderId="0" xfId="0" applyFill="1"/>
    <xf numFmtId="6" fontId="1" fillId="3" borderId="0" xfId="0" applyNumberFormat="1" applyFont="1" applyFill="1" applyAlignment="1">
      <alignment horizontal="center"/>
    </xf>
    <xf numFmtId="0" fontId="0" fillId="3" borderId="0" xfId="0" applyFill="1" applyAlignment="1">
      <alignment horizontal="center" vertical="center" wrapText="1"/>
    </xf>
    <xf numFmtId="0" fontId="17" fillId="9" borderId="0" xfId="0" applyFont="1" applyFill="1" applyAlignment="1">
      <alignment horizontal="center"/>
    </xf>
    <xf numFmtId="2" fontId="1" fillId="2" borderId="22" xfId="0" applyNumberFormat="1" applyFont="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0" borderId="22" xfId="0" applyFont="1" applyBorder="1" applyAlignment="1">
      <alignment horizontal="left"/>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22" xfId="0" applyFont="1" applyBorder="1" applyAlignment="1">
      <alignment horizontal="center"/>
    </xf>
    <xf numFmtId="1" fontId="23" fillId="10" borderId="0" xfId="0" applyNumberFormat="1" applyFont="1" applyFill="1" applyAlignment="1">
      <alignment horizontal="right"/>
    </xf>
    <xf numFmtId="1" fontId="14" fillId="0" borderId="0" xfId="0" applyNumberFormat="1" applyFont="1"/>
    <xf numFmtId="0" fontId="17" fillId="0" borderId="0" xfId="0" applyFont="1" applyAlignment="1">
      <alignment horizontal="center"/>
    </xf>
    <xf numFmtId="169" fontId="1" fillId="0" borderId="0" xfId="0" applyNumberFormat="1" applyFont="1" applyAlignment="1">
      <alignment horizontal="center" vertical="center"/>
    </xf>
    <xf numFmtId="4" fontId="0" fillId="0" borderId="0" xfId="0" applyNumberFormat="1" applyAlignment="1">
      <alignment horizontal="center"/>
    </xf>
    <xf numFmtId="172" fontId="1" fillId="0" borderId="1" xfId="0" applyNumberFormat="1"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1" xfId="0"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2" fontId="12" fillId="0" borderId="2" xfId="0" applyNumberFormat="1" applyFont="1" applyBorder="1" applyAlignment="1">
      <alignment horizontal="center"/>
    </xf>
    <xf numFmtId="2" fontId="12" fillId="0" borderId="4" xfId="0" applyNumberFormat="1" applyFont="1" applyBorder="1" applyAlignment="1">
      <alignment horizontal="center"/>
    </xf>
    <xf numFmtId="2" fontId="0" fillId="0" borderId="2" xfId="0" applyNumberFormat="1" applyBorder="1" applyAlignment="1">
      <alignment horizontal="center"/>
    </xf>
    <xf numFmtId="2" fontId="0" fillId="0" borderId="4" xfId="0" applyNumberFormat="1" applyBorder="1" applyAlignment="1">
      <alignment horizontal="center"/>
    </xf>
    <xf numFmtId="0" fontId="18" fillId="0" borderId="0" xfId="0" applyFont="1"/>
    <xf numFmtId="6" fontId="24" fillId="0" borderId="0" xfId="0" applyNumberFormat="1" applyFont="1" applyAlignment="1">
      <alignment horizontal="center"/>
    </xf>
    <xf numFmtId="1" fontId="22" fillId="10" borderId="0" xfId="0" applyNumberFormat="1" applyFont="1" applyFill="1" applyAlignment="1">
      <alignment horizontal="center"/>
    </xf>
    <xf numFmtId="1" fontId="25" fillId="10" borderId="0" xfId="0" applyNumberFormat="1" applyFont="1" applyFill="1" applyAlignment="1">
      <alignment horizontal="center"/>
    </xf>
    <xf numFmtId="1" fontId="0" fillId="0" borderId="0" xfId="0" applyNumberFormat="1"/>
    <xf numFmtId="170" fontId="0" fillId="0" borderId="0" xfId="0" applyNumberFormat="1" applyAlignment="1">
      <alignment horizontal="center"/>
    </xf>
    <xf numFmtId="0" fontId="0" fillId="0" borderId="5" xfId="0" applyBorder="1"/>
    <xf numFmtId="1" fontId="0" fillId="0" borderId="15" xfId="0" applyNumberFormat="1" applyBorder="1" applyAlignment="1">
      <alignment horizontal="center"/>
    </xf>
    <xf numFmtId="1" fontId="1" fillId="0" borderId="8" xfId="0" applyNumberFormat="1" applyFont="1" applyBorder="1" applyAlignment="1">
      <alignment horizontal="center"/>
    </xf>
    <xf numFmtId="1" fontId="0" fillId="0" borderId="9" xfId="0" applyNumberFormat="1" applyBorder="1" applyAlignment="1">
      <alignment horizontal="center"/>
    </xf>
    <xf numFmtId="1" fontId="0" fillId="0" borderId="10" xfId="0" applyNumberFormat="1" applyBorder="1" applyAlignment="1">
      <alignment horizontal="center"/>
    </xf>
    <xf numFmtId="1" fontId="0" fillId="0" borderId="14" xfId="0" applyNumberFormat="1" applyBorder="1" applyAlignment="1">
      <alignment horizontal="center"/>
    </xf>
    <xf numFmtId="0" fontId="1" fillId="0" borderId="6" xfId="0" applyFont="1" applyBorder="1" applyAlignment="1">
      <alignment horizontal="center"/>
    </xf>
    <xf numFmtId="0" fontId="15" fillId="9" borderId="0" xfId="0" applyFont="1" applyFill="1" applyAlignment="1">
      <alignment horizontal="center"/>
    </xf>
    <xf numFmtId="0" fontId="16" fillId="2" borderId="0" xfId="0" applyFont="1" applyFill="1" applyAlignment="1">
      <alignment horizontal="center"/>
    </xf>
    <xf numFmtId="2" fontId="0" fillId="0" borderId="12" xfId="0" applyNumberFormat="1" applyBorder="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left" vertical="center"/>
    </xf>
    <xf numFmtId="0" fontId="0" fillId="0" borderId="29" xfId="0" applyBorder="1"/>
    <xf numFmtId="0" fontId="0" fillId="0" borderId="30" xfId="0" applyBorder="1"/>
    <xf numFmtId="0" fontId="0" fillId="0" borderId="31" xfId="0" applyBorder="1" applyAlignment="1">
      <alignment horizontal="center"/>
    </xf>
    <xf numFmtId="0" fontId="1" fillId="0" borderId="32" xfId="0" applyFont="1" applyBorder="1" applyAlignment="1">
      <alignment horizontal="center"/>
    </xf>
    <xf numFmtId="0" fontId="0" fillId="0" borderId="31" xfId="0" applyBorder="1"/>
    <xf numFmtId="0" fontId="0" fillId="0" borderId="33" xfId="0" applyBorder="1" applyAlignment="1">
      <alignment horizontal="center"/>
    </xf>
    <xf numFmtId="0" fontId="1" fillId="0" borderId="34" xfId="0" applyFont="1" applyBorder="1" applyAlignment="1">
      <alignment horizontal="center"/>
    </xf>
    <xf numFmtId="0" fontId="0" fillId="0" borderId="35" xfId="0" applyBorder="1" applyAlignment="1">
      <alignment horizontal="center"/>
    </xf>
    <xf numFmtId="0" fontId="1" fillId="0" borderId="35" xfId="0" applyFont="1" applyBorder="1" applyAlignment="1">
      <alignment horizontal="center"/>
    </xf>
    <xf numFmtId="0" fontId="1" fillId="0" borderId="30" xfId="0" applyFont="1" applyBorder="1" applyAlignment="1">
      <alignment horizontal="center"/>
    </xf>
    <xf numFmtId="0" fontId="1" fillId="0" borderId="31" xfId="0" applyFont="1" applyBorder="1" applyAlignment="1">
      <alignment horizontal="center"/>
    </xf>
    <xf numFmtId="0" fontId="0" fillId="0" borderId="32" xfId="0" applyBorder="1" applyAlignment="1">
      <alignment horizontal="center"/>
    </xf>
    <xf numFmtId="0" fontId="0" fillId="0" borderId="33" xfId="0" applyBorder="1"/>
    <xf numFmtId="0" fontId="1" fillId="0" borderId="36" xfId="0" applyFont="1" applyBorder="1" applyAlignment="1">
      <alignment horizontal="center"/>
    </xf>
    <xf numFmtId="1" fontId="1" fillId="0" borderId="36" xfId="0" applyNumberFormat="1" applyFont="1" applyBorder="1" applyAlignment="1">
      <alignment horizontal="center"/>
    </xf>
    <xf numFmtId="1" fontId="1" fillId="0" borderId="34" xfId="0" applyNumberFormat="1" applyFont="1" applyBorder="1" applyAlignment="1">
      <alignment horizontal="center"/>
    </xf>
    <xf numFmtId="2" fontId="0" fillId="0" borderId="13" xfId="0" applyNumberFormat="1" applyBorder="1"/>
    <xf numFmtId="6" fontId="0" fillId="11" borderId="0" xfId="0" applyNumberFormat="1" applyFill="1" applyAlignment="1">
      <alignment horizontal="center"/>
    </xf>
    <xf numFmtId="0" fontId="0" fillId="11" borderId="0" xfId="0" applyFill="1"/>
    <xf numFmtId="6" fontId="0" fillId="12" borderId="0" xfId="0" applyNumberFormat="1" applyFill="1" applyAlignment="1">
      <alignment horizontal="center"/>
    </xf>
    <xf numFmtId="0" fontId="0" fillId="12" borderId="0" xfId="0" applyFill="1"/>
    <xf numFmtId="6" fontId="0" fillId="13" borderId="0" xfId="0" applyNumberFormat="1" applyFill="1" applyAlignment="1">
      <alignment horizontal="center"/>
    </xf>
    <xf numFmtId="0" fontId="0" fillId="13" borderId="0" xfId="0" applyFill="1"/>
    <xf numFmtId="6" fontId="0" fillId="14" borderId="0" xfId="0" applyNumberFormat="1" applyFill="1" applyAlignment="1">
      <alignment horizontal="center"/>
    </xf>
    <xf numFmtId="0" fontId="0" fillId="14" borderId="0" xfId="0" applyFill="1"/>
    <xf numFmtId="1" fontId="0" fillId="11" borderId="0" xfId="0" applyNumberFormat="1" applyFill="1" applyAlignment="1">
      <alignment horizontal="center"/>
    </xf>
    <xf numFmtId="1" fontId="0" fillId="12" borderId="0" xfId="0" applyNumberFormat="1" applyFill="1" applyAlignment="1">
      <alignment horizontal="center"/>
    </xf>
    <xf numFmtId="1" fontId="0" fillId="14" borderId="0" xfId="0" applyNumberFormat="1" applyFill="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6" xfId="0" applyBorder="1" applyAlignment="1">
      <alignment horizontal="center"/>
    </xf>
    <xf numFmtId="0" fontId="0" fillId="0" borderId="34" xfId="0" applyBorder="1" applyAlignment="1">
      <alignment horizontal="center"/>
    </xf>
    <xf numFmtId="2" fontId="15" fillId="0" borderId="0" xfId="0" applyNumberFormat="1" applyFont="1" applyAlignment="1">
      <alignment horizontal="center"/>
    </xf>
    <xf numFmtId="0" fontId="0" fillId="9" borderId="0" xfId="0" applyFill="1"/>
    <xf numFmtId="0" fontId="0" fillId="9" borderId="0" xfId="0" applyFill="1" applyAlignment="1">
      <alignment horizontal="center"/>
    </xf>
    <xf numFmtId="1" fontId="0" fillId="9" borderId="0" xfId="0" applyNumberFormat="1" applyFill="1" applyAlignment="1">
      <alignment horizontal="center"/>
    </xf>
    <xf numFmtId="1" fontId="0" fillId="3" borderId="0" xfId="0" applyNumberFormat="1" applyFill="1" applyAlignment="1">
      <alignment horizontal="center"/>
    </xf>
    <xf numFmtId="1" fontId="0" fillId="6" borderId="0" xfId="0" applyNumberFormat="1" applyFill="1" applyAlignment="1">
      <alignment horizontal="center"/>
    </xf>
    <xf numFmtId="1" fontId="1" fillId="3" borderId="0" xfId="0" applyNumberFormat="1" applyFont="1" applyFill="1" applyAlignment="1">
      <alignment horizontal="center"/>
    </xf>
    <xf numFmtId="1" fontId="1" fillId="6" borderId="0" xfId="0" applyNumberFormat="1" applyFont="1" applyFill="1" applyAlignment="1">
      <alignment horizontal="center"/>
    </xf>
    <xf numFmtId="1" fontId="16" fillId="0" borderId="0" xfId="0" applyNumberFormat="1" applyFont="1" applyAlignment="1">
      <alignment horizontal="center"/>
    </xf>
    <xf numFmtId="0" fontId="1" fillId="0" borderId="1" xfId="0" applyFont="1" applyBorder="1"/>
    <xf numFmtId="0" fontId="12" fillId="0" borderId="22" xfId="0" applyFont="1" applyBorder="1" applyAlignment="1">
      <alignment horizontal="center"/>
    </xf>
    <xf numFmtId="2" fontId="16" fillId="2" borderId="22" xfId="0" applyNumberFormat="1" applyFont="1" applyFill="1" applyBorder="1" applyAlignment="1">
      <alignment horizontal="center"/>
    </xf>
    <xf numFmtId="1" fontId="1" fillId="0" borderId="19" xfId="0" applyNumberFormat="1" applyFont="1" applyBorder="1" applyAlignment="1">
      <alignment horizontal="center"/>
    </xf>
    <xf numFmtId="1" fontId="1" fillId="0" borderId="21" xfId="0" applyNumberFormat="1" applyFont="1" applyBorder="1" applyAlignment="1">
      <alignment horizontal="center"/>
    </xf>
    <xf numFmtId="0" fontId="1" fillId="0" borderId="5" xfId="0" applyFont="1" applyBorder="1"/>
    <xf numFmtId="0" fontId="0" fillId="0" borderId="6" xfId="0" applyBorder="1" applyAlignment="1">
      <alignment horizontal="center"/>
    </xf>
    <xf numFmtId="6" fontId="1" fillId="4" borderId="15" xfId="0" applyNumberFormat="1" applyFont="1" applyFill="1" applyBorder="1"/>
    <xf numFmtId="1" fontId="1" fillId="4" borderId="0" xfId="0" applyNumberFormat="1" applyFont="1" applyFill="1"/>
    <xf numFmtId="16" fontId="0" fillId="0" borderId="0" xfId="0" applyNumberFormat="1"/>
    <xf numFmtId="0" fontId="0" fillId="0" borderId="9" xfId="0" applyBorder="1" applyAlignment="1">
      <alignment horizontal="center"/>
    </xf>
    <xf numFmtId="14" fontId="0" fillId="0" borderId="0" xfId="0" applyNumberFormat="1"/>
    <xf numFmtId="0" fontId="1" fillId="0" borderId="14" xfId="0" applyFont="1" applyBorder="1" applyAlignment="1">
      <alignment horizontal="center"/>
    </xf>
    <xf numFmtId="0" fontId="0" fillId="0" borderId="2" xfId="0" applyBorder="1"/>
    <xf numFmtId="167" fontId="0" fillId="0" borderId="3" xfId="0" applyNumberFormat="1" applyBorder="1" applyAlignment="1">
      <alignment horizontal="center"/>
    </xf>
    <xf numFmtId="1" fontId="0" fillId="0" borderId="15" xfId="0" applyNumberFormat="1" applyBorder="1"/>
    <xf numFmtId="2" fontId="26" fillId="0" borderId="0" xfId="0" applyNumberFormat="1" applyFont="1" applyAlignment="1">
      <alignment horizontal="center"/>
    </xf>
    <xf numFmtId="2" fontId="27" fillId="0" borderId="0" xfId="0" applyNumberFormat="1" applyFont="1" applyAlignment="1">
      <alignment horizontal="center"/>
    </xf>
    <xf numFmtId="1" fontId="28" fillId="0" borderId="0" xfId="0" applyNumberFormat="1" applyFont="1" applyAlignment="1">
      <alignment horizontal="center"/>
    </xf>
    <xf numFmtId="1" fontId="29" fillId="0" borderId="0" xfId="0" applyNumberFormat="1" applyFont="1" applyAlignment="1">
      <alignment horizontal="center"/>
    </xf>
    <xf numFmtId="170" fontId="30" fillId="0" borderId="0" xfId="0" quotePrefix="1" applyNumberFormat="1" applyFont="1" applyAlignment="1">
      <alignment horizontal="center"/>
    </xf>
    <xf numFmtId="170" fontId="5" fillId="0" borderId="0" xfId="0" applyNumberFormat="1" applyFont="1"/>
    <xf numFmtId="1" fontId="0" fillId="2" borderId="0" xfId="0" applyNumberFormat="1" applyFill="1" applyAlignment="1">
      <alignment horizontal="center"/>
    </xf>
    <xf numFmtId="167" fontId="0" fillId="2" borderId="3" xfId="0" applyNumberFormat="1" applyFill="1" applyBorder="1" applyAlignment="1">
      <alignment horizontal="center"/>
    </xf>
    <xf numFmtId="6" fontId="30" fillId="0" borderId="0" xfId="0" applyNumberFormat="1" applyFont="1" applyAlignment="1">
      <alignment horizontal="center"/>
    </xf>
    <xf numFmtId="1" fontId="1" fillId="2" borderId="0" xfId="0" applyNumberFormat="1" applyFont="1" applyFill="1" applyAlignment="1">
      <alignment horizontal="center"/>
    </xf>
    <xf numFmtId="167" fontId="22" fillId="0" borderId="0" xfId="0" applyNumberFormat="1" applyFont="1"/>
    <xf numFmtId="0" fontId="31" fillId="0" borderId="0" xfId="0" applyFont="1"/>
    <xf numFmtId="0" fontId="31" fillId="0" borderId="0" xfId="0" applyFont="1" applyAlignment="1">
      <alignment horizontal="center"/>
    </xf>
    <xf numFmtId="1" fontId="0" fillId="4" borderId="0" xfId="0" applyNumberFormat="1" applyFill="1" applyAlignment="1">
      <alignment horizontal="center"/>
    </xf>
    <xf numFmtId="1" fontId="1" fillId="15" borderId="0" xfId="0" applyNumberFormat="1" applyFont="1" applyFill="1" applyAlignment="1">
      <alignment horizontal="center"/>
    </xf>
    <xf numFmtId="0" fontId="0" fillId="15" borderId="0" xfId="0" applyFill="1" applyAlignment="1">
      <alignment horizontal="center"/>
    </xf>
    <xf numFmtId="1" fontId="1" fillId="16" borderId="0" xfId="0" applyNumberFormat="1" applyFont="1" applyFill="1" applyAlignment="1">
      <alignment horizontal="center"/>
    </xf>
    <xf numFmtId="1" fontId="0" fillId="16" borderId="0" xfId="0" applyNumberFormat="1" applyFill="1" applyAlignment="1">
      <alignment horizontal="center"/>
    </xf>
    <xf numFmtId="1" fontId="0" fillId="17" borderId="0" xfId="0" applyNumberFormat="1" applyFill="1" applyAlignment="1">
      <alignment horizontal="center"/>
    </xf>
    <xf numFmtId="1" fontId="1" fillId="0" borderId="1" xfId="0" applyNumberFormat="1" applyFont="1" applyBorder="1" applyAlignment="1">
      <alignment horizontal="center"/>
    </xf>
    <xf numFmtId="1" fontId="1" fillId="0" borderId="22" xfId="0" applyNumberFormat="1" applyFont="1" applyBorder="1" applyAlignment="1">
      <alignment horizontal="center"/>
    </xf>
    <xf numFmtId="1" fontId="1" fillId="0" borderId="2" xfId="0" applyNumberFormat="1" applyFont="1" applyBorder="1" applyAlignment="1">
      <alignment horizontal="center"/>
    </xf>
    <xf numFmtId="1" fontId="1" fillId="4" borderId="0" xfId="0" applyNumberFormat="1" applyFont="1" applyFill="1" applyAlignment="1">
      <alignment horizontal="center"/>
    </xf>
    <xf numFmtId="4" fontId="1" fillId="2" borderId="0" xfId="0" applyNumberFormat="1" applyFont="1" applyFill="1" applyAlignment="1">
      <alignment horizontal="center"/>
    </xf>
    <xf numFmtId="0" fontId="0" fillId="0" borderId="0" xfId="0" applyAlignment="1">
      <alignment horizontal="left"/>
    </xf>
    <xf numFmtId="0" fontId="1" fillId="0" borderId="0" xfId="0" applyFont="1" applyAlignment="1">
      <alignment horizontal="center" vertical="center" wrapText="1"/>
    </xf>
    <xf numFmtId="2" fontId="26" fillId="6" borderId="0" xfId="0" applyNumberFormat="1" applyFont="1" applyFill="1" applyAlignment="1">
      <alignment horizontal="center"/>
    </xf>
    <xf numFmtId="0" fontId="32" fillId="0" borderId="0" xfId="0" applyFont="1" applyAlignment="1">
      <alignment horizontal="center"/>
    </xf>
    <xf numFmtId="0" fontId="16" fillId="8" borderId="0" xfId="0" applyFont="1" applyFill="1" applyAlignment="1">
      <alignment horizontal="center"/>
    </xf>
    <xf numFmtId="0" fontId="1" fillId="2" borderId="5" xfId="0" applyFont="1" applyFill="1" applyBorder="1"/>
    <xf numFmtId="1" fontId="0" fillId="0" borderId="11" xfId="0" applyNumberFormat="1" applyBorder="1" applyAlignment="1">
      <alignment horizontal="center"/>
    </xf>
    <xf numFmtId="1" fontId="0" fillId="0" borderId="12" xfId="0" applyNumberFormat="1" applyBorder="1" applyAlignment="1">
      <alignment horizontal="center"/>
    </xf>
    <xf numFmtId="1" fontId="0" fillId="0" borderId="13" xfId="0" applyNumberFormat="1" applyBorder="1" applyAlignment="1">
      <alignment horizontal="center"/>
    </xf>
    <xf numFmtId="0" fontId="0" fillId="0" borderId="8" xfId="0" applyBorder="1" applyAlignment="1">
      <alignment horizontal="center"/>
    </xf>
    <xf numFmtId="8" fontId="1" fillId="0" borderId="10" xfId="0" applyNumberFormat="1" applyFont="1" applyBorder="1" applyAlignment="1">
      <alignment horizontal="center"/>
    </xf>
    <xf numFmtId="0" fontId="1" fillId="2" borderId="1" xfId="0" applyFont="1" applyFill="1" applyBorder="1" applyAlignment="1">
      <alignment horizontal="center"/>
    </xf>
    <xf numFmtId="6" fontId="0" fillId="19" borderId="0" xfId="0" applyNumberFormat="1" applyFill="1" applyAlignment="1">
      <alignment horizontal="center"/>
    </xf>
    <xf numFmtId="6" fontId="1" fillId="0" borderId="17" xfId="0" applyNumberFormat="1" applyFont="1" applyBorder="1" applyAlignment="1">
      <alignment horizontal="center"/>
    </xf>
    <xf numFmtId="6" fontId="0" fillId="16" borderId="0" xfId="0" applyNumberFormat="1" applyFill="1" applyAlignment="1">
      <alignment horizontal="center"/>
    </xf>
    <xf numFmtId="0" fontId="33" fillId="0" borderId="0" xfId="0" applyFont="1"/>
    <xf numFmtId="0" fontId="34" fillId="0" borderId="0" xfId="0" applyFont="1"/>
    <xf numFmtId="6" fontId="33" fillId="0" borderId="0" xfId="0" applyNumberFormat="1" applyFont="1" applyAlignment="1">
      <alignment horizontal="center"/>
    </xf>
    <xf numFmtId="6" fontId="19" fillId="0" borderId="0" xfId="0" applyNumberFormat="1" applyFont="1" applyAlignment="1">
      <alignment horizontal="center"/>
    </xf>
    <xf numFmtId="0" fontId="21" fillId="0" borderId="0" xfId="0" applyFont="1" applyAlignment="1">
      <alignment horizontal="center"/>
    </xf>
    <xf numFmtId="172" fontId="1" fillId="0" borderId="0" xfId="0" applyNumberFormat="1" applyFont="1" applyAlignment="1">
      <alignment vertical="center"/>
    </xf>
    <xf numFmtId="1" fontId="1" fillId="0" borderId="1" xfId="0" applyNumberFormat="1" applyFont="1" applyBorder="1"/>
    <xf numFmtId="2" fontId="12" fillId="0" borderId="22" xfId="0" applyNumberFormat="1" applyFont="1" applyBorder="1" applyAlignment="1">
      <alignment horizontal="center"/>
    </xf>
    <xf numFmtId="1" fontId="1" fillId="4" borderId="15" xfId="0" applyNumberFormat="1" applyFont="1" applyFill="1" applyBorder="1" applyAlignment="1">
      <alignment horizontal="center"/>
    </xf>
    <xf numFmtId="1" fontId="1" fillId="13" borderId="15" xfId="0" applyNumberFormat="1" applyFont="1" applyFill="1" applyBorder="1" applyAlignment="1">
      <alignment horizontal="center"/>
    </xf>
    <xf numFmtId="1" fontId="1" fillId="13" borderId="0" xfId="0" applyNumberFormat="1" applyFont="1" applyFill="1"/>
    <xf numFmtId="1" fontId="1" fillId="13" borderId="0" xfId="0" applyNumberFormat="1" applyFont="1" applyFill="1" applyAlignment="1">
      <alignment horizontal="center"/>
    </xf>
    <xf numFmtId="6" fontId="1" fillId="0" borderId="16" xfId="0" applyNumberFormat="1" applyFont="1" applyBorder="1" applyAlignment="1">
      <alignment horizontal="center"/>
    </xf>
    <xf numFmtId="1" fontId="32" fillId="0" borderId="1" xfId="0" applyNumberFormat="1" applyFont="1" applyBorder="1" applyAlignment="1">
      <alignment horizontal="center"/>
    </xf>
    <xf numFmtId="170" fontId="19" fillId="0" borderId="0" xfId="0" quotePrefix="1" applyNumberFormat="1" applyFont="1" applyAlignment="1">
      <alignment horizontal="center"/>
    </xf>
    <xf numFmtId="6" fontId="21" fillId="0" borderId="0" xfId="0" applyNumberFormat="1" applyFont="1" applyAlignment="1">
      <alignment horizontal="center"/>
    </xf>
    <xf numFmtId="0" fontId="0" fillId="0" borderId="17" xfId="0" applyBorder="1"/>
    <xf numFmtId="1" fontId="32" fillId="0" borderId="0" xfId="0" applyNumberFormat="1" applyFont="1" applyAlignment="1">
      <alignment horizontal="center"/>
    </xf>
    <xf numFmtId="0" fontId="0" fillId="0" borderId="16" xfId="0" applyBorder="1"/>
    <xf numFmtId="6" fontId="33" fillId="0" borderId="0" xfId="0" applyNumberFormat="1" applyFont="1" applyAlignment="1">
      <alignment horizontal="center" vertical="center"/>
    </xf>
    <xf numFmtId="6" fontId="36" fillId="0" borderId="0" xfId="0" applyNumberFormat="1" applyFont="1" applyAlignment="1">
      <alignment horizontal="center" vertical="center"/>
    </xf>
    <xf numFmtId="2" fontId="16" fillId="0" borderId="0" xfId="0" applyNumberFormat="1" applyFont="1" applyAlignment="1">
      <alignment horizontal="center"/>
    </xf>
    <xf numFmtId="0" fontId="0" fillId="0" borderId="0" xfId="0" applyBorder="1"/>
    <xf numFmtId="0" fontId="0" fillId="0" borderId="0" xfId="0" applyBorder="1" applyAlignment="1">
      <alignment horizontal="center"/>
    </xf>
    <xf numFmtId="0" fontId="1" fillId="0" borderId="0" xfId="0" applyFont="1" applyBorder="1" applyAlignment="1">
      <alignment horizontal="center"/>
    </xf>
    <xf numFmtId="6" fontId="1" fillId="0" borderId="0" xfId="0" applyNumberFormat="1" applyFont="1" applyBorder="1" applyAlignment="1">
      <alignment horizontal="center"/>
    </xf>
    <xf numFmtId="173" fontId="1" fillId="0" borderId="0" xfId="0" applyNumberFormat="1" applyFont="1" applyBorder="1" applyAlignment="1">
      <alignment horizontal="center"/>
    </xf>
    <xf numFmtId="6" fontId="0" fillId="0" borderId="0" xfId="0" applyNumberFormat="1" applyBorder="1" applyAlignment="1">
      <alignment horizontal="center"/>
    </xf>
    <xf numFmtId="173" fontId="0" fillId="0" borderId="0" xfId="0" applyNumberFormat="1" applyBorder="1" applyAlignment="1">
      <alignment horizontal="center"/>
    </xf>
    <xf numFmtId="173" fontId="19" fillId="0" borderId="0" xfId="0" applyNumberFormat="1" applyFont="1" applyBorder="1" applyAlignment="1">
      <alignment horizontal="center"/>
    </xf>
    <xf numFmtId="0" fontId="19" fillId="0" borderId="0" xfId="0" applyFont="1" applyBorder="1" applyAlignment="1">
      <alignment horizontal="center"/>
    </xf>
    <xf numFmtId="0" fontId="21" fillId="0" borderId="0" xfId="0" applyFont="1" applyBorder="1" applyAlignment="1">
      <alignment horizontal="center"/>
    </xf>
    <xf numFmtId="0" fontId="35" fillId="0" borderId="0" xfId="0" applyFont="1" applyBorder="1" applyAlignment="1">
      <alignment horizontal="center"/>
    </xf>
    <xf numFmtId="173" fontId="35" fillId="0" borderId="0" xfId="0" applyNumberFormat="1" applyFont="1" applyBorder="1" applyAlignment="1">
      <alignment horizontal="center"/>
    </xf>
    <xf numFmtId="173" fontId="21" fillId="0" borderId="0" xfId="0" applyNumberFormat="1" applyFont="1" applyBorder="1" applyAlignment="1">
      <alignment horizontal="center"/>
    </xf>
    <xf numFmtId="1" fontId="32" fillId="0" borderId="0" xfId="0" applyNumberFormat="1" applyFont="1" applyBorder="1" applyAlignment="1">
      <alignment horizontal="center"/>
    </xf>
    <xf numFmtId="173" fontId="17" fillId="0" borderId="0" xfId="0" applyNumberFormat="1" applyFont="1" applyBorder="1" applyAlignment="1">
      <alignment horizontal="center"/>
    </xf>
    <xf numFmtId="0" fontId="17" fillId="0" borderId="0" xfId="0" applyFont="1" applyBorder="1" applyAlignment="1">
      <alignment horizontal="center"/>
    </xf>
    <xf numFmtId="0" fontId="37" fillId="0" borderId="0" xfId="0" applyFont="1" applyBorder="1" applyAlignment="1">
      <alignment horizontal="center"/>
    </xf>
    <xf numFmtId="0" fontId="38" fillId="0" borderId="0" xfId="0" applyFont="1" applyBorder="1" applyAlignment="1">
      <alignment horizontal="center"/>
    </xf>
    <xf numFmtId="173" fontId="38" fillId="0" borderId="0" xfId="0" applyNumberFormat="1" applyFont="1" applyBorder="1" applyAlignment="1">
      <alignment horizontal="center"/>
    </xf>
    <xf numFmtId="0" fontId="38" fillId="0" borderId="0" xfId="0" applyFont="1"/>
    <xf numFmtId="0" fontId="37" fillId="0" borderId="0" xfId="0" applyFont="1"/>
    <xf numFmtId="0" fontId="17" fillId="0" borderId="0" xfId="0" applyFont="1" applyBorder="1" applyAlignment="1">
      <alignment horizontal="left"/>
    </xf>
    <xf numFmtId="173" fontId="19" fillId="0" borderId="0" xfId="0" applyNumberFormat="1" applyFont="1" applyFill="1" applyBorder="1" applyAlignment="1">
      <alignment horizontal="center"/>
    </xf>
    <xf numFmtId="173" fontId="19" fillId="0" borderId="2" xfId="0" applyNumberFormat="1" applyFont="1" applyBorder="1" applyAlignment="1">
      <alignment horizontal="center"/>
    </xf>
    <xf numFmtId="173" fontId="19" fillId="0" borderId="3" xfId="0" applyNumberFormat="1" applyFont="1" applyBorder="1" applyAlignment="1">
      <alignment horizontal="center"/>
    </xf>
    <xf numFmtId="0" fontId="0" fillId="0" borderId="3" xfId="0" applyBorder="1"/>
    <xf numFmtId="0" fontId="0" fillId="0" borderId="4" xfId="0" applyBorder="1"/>
    <xf numFmtId="173" fontId="1" fillId="0" borderId="4" xfId="0" applyNumberFormat="1" applyFont="1" applyBorder="1" applyAlignment="1">
      <alignment horizontal="center"/>
    </xf>
    <xf numFmtId="173" fontId="1" fillId="0" borderId="10" xfId="0" applyNumberFormat="1" applyFont="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33" fillId="0" borderId="2" xfId="0" applyFont="1" applyBorder="1" applyAlignment="1">
      <alignment horizontal="center"/>
    </xf>
    <xf numFmtId="1" fontId="16" fillId="2" borderId="0" xfId="0" applyNumberFormat="1" applyFont="1" applyFill="1" applyAlignment="1">
      <alignment horizontal="center"/>
    </xf>
    <xf numFmtId="16" fontId="1" fillId="9" borderId="0" xfId="0" applyNumberFormat="1" applyFont="1" applyFill="1" applyAlignment="1">
      <alignment horizontal="center"/>
    </xf>
    <xf numFmtId="1" fontId="1" fillId="9" borderId="0" xfId="0" applyNumberFormat="1" applyFont="1" applyFill="1" applyAlignment="1">
      <alignment horizontal="center"/>
    </xf>
    <xf numFmtId="170" fontId="39" fillId="0" borderId="0" xfId="0" quotePrefix="1" applyNumberFormat="1" applyFont="1" applyAlignment="1">
      <alignment horizontal="center"/>
    </xf>
    <xf numFmtId="170" fontId="1" fillId="0" borderId="0" xfId="0" applyNumberFormat="1" applyFont="1" applyAlignment="1">
      <alignment horizontal="center"/>
    </xf>
    <xf numFmtId="0" fontId="29" fillId="0" borderId="0" xfId="0" applyFont="1" applyAlignment="1">
      <alignment horizontal="center"/>
    </xf>
    <xf numFmtId="0" fontId="29" fillId="0" borderId="0" xfId="0" applyFont="1"/>
    <xf numFmtId="6" fontId="29" fillId="0" borderId="0" xfId="0" applyNumberFormat="1" applyFont="1" applyAlignment="1">
      <alignment horizontal="center"/>
    </xf>
    <xf numFmtId="6" fontId="1" fillId="0" borderId="0" xfId="0" applyNumberFormat="1" applyFont="1" applyFill="1" applyAlignment="1">
      <alignment horizontal="center"/>
    </xf>
    <xf numFmtId="6" fontId="29" fillId="0" borderId="0" xfId="0" applyNumberFormat="1" applyFont="1" applyFill="1" applyAlignment="1">
      <alignment horizontal="center"/>
    </xf>
    <xf numFmtId="170" fontId="29" fillId="0" borderId="0" xfId="0" quotePrefix="1" applyNumberFormat="1" applyFont="1" applyAlignment="1">
      <alignment horizontal="center"/>
    </xf>
    <xf numFmtId="169" fontId="29" fillId="0" borderId="0" xfId="0" applyNumberFormat="1" applyFont="1" applyAlignment="1">
      <alignment horizontal="center"/>
    </xf>
    <xf numFmtId="6" fontId="0" fillId="0" borderId="0" xfId="0" applyNumberFormat="1" applyFont="1" applyFill="1" applyAlignment="1">
      <alignment horizontal="center"/>
    </xf>
    <xf numFmtId="0" fontId="1" fillId="0" borderId="0" xfId="0" applyFont="1" applyAlignment="1"/>
    <xf numFmtId="0" fontId="0" fillId="0" borderId="35" xfId="0" applyBorder="1"/>
    <xf numFmtId="0" fontId="0" fillId="0" borderId="32" xfId="0" applyBorder="1"/>
    <xf numFmtId="1" fontId="0" fillId="0" borderId="0" xfId="0" applyNumberFormat="1" applyBorder="1" applyAlignment="1">
      <alignment horizontal="center"/>
    </xf>
    <xf numFmtId="0" fontId="0" fillId="0" borderId="36" xfId="0" applyBorder="1"/>
    <xf numFmtId="0" fontId="0" fillId="0" borderId="34" xfId="0" applyBorder="1"/>
    <xf numFmtId="0" fontId="0" fillId="0" borderId="0" xfId="0" applyBorder="1" applyAlignment="1">
      <alignment horizontal="right"/>
    </xf>
    <xf numFmtId="6" fontId="0" fillId="2" borderId="0" xfId="0" quotePrefix="1" applyNumberFormat="1" applyFill="1" applyAlignment="1">
      <alignment horizontal="center"/>
    </xf>
    <xf numFmtId="6" fontId="30" fillId="0" borderId="0" xfId="0" applyNumberFormat="1" applyFont="1" applyAlignment="1">
      <alignment horizontal="center" vertical="top"/>
    </xf>
    <xf numFmtId="0" fontId="0" fillId="0" borderId="0" xfId="0" applyFont="1" applyAlignment="1"/>
    <xf numFmtId="1" fontId="0" fillId="0" borderId="0" xfId="0" applyNumberFormat="1" applyFont="1" applyAlignment="1">
      <alignment horizontal="center"/>
    </xf>
    <xf numFmtId="6" fontId="1" fillId="0" borderId="29" xfId="0" applyNumberFormat="1" applyFont="1" applyFill="1" applyBorder="1" applyAlignment="1">
      <alignment horizontal="center"/>
    </xf>
    <xf numFmtId="6" fontId="0" fillId="0" borderId="35" xfId="0" applyNumberFormat="1" applyFont="1" applyFill="1" applyBorder="1" applyAlignment="1">
      <alignment horizontal="center"/>
    </xf>
    <xf numFmtId="6" fontId="0" fillId="0" borderId="0" xfId="0" applyNumberFormat="1" applyFont="1" applyFill="1" applyBorder="1" applyAlignment="1">
      <alignment horizontal="center"/>
    </xf>
    <xf numFmtId="6" fontId="0" fillId="0" borderId="36" xfId="0" applyNumberFormat="1" applyFont="1" applyFill="1" applyBorder="1" applyAlignment="1">
      <alignment horizontal="center"/>
    </xf>
    <xf numFmtId="0" fontId="40" fillId="0" borderId="1" xfId="0" applyFont="1" applyBorder="1" applyAlignment="1">
      <alignment horizontal="center" vertical="center"/>
    </xf>
    <xf numFmtId="0" fontId="0" fillId="0" borderId="0" xfId="0" applyFill="1" applyBorder="1" applyAlignment="1">
      <alignment horizontal="right"/>
    </xf>
    <xf numFmtId="0" fontId="0" fillId="0" borderId="0" xfId="0" applyFont="1" applyAlignment="1">
      <alignment horizontal="center"/>
    </xf>
    <xf numFmtId="6" fontId="16" fillId="2" borderId="0" xfId="0" applyNumberFormat="1" applyFont="1" applyFill="1" applyAlignment="1">
      <alignment horizontal="center"/>
    </xf>
    <xf numFmtId="0" fontId="0" fillId="0" borderId="0" xfId="0" applyBorder="1" applyAlignment="1">
      <alignment horizontal="left"/>
    </xf>
    <xf numFmtId="174" fontId="22" fillId="0" borderId="0" xfId="0" applyNumberFormat="1" applyFont="1" applyAlignment="1">
      <alignment horizontal="center"/>
    </xf>
    <xf numFmtId="1" fontId="1" fillId="0" borderId="16" xfId="0" applyNumberFormat="1" applyFont="1" applyBorder="1" applyAlignment="1">
      <alignment horizontal="center"/>
    </xf>
    <xf numFmtId="170" fontId="1" fillId="0" borderId="16" xfId="0" applyNumberFormat="1" applyFont="1" applyBorder="1" applyAlignment="1">
      <alignment horizontal="center"/>
    </xf>
    <xf numFmtId="170" fontId="1" fillId="0" borderId="17" xfId="0" applyNumberFormat="1" applyFont="1" applyBorder="1" applyAlignment="1">
      <alignment horizontal="center"/>
    </xf>
    <xf numFmtId="170" fontId="1" fillId="0" borderId="18" xfId="0" applyNumberFormat="1" applyFont="1" applyBorder="1" applyAlignment="1">
      <alignment horizontal="center"/>
    </xf>
    <xf numFmtId="165" fontId="1" fillId="0" borderId="0" xfId="0" applyNumberFormat="1" applyFont="1" applyFill="1" applyAlignment="1">
      <alignment horizontal="center"/>
    </xf>
    <xf numFmtId="167" fontId="16" fillId="0" borderId="0" xfId="0" applyNumberFormat="1" applyFont="1" applyAlignment="1">
      <alignment horizontal="center"/>
    </xf>
    <xf numFmtId="16" fontId="0" fillId="0" borderId="0" xfId="0" quotePrefix="1" applyNumberFormat="1"/>
    <xf numFmtId="8" fontId="16" fillId="2" borderId="0" xfId="0" quotePrefix="1" applyNumberFormat="1" applyFont="1" applyFill="1" applyAlignment="1">
      <alignment horizontal="left"/>
    </xf>
    <xf numFmtId="0" fontId="19" fillId="0" borderId="0" xfId="0" applyFont="1" applyAlignment="1">
      <alignment horizontal="right"/>
    </xf>
    <xf numFmtId="0" fontId="20" fillId="0" borderId="0" xfId="0" applyFont="1" applyAlignment="1">
      <alignment horizontal="right"/>
    </xf>
    <xf numFmtId="175" fontId="41" fillId="0" borderId="0" xfId="0" applyNumberFormat="1" applyFont="1"/>
    <xf numFmtId="0" fontId="41" fillId="0" borderId="0" xfId="0" applyFont="1"/>
    <xf numFmtId="6" fontId="41" fillId="0" borderId="0" xfId="0" applyNumberFormat="1" applyFont="1" applyAlignment="1">
      <alignment horizontal="center"/>
    </xf>
    <xf numFmtId="170" fontId="41" fillId="0" borderId="0" xfId="0" quotePrefix="1" applyNumberFormat="1" applyFont="1" applyAlignment="1">
      <alignment horizontal="center"/>
    </xf>
    <xf numFmtId="6" fontId="32" fillId="0" borderId="0" xfId="0" applyNumberFormat="1" applyFont="1" applyAlignment="1">
      <alignment horizontal="center"/>
    </xf>
    <xf numFmtId="16" fontId="32" fillId="0" borderId="0" xfId="0" applyNumberFormat="1" applyFont="1" applyAlignment="1">
      <alignment horizontal="center"/>
    </xf>
    <xf numFmtId="0" fontId="41" fillId="0" borderId="16"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175" fontId="41" fillId="0" borderId="0" xfId="0" applyNumberFormat="1" applyFont="1" applyAlignment="1">
      <alignment horizontal="center"/>
    </xf>
    <xf numFmtId="0" fontId="41" fillId="0" borderId="0" xfId="0" applyFont="1" applyAlignment="1">
      <alignment horizontal="center"/>
    </xf>
    <xf numFmtId="0" fontId="41" fillId="0" borderId="33" xfId="0" applyFont="1" applyBorder="1" applyAlignment="1">
      <alignment horizontal="center"/>
    </xf>
    <xf numFmtId="0" fontId="32" fillId="0" borderId="0" xfId="0" applyFont="1"/>
    <xf numFmtId="16" fontId="41" fillId="0" borderId="0" xfId="0" applyNumberFormat="1" applyFont="1"/>
    <xf numFmtId="0" fontId="32" fillId="9" borderId="0" xfId="0" applyFont="1" applyFill="1" applyAlignment="1">
      <alignment horizontal="center"/>
    </xf>
    <xf numFmtId="1" fontId="41" fillId="0" borderId="0" xfId="0" applyNumberFormat="1" applyFont="1" applyAlignment="1">
      <alignment horizontal="center"/>
    </xf>
    <xf numFmtId="175" fontId="32" fillId="0" borderId="0" xfId="0" applyNumberFormat="1" applyFont="1"/>
    <xf numFmtId="1" fontId="32" fillId="0" borderId="0" xfId="0" applyNumberFormat="1" applyFont="1"/>
    <xf numFmtId="2" fontId="32" fillId="0" borderId="0" xfId="0" applyNumberFormat="1" applyFont="1" applyAlignment="1">
      <alignment horizontal="center"/>
    </xf>
    <xf numFmtId="0" fontId="16" fillId="0" borderId="0" xfId="0" applyFont="1"/>
    <xf numFmtId="0" fontId="16" fillId="0" borderId="0" xfId="0" quotePrefix="1" applyFont="1" applyAlignment="1">
      <alignment horizontal="left"/>
    </xf>
    <xf numFmtId="0" fontId="16" fillId="0" borderId="9" xfId="0" applyFont="1" applyBorder="1"/>
    <xf numFmtId="0" fontId="17" fillId="2" borderId="0" xfId="0" applyFont="1" applyFill="1" applyAlignment="1">
      <alignment horizontal="center"/>
    </xf>
    <xf numFmtId="0" fontId="1" fillId="6" borderId="0" xfId="0" applyFont="1" applyFill="1" applyAlignment="1">
      <alignment horizontal="center" vertical="top"/>
    </xf>
    <xf numFmtId="6" fontId="0" fillId="0" borderId="0" xfId="0" applyNumberFormat="1" applyFont="1" applyAlignment="1">
      <alignment horizontal="center"/>
    </xf>
    <xf numFmtId="170" fontId="0" fillId="0" borderId="0" xfId="0" quotePrefix="1" applyNumberFormat="1" applyFont="1" applyAlignment="1">
      <alignment horizontal="center"/>
    </xf>
    <xf numFmtId="0" fontId="1" fillId="0" borderId="0" xfId="0" applyFont="1" applyFill="1" applyBorder="1" applyAlignment="1">
      <alignment horizontal="center"/>
    </xf>
    <xf numFmtId="0" fontId="32" fillId="0" borderId="0" xfId="0" applyFont="1" applyAlignment="1">
      <alignment vertical="center"/>
    </xf>
    <xf numFmtId="0" fontId="32" fillId="0" borderId="37" xfId="0" applyFont="1" applyBorder="1" applyAlignment="1">
      <alignment vertical="center" wrapText="1"/>
    </xf>
    <xf numFmtId="0" fontId="41" fillId="0" borderId="39" xfId="0" applyFont="1" applyBorder="1" applyAlignment="1">
      <alignment horizontal="center" vertical="top" wrapText="1"/>
    </xf>
    <xf numFmtId="0" fontId="41" fillId="0" borderId="40" xfId="0" applyFont="1" applyBorder="1" applyAlignment="1">
      <alignment vertical="center" wrapText="1"/>
    </xf>
    <xf numFmtId="0" fontId="41" fillId="0" borderId="41" xfId="0" applyFont="1" applyBorder="1" applyAlignment="1">
      <alignment horizontal="center" vertical="center" wrapText="1"/>
    </xf>
    <xf numFmtId="0" fontId="41" fillId="0" borderId="41" xfId="0" applyFont="1" applyBorder="1" applyAlignment="1">
      <alignment horizontal="center" vertical="top" wrapText="1"/>
    </xf>
    <xf numFmtId="0" fontId="41" fillId="0" borderId="0" xfId="0" applyFont="1" applyAlignment="1">
      <alignment vertical="center"/>
    </xf>
    <xf numFmtId="0" fontId="0" fillId="15" borderId="0" xfId="0" applyFill="1"/>
    <xf numFmtId="0" fontId="12" fillId="0" borderId="0" xfId="0" applyFont="1"/>
    <xf numFmtId="0" fontId="43" fillId="5" borderId="0" xfId="0" applyFont="1" applyFill="1"/>
    <xf numFmtId="1" fontId="44" fillId="5" borderId="0" xfId="0" applyNumberFormat="1" applyFont="1" applyFill="1" applyAlignment="1">
      <alignment horizontal="center"/>
    </xf>
    <xf numFmtId="2" fontId="0" fillId="0" borderId="0" xfId="0" applyNumberFormat="1"/>
    <xf numFmtId="0" fontId="1" fillId="6" borderId="0" xfId="0" applyFont="1" applyFill="1"/>
    <xf numFmtId="6" fontId="0" fillId="0" borderId="17" xfId="0" applyNumberFormat="1" applyBorder="1" applyAlignment="1">
      <alignment horizontal="center"/>
    </xf>
    <xf numFmtId="6" fontId="0" fillId="0" borderId="18" xfId="0" applyNumberFormat="1" applyBorder="1" applyAlignment="1">
      <alignment horizontal="center"/>
    </xf>
    <xf numFmtId="6" fontId="0" fillId="0" borderId="1" xfId="0" applyNumberFormat="1" applyBorder="1" applyAlignment="1">
      <alignment horizontal="center"/>
    </xf>
    <xf numFmtId="6" fontId="1" fillId="4" borderId="0" xfId="0" applyNumberFormat="1" applyFont="1" applyFill="1" applyAlignment="1">
      <alignment horizontal="center"/>
    </xf>
    <xf numFmtId="6" fontId="0" fillId="4" borderId="0" xfId="0" applyNumberFormat="1" applyFill="1" applyAlignment="1">
      <alignment horizontal="center"/>
    </xf>
    <xf numFmtId="0" fontId="16" fillId="0" borderId="29" xfId="0" applyFont="1" applyBorder="1" applyAlignment="1">
      <alignment horizontal="center"/>
    </xf>
    <xf numFmtId="0" fontId="16" fillId="0" borderId="31" xfId="0" applyFont="1" applyBorder="1" applyAlignment="1">
      <alignment horizontal="center"/>
    </xf>
    <xf numFmtId="0" fontId="16" fillId="0" borderId="33" xfId="0" applyFont="1" applyBorder="1" applyAlignment="1">
      <alignment horizontal="center"/>
    </xf>
    <xf numFmtId="0" fontId="0" fillId="0" borderId="0" xfId="0" applyFill="1" applyBorder="1" applyAlignment="1">
      <alignment horizontal="center"/>
    </xf>
    <xf numFmtId="0" fontId="45" fillId="0" borderId="22" xfId="0" applyFont="1" applyBorder="1" applyAlignment="1">
      <alignment horizontal="center"/>
    </xf>
    <xf numFmtId="167" fontId="1" fillId="0" borderId="0" xfId="0" applyNumberFormat="1"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0" fontId="46" fillId="0" borderId="0" xfId="0" applyFont="1" applyAlignment="1">
      <alignment vertical="center" wrapText="1"/>
    </xf>
    <xf numFmtId="0" fontId="46" fillId="0" borderId="0" xfId="0" applyFont="1"/>
    <xf numFmtId="0" fontId="46" fillId="0" borderId="38" xfId="0" applyFont="1" applyBorder="1" applyAlignment="1">
      <alignment vertical="center" wrapText="1"/>
    </xf>
    <xf numFmtId="0" fontId="47" fillId="0" borderId="0" xfId="0" applyFont="1"/>
    <xf numFmtId="0" fontId="47" fillId="0" borderId="38" xfId="0" applyFont="1" applyBorder="1" applyAlignment="1">
      <alignment vertical="center" wrapText="1"/>
    </xf>
    <xf numFmtId="0" fontId="46" fillId="0" borderId="38" xfId="0" applyFont="1" applyBorder="1" applyAlignment="1">
      <alignment vertical="top" wrapText="1"/>
    </xf>
    <xf numFmtId="0" fontId="48" fillId="0" borderId="0" xfId="0" applyFont="1"/>
    <xf numFmtId="0" fontId="49" fillId="0" borderId="38" xfId="0" applyFont="1" applyBorder="1" applyAlignment="1">
      <alignment vertical="center" wrapText="1"/>
    </xf>
    <xf numFmtId="0" fontId="0" fillId="20" borderId="0" xfId="0" applyFill="1"/>
    <xf numFmtId="0" fontId="48" fillId="0" borderId="0" xfId="0" applyFont="1" applyAlignment="1">
      <alignment horizontal="center"/>
    </xf>
    <xf numFmtId="0" fontId="50" fillId="0" borderId="0" xfId="0" applyFont="1" applyAlignment="1">
      <alignment vertical="center"/>
    </xf>
    <xf numFmtId="0" fontId="51" fillId="18" borderId="38" xfId="0" applyFont="1" applyFill="1" applyBorder="1" applyAlignment="1">
      <alignment vertical="center" wrapText="1"/>
    </xf>
    <xf numFmtId="0" fontId="52" fillId="18" borderId="38" xfId="0" applyFont="1" applyFill="1" applyBorder="1" applyAlignment="1">
      <alignment vertical="center" wrapText="1"/>
    </xf>
    <xf numFmtId="0" fontId="52" fillId="18" borderId="38" xfId="0" applyFont="1" applyFill="1" applyBorder="1" applyAlignment="1">
      <alignment vertical="top" wrapText="1"/>
    </xf>
    <xf numFmtId="0" fontId="52" fillId="0" borderId="0" xfId="0" applyFont="1"/>
    <xf numFmtId="3" fontId="52" fillId="18" borderId="38" xfId="0" applyNumberFormat="1" applyFont="1" applyFill="1" applyBorder="1" applyAlignment="1">
      <alignment vertical="center" wrapText="1"/>
    </xf>
    <xf numFmtId="0" fontId="52" fillId="0" borderId="0" xfId="0" applyFont="1" applyAlignment="1">
      <alignment vertical="center" wrapText="1"/>
    </xf>
    <xf numFmtId="0" fontId="49" fillId="18" borderId="38" xfId="0" applyFont="1" applyFill="1" applyBorder="1" applyAlignment="1">
      <alignment vertical="center" wrapText="1"/>
    </xf>
    <xf numFmtId="0" fontId="47" fillId="0" borderId="0" xfId="0" applyFont="1" applyAlignment="1">
      <alignment vertical="center" wrapText="1"/>
    </xf>
    <xf numFmtId="0" fontId="0" fillId="19" borderId="0" xfId="0" applyFill="1" applyAlignment="1">
      <alignment horizontal="center"/>
    </xf>
    <xf numFmtId="0" fontId="0" fillId="21" borderId="0" xfId="0" applyFill="1" applyAlignment="1">
      <alignment horizontal="center"/>
    </xf>
    <xf numFmtId="3" fontId="46" fillId="0" borderId="38" xfId="0" applyNumberFormat="1" applyFont="1" applyBorder="1" applyAlignment="1">
      <alignment vertical="center" wrapText="1"/>
    </xf>
    <xf numFmtId="0" fontId="0" fillId="0" borderId="0" xfId="0" quotePrefix="1" applyFill="1"/>
    <xf numFmtId="0" fontId="1" fillId="5" borderId="0" xfId="0" quotePrefix="1" applyFont="1" applyFill="1" applyAlignment="1">
      <alignment horizontal="center"/>
    </xf>
    <xf numFmtId="0" fontId="0" fillId="0" borderId="0" xfId="0" applyAlignment="1">
      <alignment vertical="center"/>
    </xf>
    <xf numFmtId="0" fontId="0" fillId="0" borderId="0" xfId="0" applyFont="1"/>
    <xf numFmtId="0" fontId="0" fillId="0" borderId="0" xfId="0" applyFont="1" applyAlignment="1">
      <alignment horizontal="center" vertical="center"/>
    </xf>
    <xf numFmtId="176" fontId="17" fillId="0" borderId="0" xfId="0" applyNumberFormat="1" applyFont="1" applyAlignment="1">
      <alignment horizontal="center"/>
    </xf>
    <xf numFmtId="16" fontId="17" fillId="0" borderId="0" xfId="0" applyNumberFormat="1" applyFont="1" applyFill="1" applyAlignment="1">
      <alignment horizontal="center"/>
    </xf>
    <xf numFmtId="0" fontId="16" fillId="0" borderId="0" xfId="0" applyFont="1" applyFill="1" applyBorder="1" applyAlignment="1">
      <alignment horizontal="center"/>
    </xf>
    <xf numFmtId="0" fontId="0" fillId="17" borderId="0" xfId="0" applyFill="1" applyAlignment="1">
      <alignment horizontal="center"/>
    </xf>
    <xf numFmtId="176" fontId="0" fillId="17" borderId="0" xfId="0" applyNumberFormat="1" applyFill="1" applyAlignment="1">
      <alignment horizontal="center"/>
    </xf>
    <xf numFmtId="16" fontId="0" fillId="17" borderId="0" xfId="0" applyNumberFormat="1" applyFill="1" applyAlignment="1">
      <alignment horizontal="center"/>
    </xf>
    <xf numFmtId="0" fontId="1" fillId="17" borderId="0" xfId="0" applyFont="1" applyFill="1" applyBorder="1" applyAlignment="1">
      <alignment horizontal="center"/>
    </xf>
    <xf numFmtId="0" fontId="1" fillId="17" borderId="0" xfId="0" applyFont="1" applyFill="1" applyAlignment="1">
      <alignment horizontal="center"/>
    </xf>
    <xf numFmtId="2" fontId="1" fillId="17" borderId="0" xfId="0" applyNumberFormat="1" applyFont="1" applyFill="1" applyAlignment="1">
      <alignment horizontal="center"/>
    </xf>
    <xf numFmtId="0" fontId="0" fillId="17" borderId="0" xfId="0" applyFill="1" applyAlignment="1">
      <alignment horizontal="center" vertical="center"/>
    </xf>
    <xf numFmtId="177" fontId="0" fillId="17" borderId="0" xfId="0" applyNumberFormat="1" applyFill="1" applyAlignment="1">
      <alignment horizontal="center"/>
    </xf>
    <xf numFmtId="178" fontId="0" fillId="17" borderId="0" xfId="0" applyNumberFormat="1" applyFill="1" applyAlignment="1">
      <alignment horizontal="center"/>
    </xf>
    <xf numFmtId="1" fontId="0" fillId="17" borderId="0" xfId="0" applyNumberFormat="1" applyFill="1" applyBorder="1" applyAlignment="1">
      <alignment horizontal="center"/>
    </xf>
    <xf numFmtId="170" fontId="1" fillId="17" borderId="0" xfId="0" quotePrefix="1" applyNumberFormat="1" applyFont="1" applyFill="1" applyAlignment="1">
      <alignment horizontal="center"/>
    </xf>
    <xf numFmtId="0" fontId="0" fillId="17" borderId="0" xfId="0" applyFill="1"/>
    <xf numFmtId="176" fontId="0" fillId="0" borderId="0" xfId="0" applyNumberFormat="1" applyAlignment="1">
      <alignment horizontal="center"/>
    </xf>
    <xf numFmtId="16" fontId="0" fillId="0" borderId="0" xfId="0" applyNumberFormat="1" applyFill="1" applyAlignment="1">
      <alignment horizontal="center"/>
    </xf>
    <xf numFmtId="177" fontId="0" fillId="0" borderId="0" xfId="0" applyNumberFormat="1" applyAlignment="1">
      <alignment horizontal="center"/>
    </xf>
    <xf numFmtId="178" fontId="0" fillId="0" borderId="0" xfId="0" applyNumberFormat="1" applyAlignment="1">
      <alignment horizontal="center"/>
    </xf>
    <xf numFmtId="176" fontId="0" fillId="2" borderId="0" xfId="0" applyNumberFormat="1" applyFill="1" applyAlignment="1">
      <alignment horizontal="center"/>
    </xf>
    <xf numFmtId="0" fontId="1" fillId="2" borderId="0" xfId="0" applyFont="1" applyFill="1" applyBorder="1" applyAlignment="1">
      <alignment horizontal="center"/>
    </xf>
    <xf numFmtId="2" fontId="1" fillId="2" borderId="0" xfId="0" applyNumberFormat="1" applyFont="1" applyFill="1" applyAlignment="1">
      <alignment horizontal="center"/>
    </xf>
    <xf numFmtId="0" fontId="0" fillId="2" borderId="0" xfId="0" applyFill="1" applyAlignment="1">
      <alignment horizontal="center" vertical="center"/>
    </xf>
    <xf numFmtId="177" fontId="0" fillId="2" borderId="0" xfId="0" applyNumberFormat="1" applyFill="1" applyAlignment="1">
      <alignment horizontal="center"/>
    </xf>
    <xf numFmtId="178" fontId="0" fillId="2" borderId="0" xfId="0" applyNumberFormat="1" applyFill="1" applyAlignment="1">
      <alignment horizontal="center"/>
    </xf>
    <xf numFmtId="1" fontId="0" fillId="2" borderId="0" xfId="0" applyNumberFormat="1" applyFill="1" applyBorder="1" applyAlignment="1">
      <alignment horizontal="center"/>
    </xf>
    <xf numFmtId="16" fontId="1" fillId="0" borderId="0" xfId="0" quotePrefix="1" applyNumberFormat="1" applyFont="1" applyFill="1" applyAlignment="1">
      <alignment horizontal="center"/>
    </xf>
    <xf numFmtId="16" fontId="1" fillId="20" borderId="0" xfId="0" applyNumberFormat="1" applyFont="1" applyFill="1" applyBorder="1" applyAlignment="1">
      <alignment horizontal="center"/>
    </xf>
    <xf numFmtId="0" fontId="0" fillId="20" borderId="0" xfId="0" applyFill="1" applyAlignment="1">
      <alignment horizontal="center"/>
    </xf>
    <xf numFmtId="2" fontId="1" fillId="20" borderId="0" xfId="0" applyNumberFormat="1" applyFont="1" applyFill="1" applyAlignment="1">
      <alignment horizontal="center"/>
    </xf>
    <xf numFmtId="0" fontId="0" fillId="20" borderId="0" xfId="0" applyFill="1" applyAlignment="1">
      <alignment horizontal="center" vertical="center"/>
    </xf>
    <xf numFmtId="177" fontId="0" fillId="20" borderId="0" xfId="0" applyNumberFormat="1" applyFill="1" applyAlignment="1">
      <alignment horizontal="center"/>
    </xf>
    <xf numFmtId="178" fontId="0" fillId="20" borderId="0" xfId="0" applyNumberFormat="1" applyFill="1" applyAlignment="1">
      <alignment horizontal="center"/>
    </xf>
    <xf numFmtId="1" fontId="0" fillId="20" borderId="0" xfId="0" applyNumberFormat="1" applyFill="1" applyBorder="1" applyAlignment="1">
      <alignment horizontal="center"/>
    </xf>
    <xf numFmtId="1" fontId="0" fillId="20" borderId="0" xfId="0" applyNumberFormat="1" applyFill="1" applyAlignment="1">
      <alignment horizontal="center"/>
    </xf>
    <xf numFmtId="170" fontId="1" fillId="20" borderId="0" xfId="0" quotePrefix="1" applyNumberFormat="1" applyFont="1" applyFill="1" applyAlignment="1">
      <alignment horizontal="center"/>
    </xf>
    <xf numFmtId="0" fontId="53" fillId="17" borderId="0" xfId="0" applyFont="1" applyFill="1" applyAlignment="1">
      <alignment horizontal="center"/>
    </xf>
    <xf numFmtId="2" fontId="53" fillId="17" borderId="0" xfId="0" applyNumberFormat="1" applyFont="1" applyFill="1" applyAlignment="1">
      <alignment horizontal="center"/>
    </xf>
    <xf numFmtId="0" fontId="54" fillId="17" borderId="0" xfId="0" applyFont="1" applyFill="1" applyAlignment="1">
      <alignment horizontal="center" vertical="center"/>
    </xf>
    <xf numFmtId="177" fontId="54" fillId="17" borderId="0" xfId="0" applyNumberFormat="1" applyFont="1" applyFill="1" applyAlignment="1">
      <alignment horizontal="center"/>
    </xf>
    <xf numFmtId="0" fontId="54" fillId="17" borderId="0" xfId="0" applyFont="1" applyFill="1" applyAlignment="1">
      <alignment horizontal="center"/>
    </xf>
    <xf numFmtId="178" fontId="54" fillId="17" borderId="0" xfId="0" applyNumberFormat="1" applyFont="1" applyFill="1" applyAlignment="1">
      <alignment horizontal="center"/>
    </xf>
    <xf numFmtId="1" fontId="54" fillId="17" borderId="0" xfId="0" applyNumberFormat="1" applyFont="1" applyFill="1" applyBorder="1" applyAlignment="1">
      <alignment horizontal="center"/>
    </xf>
    <xf numFmtId="1" fontId="54" fillId="17" borderId="0" xfId="0" applyNumberFormat="1" applyFont="1" applyFill="1" applyAlignment="1">
      <alignment horizontal="center"/>
    </xf>
    <xf numFmtId="170" fontId="53" fillId="17" borderId="0" xfId="0" quotePrefix="1" applyNumberFormat="1" applyFont="1" applyFill="1" applyAlignment="1">
      <alignment horizontal="center"/>
    </xf>
    <xf numFmtId="0" fontId="1" fillId="0" borderId="0" xfId="0" quotePrefix="1" applyFont="1" applyAlignment="1">
      <alignment horizontal="center"/>
    </xf>
    <xf numFmtId="16" fontId="1" fillId="22" borderId="0" xfId="0" quotePrefix="1" applyNumberFormat="1" applyFont="1" applyFill="1" applyAlignment="1">
      <alignment horizontal="center"/>
    </xf>
    <xf numFmtId="0" fontId="1" fillId="22" borderId="0" xfId="0" applyFont="1" applyFill="1" applyBorder="1" applyAlignment="1">
      <alignment horizontal="center"/>
    </xf>
    <xf numFmtId="0" fontId="0" fillId="22" borderId="0" xfId="0" applyFill="1" applyAlignment="1">
      <alignment horizontal="center"/>
    </xf>
    <xf numFmtId="2" fontId="1" fillId="22" borderId="0" xfId="0" applyNumberFormat="1" applyFont="1" applyFill="1" applyAlignment="1">
      <alignment horizontal="center"/>
    </xf>
    <xf numFmtId="0" fontId="0" fillId="22" borderId="0" xfId="0" applyFill="1" applyAlignment="1">
      <alignment horizontal="center" vertical="center"/>
    </xf>
    <xf numFmtId="177" fontId="0" fillId="22" borderId="0" xfId="0" applyNumberFormat="1" applyFill="1" applyAlignment="1">
      <alignment horizontal="center"/>
    </xf>
    <xf numFmtId="178" fontId="0" fillId="22" borderId="0" xfId="0" applyNumberFormat="1" applyFill="1" applyAlignment="1">
      <alignment horizontal="center"/>
    </xf>
    <xf numFmtId="1" fontId="0" fillId="22" borderId="0" xfId="0" applyNumberFormat="1" applyFill="1" applyBorder="1" applyAlignment="1">
      <alignment horizontal="center"/>
    </xf>
    <xf numFmtId="1" fontId="0" fillId="22" borderId="0" xfId="0" applyNumberFormat="1" applyFill="1" applyAlignment="1">
      <alignment horizontal="center"/>
    </xf>
    <xf numFmtId="170" fontId="1" fillId="22" borderId="0" xfId="0" quotePrefix="1" applyNumberFormat="1" applyFont="1" applyFill="1" applyAlignment="1">
      <alignment horizontal="center"/>
    </xf>
    <xf numFmtId="0" fontId="55" fillId="0" borderId="38" xfId="0" applyFont="1" applyBorder="1" applyAlignment="1">
      <alignment vertical="center" wrapText="1"/>
    </xf>
    <xf numFmtId="0" fontId="56" fillId="0" borderId="38" xfId="0" applyFont="1" applyBorder="1" applyAlignment="1">
      <alignment vertical="top" wrapText="1"/>
    </xf>
    <xf numFmtId="6" fontId="46" fillId="0" borderId="38" xfId="0" applyNumberFormat="1" applyFont="1" applyBorder="1" applyAlignment="1">
      <alignment vertical="center" wrapText="1"/>
    </xf>
  </cellXfs>
  <cellStyles count="1">
    <cellStyle name="Normal" xfId="0" builtinId="0"/>
  </cellStyles>
  <dxfs count="87">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s>
  <tableStyles count="0" defaultTableStyle="TableStyleMedium2" defaultPivotStyle="PivotStyleLight16"/>
  <colors>
    <mruColors>
      <color rgb="FFB88C00"/>
      <color rgb="FFCC9B00"/>
      <color rgb="FFE2AC00"/>
      <color rgb="FF05FF76"/>
      <color rgb="FF7CD2A3"/>
      <color rgb="FFFFFFCC"/>
      <color rgb="FFFD9803"/>
      <color rgb="FFA7FF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24</xdr:col>
      <xdr:colOff>403860</xdr:colOff>
      <xdr:row>32</xdr:row>
      <xdr:rowOff>15240</xdr:rowOff>
    </xdr:from>
    <xdr:to>
      <xdr:col>24</xdr:col>
      <xdr:colOff>449579</xdr:colOff>
      <xdr:row>32</xdr:row>
      <xdr:rowOff>160020</xdr:rowOff>
    </xdr:to>
    <xdr:sp macro="" textlink="">
      <xdr:nvSpPr>
        <xdr:cNvPr id="21" name="Flèche : bas 7">
          <a:extLst>
            <a:ext uri="{FF2B5EF4-FFF2-40B4-BE49-F238E27FC236}">
              <a16:creationId xmlns:a16="http://schemas.microsoft.com/office/drawing/2014/main" id="{FA181961-F87E-497C-827C-364F2FF48713}"/>
            </a:ext>
          </a:extLst>
        </xdr:cNvPr>
        <xdr:cNvSpPr/>
      </xdr:nvSpPr>
      <xdr:spPr>
        <a:xfrm>
          <a:off x="13014960" y="1706499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61</xdr:row>
      <xdr:rowOff>15240</xdr:rowOff>
    </xdr:from>
    <xdr:to>
      <xdr:col>24</xdr:col>
      <xdr:colOff>449579</xdr:colOff>
      <xdr:row>61</xdr:row>
      <xdr:rowOff>160020</xdr:rowOff>
    </xdr:to>
    <xdr:sp macro="" textlink="">
      <xdr:nvSpPr>
        <xdr:cNvPr id="3" name="Flèche : bas 7">
          <a:extLst>
            <a:ext uri="{FF2B5EF4-FFF2-40B4-BE49-F238E27FC236}">
              <a16:creationId xmlns:a16="http://schemas.microsoft.com/office/drawing/2014/main" id="{FA181961-F87E-497C-827C-364F2FF48713}"/>
            </a:ext>
          </a:extLst>
        </xdr:cNvPr>
        <xdr:cNvSpPr/>
      </xdr:nvSpPr>
      <xdr:spPr>
        <a:xfrm>
          <a:off x="13420613" y="578851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90</xdr:row>
      <xdr:rowOff>15240</xdr:rowOff>
    </xdr:from>
    <xdr:to>
      <xdr:col>24</xdr:col>
      <xdr:colOff>449579</xdr:colOff>
      <xdr:row>90</xdr:row>
      <xdr:rowOff>160020</xdr:rowOff>
    </xdr:to>
    <xdr:sp macro="" textlink="">
      <xdr:nvSpPr>
        <xdr:cNvPr id="4" name="Flèche : bas 7">
          <a:extLst>
            <a:ext uri="{FF2B5EF4-FFF2-40B4-BE49-F238E27FC236}">
              <a16:creationId xmlns:a16="http://schemas.microsoft.com/office/drawing/2014/main" id="{FA181961-F87E-497C-827C-364F2FF48713}"/>
            </a:ext>
          </a:extLst>
        </xdr:cNvPr>
        <xdr:cNvSpPr/>
      </xdr:nvSpPr>
      <xdr:spPr>
        <a:xfrm>
          <a:off x="13420613" y="11023899"/>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119</xdr:row>
      <xdr:rowOff>15240</xdr:rowOff>
    </xdr:from>
    <xdr:to>
      <xdr:col>24</xdr:col>
      <xdr:colOff>449579</xdr:colOff>
      <xdr:row>119</xdr:row>
      <xdr:rowOff>160020</xdr:rowOff>
    </xdr:to>
    <xdr:sp macro="" textlink="">
      <xdr:nvSpPr>
        <xdr:cNvPr id="5" name="Flèche : bas 7">
          <a:extLst>
            <a:ext uri="{FF2B5EF4-FFF2-40B4-BE49-F238E27FC236}">
              <a16:creationId xmlns:a16="http://schemas.microsoft.com/office/drawing/2014/main" id="{FA181961-F87E-497C-827C-364F2FF48713}"/>
            </a:ext>
          </a:extLst>
        </xdr:cNvPr>
        <xdr:cNvSpPr/>
      </xdr:nvSpPr>
      <xdr:spPr>
        <a:xfrm>
          <a:off x="12641580" y="847344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148</xdr:row>
      <xdr:rowOff>15240</xdr:rowOff>
    </xdr:from>
    <xdr:to>
      <xdr:col>24</xdr:col>
      <xdr:colOff>449579</xdr:colOff>
      <xdr:row>148</xdr:row>
      <xdr:rowOff>160020</xdr:rowOff>
    </xdr:to>
    <xdr:sp macro="" textlink="">
      <xdr:nvSpPr>
        <xdr:cNvPr id="6" name="Flèche : bas 7">
          <a:extLst>
            <a:ext uri="{FF2B5EF4-FFF2-40B4-BE49-F238E27FC236}">
              <a16:creationId xmlns:a16="http://schemas.microsoft.com/office/drawing/2014/main" id="{FA181961-F87E-497C-827C-364F2FF48713}"/>
            </a:ext>
          </a:extLst>
        </xdr:cNvPr>
        <xdr:cNvSpPr/>
      </xdr:nvSpPr>
      <xdr:spPr>
        <a:xfrm>
          <a:off x="12631719" y="135519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177</xdr:row>
      <xdr:rowOff>15240</xdr:rowOff>
    </xdr:from>
    <xdr:to>
      <xdr:col>24</xdr:col>
      <xdr:colOff>449579</xdr:colOff>
      <xdr:row>177</xdr:row>
      <xdr:rowOff>160020</xdr:rowOff>
    </xdr:to>
    <xdr:sp macro="" textlink="">
      <xdr:nvSpPr>
        <xdr:cNvPr id="7" name="Flèche : bas 7">
          <a:extLst>
            <a:ext uri="{FF2B5EF4-FFF2-40B4-BE49-F238E27FC236}">
              <a16:creationId xmlns:a16="http://schemas.microsoft.com/office/drawing/2014/main" id="{FA181961-F87E-497C-827C-364F2FF48713}"/>
            </a:ext>
          </a:extLst>
        </xdr:cNvPr>
        <xdr:cNvSpPr/>
      </xdr:nvSpPr>
      <xdr:spPr>
        <a:xfrm>
          <a:off x="12631719" y="18787334"/>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206</xdr:row>
      <xdr:rowOff>15240</xdr:rowOff>
    </xdr:from>
    <xdr:to>
      <xdr:col>24</xdr:col>
      <xdr:colOff>449579</xdr:colOff>
      <xdr:row>206</xdr:row>
      <xdr:rowOff>160020</xdr:rowOff>
    </xdr:to>
    <xdr:sp macro="" textlink="">
      <xdr:nvSpPr>
        <xdr:cNvPr id="8" name="Flèche : bas 7">
          <a:extLst>
            <a:ext uri="{FF2B5EF4-FFF2-40B4-BE49-F238E27FC236}">
              <a16:creationId xmlns:a16="http://schemas.microsoft.com/office/drawing/2014/main" id="{FA181961-F87E-497C-827C-364F2FF48713}"/>
            </a:ext>
          </a:extLst>
        </xdr:cNvPr>
        <xdr:cNvSpPr/>
      </xdr:nvSpPr>
      <xdr:spPr>
        <a:xfrm>
          <a:off x="12631719" y="24022722"/>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235</xdr:row>
      <xdr:rowOff>15240</xdr:rowOff>
    </xdr:from>
    <xdr:to>
      <xdr:col>24</xdr:col>
      <xdr:colOff>449579</xdr:colOff>
      <xdr:row>235</xdr:row>
      <xdr:rowOff>160020</xdr:rowOff>
    </xdr:to>
    <xdr:sp macro="" textlink="">
      <xdr:nvSpPr>
        <xdr:cNvPr id="9" name="Flèche : bas 7">
          <a:extLst>
            <a:ext uri="{FF2B5EF4-FFF2-40B4-BE49-F238E27FC236}">
              <a16:creationId xmlns:a16="http://schemas.microsoft.com/office/drawing/2014/main" id="{FA181961-F87E-497C-827C-364F2FF48713}"/>
            </a:ext>
          </a:extLst>
        </xdr:cNvPr>
        <xdr:cNvSpPr/>
      </xdr:nvSpPr>
      <xdr:spPr>
        <a:xfrm>
          <a:off x="12631719" y="2925811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264</xdr:row>
      <xdr:rowOff>15240</xdr:rowOff>
    </xdr:from>
    <xdr:to>
      <xdr:col>24</xdr:col>
      <xdr:colOff>449579</xdr:colOff>
      <xdr:row>264</xdr:row>
      <xdr:rowOff>160020</xdr:rowOff>
    </xdr:to>
    <xdr:sp macro="" textlink="">
      <xdr:nvSpPr>
        <xdr:cNvPr id="10" name="Flèche : bas 7">
          <a:extLst>
            <a:ext uri="{FF2B5EF4-FFF2-40B4-BE49-F238E27FC236}">
              <a16:creationId xmlns:a16="http://schemas.microsoft.com/office/drawing/2014/main" id="{FA181961-F87E-497C-827C-364F2FF48713}"/>
            </a:ext>
          </a:extLst>
        </xdr:cNvPr>
        <xdr:cNvSpPr/>
      </xdr:nvSpPr>
      <xdr:spPr>
        <a:xfrm>
          <a:off x="12631719" y="34493499"/>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107578</xdr:colOff>
      <xdr:row>48</xdr:row>
      <xdr:rowOff>71718</xdr:rowOff>
    </xdr:from>
    <xdr:to>
      <xdr:col>12</xdr:col>
      <xdr:colOff>176699</xdr:colOff>
      <xdr:row>59</xdr:row>
      <xdr:rowOff>158302</xdr:rowOff>
    </xdr:to>
    <xdr:pic>
      <xdr:nvPicPr>
        <xdr:cNvPr id="2" name="Image 1"/>
        <xdr:cNvPicPr>
          <a:picLocks noChangeAspect="1"/>
        </xdr:cNvPicPr>
      </xdr:nvPicPr>
      <xdr:blipFill>
        <a:blip xmlns:r="http://schemas.openxmlformats.org/officeDocument/2006/relationships" r:embed="rId1"/>
        <a:stretch>
          <a:fillRect/>
        </a:stretch>
      </xdr:blipFill>
      <xdr:spPr>
        <a:xfrm rot="21369451">
          <a:off x="3550025" y="8785412"/>
          <a:ext cx="3959803" cy="2094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36</xdr:row>
      <xdr:rowOff>0</xdr:rowOff>
    </xdr:from>
    <xdr:to>
      <xdr:col>4</xdr:col>
      <xdr:colOff>304800</xdr:colOff>
      <xdr:row>37</xdr:row>
      <xdr:rowOff>108024</xdr:rowOff>
    </xdr:to>
    <xdr:sp macro="" textlink="">
      <xdr:nvSpPr>
        <xdr:cNvPr id="2" name="AutoShape 1" descr="🍺">
          <a:extLst>
            <a:ext uri="{FF2B5EF4-FFF2-40B4-BE49-F238E27FC236}">
              <a16:creationId xmlns:a16="http://schemas.microsoft.com/office/drawing/2014/main" id="{928FE982-87B6-8BA9-5178-D281F5F455F0}"/>
            </a:ext>
          </a:extLst>
        </xdr:cNvPr>
        <xdr:cNvSpPr>
          <a:spLocks noChangeAspect="1" noChangeArrowheads="1"/>
        </xdr:cNvSpPr>
      </xdr:nvSpPr>
      <xdr:spPr bwMode="auto">
        <a:xfrm>
          <a:off x="2066925" y="3486150"/>
          <a:ext cx="304800" cy="3086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2232212</xdr:colOff>
      <xdr:row>75</xdr:row>
      <xdr:rowOff>0</xdr:rowOff>
    </xdr:from>
    <xdr:to>
      <xdr:col>4</xdr:col>
      <xdr:colOff>2402542</xdr:colOff>
      <xdr:row>75</xdr:row>
      <xdr:rowOff>169662</xdr:rowOff>
    </xdr:to>
    <xdr:pic>
      <xdr:nvPicPr>
        <xdr:cNvPr id="3" name="Image 2" desc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9137" y="50586155"/>
          <a:ext cx="170330" cy="16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11207</xdr:colOff>
      <xdr:row>19</xdr:row>
      <xdr:rowOff>0</xdr:rowOff>
    </xdr:from>
    <xdr:to>
      <xdr:col>37</xdr:col>
      <xdr:colOff>162374</xdr:colOff>
      <xdr:row>671</xdr:row>
      <xdr:rowOff>29995</xdr:rowOff>
    </xdr:to>
    <xdr:pic>
      <xdr:nvPicPr>
        <xdr:cNvPr id="2" name="Image 1">
          <a:extLst>
            <a:ext uri="{FF2B5EF4-FFF2-40B4-BE49-F238E27FC236}">
              <a16:creationId xmlns:a16="http://schemas.microsoft.com/office/drawing/2014/main" id="{AF87F2F0-FE98-4B2B-98DA-7737F594C745}"/>
            </a:ext>
          </a:extLst>
        </xdr:cNvPr>
        <xdr:cNvPicPr>
          <a:picLocks noChangeAspect="1"/>
        </xdr:cNvPicPr>
      </xdr:nvPicPr>
      <xdr:blipFill>
        <a:blip xmlns:r="http://schemas.openxmlformats.org/officeDocument/2006/relationships" r:embed="rId1"/>
        <a:stretch>
          <a:fillRect/>
        </a:stretch>
      </xdr:blipFill>
      <xdr:spPr>
        <a:xfrm>
          <a:off x="17156207" y="15750093"/>
          <a:ext cx="6491007" cy="2596592"/>
        </a:xfrm>
        <a:prstGeom prst="rect">
          <a:avLst/>
        </a:prstGeom>
      </xdr:spPr>
    </xdr:pic>
    <xdr:clientData/>
  </xdr:twoCellAnchor>
  <xdr:twoCellAnchor>
    <xdr:from>
      <xdr:col>25</xdr:col>
      <xdr:colOff>403860</xdr:colOff>
      <xdr:row>205</xdr:row>
      <xdr:rowOff>15240</xdr:rowOff>
    </xdr:from>
    <xdr:to>
      <xdr:col>25</xdr:col>
      <xdr:colOff>449579</xdr:colOff>
      <xdr:row>205</xdr:row>
      <xdr:rowOff>160020</xdr:rowOff>
    </xdr:to>
    <xdr:sp macro="" textlink="">
      <xdr:nvSpPr>
        <xdr:cNvPr id="3" name="Flèche : bas 2">
          <a:extLst>
            <a:ext uri="{FF2B5EF4-FFF2-40B4-BE49-F238E27FC236}">
              <a16:creationId xmlns:a16="http://schemas.microsoft.com/office/drawing/2014/main" id="{3DBDAA70-839C-BC61-7C41-67D3BB9ED1AF}"/>
            </a:ext>
          </a:extLst>
        </xdr:cNvPr>
        <xdr:cNvSpPr/>
      </xdr:nvSpPr>
      <xdr:spPr>
        <a:xfrm>
          <a:off x="11551920" y="3651504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234</xdr:row>
      <xdr:rowOff>15240</xdr:rowOff>
    </xdr:from>
    <xdr:to>
      <xdr:col>25</xdr:col>
      <xdr:colOff>449579</xdr:colOff>
      <xdr:row>234</xdr:row>
      <xdr:rowOff>160020</xdr:rowOff>
    </xdr:to>
    <xdr:sp macro="" textlink="">
      <xdr:nvSpPr>
        <xdr:cNvPr id="4" name="Flèche : bas 3">
          <a:extLst>
            <a:ext uri="{FF2B5EF4-FFF2-40B4-BE49-F238E27FC236}">
              <a16:creationId xmlns:a16="http://schemas.microsoft.com/office/drawing/2014/main" id="{27DF7B14-776F-4FBF-95DF-5D1B4C5ECC5E}"/>
            </a:ext>
          </a:extLst>
        </xdr:cNvPr>
        <xdr:cNvSpPr/>
      </xdr:nvSpPr>
      <xdr:spPr>
        <a:xfrm>
          <a:off x="11551920" y="3651504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263</xdr:row>
      <xdr:rowOff>15240</xdr:rowOff>
    </xdr:from>
    <xdr:to>
      <xdr:col>25</xdr:col>
      <xdr:colOff>449579</xdr:colOff>
      <xdr:row>263</xdr:row>
      <xdr:rowOff>160020</xdr:rowOff>
    </xdr:to>
    <xdr:sp macro="" textlink="">
      <xdr:nvSpPr>
        <xdr:cNvPr id="5" name="Flèche : bas 4">
          <a:extLst>
            <a:ext uri="{FF2B5EF4-FFF2-40B4-BE49-F238E27FC236}">
              <a16:creationId xmlns:a16="http://schemas.microsoft.com/office/drawing/2014/main" id="{4E6B31B8-662D-4343-B4A2-5FEA0969D044}"/>
            </a:ext>
          </a:extLst>
        </xdr:cNvPr>
        <xdr:cNvSpPr/>
      </xdr:nvSpPr>
      <xdr:spPr>
        <a:xfrm>
          <a:off x="11717319" y="973298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292</xdr:row>
      <xdr:rowOff>15240</xdr:rowOff>
    </xdr:from>
    <xdr:to>
      <xdr:col>25</xdr:col>
      <xdr:colOff>449579</xdr:colOff>
      <xdr:row>292</xdr:row>
      <xdr:rowOff>160020</xdr:rowOff>
    </xdr:to>
    <xdr:sp macro="" textlink="">
      <xdr:nvSpPr>
        <xdr:cNvPr id="6" name="Flèche : bas 5">
          <a:extLst>
            <a:ext uri="{FF2B5EF4-FFF2-40B4-BE49-F238E27FC236}">
              <a16:creationId xmlns:a16="http://schemas.microsoft.com/office/drawing/2014/main" id="{933F76DA-477E-46A9-9D90-AF42D6EAA50D}"/>
            </a:ext>
          </a:extLst>
        </xdr:cNvPr>
        <xdr:cNvSpPr/>
      </xdr:nvSpPr>
      <xdr:spPr>
        <a:xfrm>
          <a:off x="11717319" y="973298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321</xdr:row>
      <xdr:rowOff>15240</xdr:rowOff>
    </xdr:from>
    <xdr:to>
      <xdr:col>25</xdr:col>
      <xdr:colOff>449579</xdr:colOff>
      <xdr:row>321</xdr:row>
      <xdr:rowOff>160020</xdr:rowOff>
    </xdr:to>
    <xdr:sp macro="" textlink="">
      <xdr:nvSpPr>
        <xdr:cNvPr id="7" name="Flèche : bas 6">
          <a:extLst>
            <a:ext uri="{FF2B5EF4-FFF2-40B4-BE49-F238E27FC236}">
              <a16:creationId xmlns:a16="http://schemas.microsoft.com/office/drawing/2014/main" id="{4010D136-4DA5-400B-80C1-D2EFBB8C6D4E}"/>
            </a:ext>
          </a:extLst>
        </xdr:cNvPr>
        <xdr:cNvSpPr/>
      </xdr:nvSpPr>
      <xdr:spPr>
        <a:xfrm>
          <a:off x="18046401" y="973298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350</xdr:row>
      <xdr:rowOff>15240</xdr:rowOff>
    </xdr:from>
    <xdr:to>
      <xdr:col>25</xdr:col>
      <xdr:colOff>449579</xdr:colOff>
      <xdr:row>350</xdr:row>
      <xdr:rowOff>160020</xdr:rowOff>
    </xdr:to>
    <xdr:sp macro="" textlink="">
      <xdr:nvSpPr>
        <xdr:cNvPr id="8" name="Flèche : bas 7">
          <a:extLst>
            <a:ext uri="{FF2B5EF4-FFF2-40B4-BE49-F238E27FC236}">
              <a16:creationId xmlns:a16="http://schemas.microsoft.com/office/drawing/2014/main" id="{FA181961-F87E-497C-827C-364F2FF48713}"/>
            </a:ext>
          </a:extLst>
        </xdr:cNvPr>
        <xdr:cNvSpPr/>
      </xdr:nvSpPr>
      <xdr:spPr>
        <a:xfrm>
          <a:off x="12013154" y="10091569"/>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379</xdr:row>
      <xdr:rowOff>15240</xdr:rowOff>
    </xdr:from>
    <xdr:to>
      <xdr:col>25</xdr:col>
      <xdr:colOff>449579</xdr:colOff>
      <xdr:row>379</xdr:row>
      <xdr:rowOff>160020</xdr:rowOff>
    </xdr:to>
    <xdr:sp macro="" textlink="">
      <xdr:nvSpPr>
        <xdr:cNvPr id="9" name="Flèche : bas 7">
          <a:extLst>
            <a:ext uri="{FF2B5EF4-FFF2-40B4-BE49-F238E27FC236}">
              <a16:creationId xmlns:a16="http://schemas.microsoft.com/office/drawing/2014/main" id="{FA181961-F87E-497C-827C-364F2FF48713}"/>
            </a:ext>
          </a:extLst>
        </xdr:cNvPr>
        <xdr:cNvSpPr/>
      </xdr:nvSpPr>
      <xdr:spPr>
        <a:xfrm>
          <a:off x="12013154" y="20526487"/>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408</xdr:row>
      <xdr:rowOff>15240</xdr:rowOff>
    </xdr:from>
    <xdr:to>
      <xdr:col>25</xdr:col>
      <xdr:colOff>449579</xdr:colOff>
      <xdr:row>408</xdr:row>
      <xdr:rowOff>160020</xdr:rowOff>
    </xdr:to>
    <xdr:sp macro="" textlink="">
      <xdr:nvSpPr>
        <xdr:cNvPr id="10" name="Flèche : bas 7">
          <a:extLst>
            <a:ext uri="{FF2B5EF4-FFF2-40B4-BE49-F238E27FC236}">
              <a16:creationId xmlns:a16="http://schemas.microsoft.com/office/drawing/2014/main" id="{FA181961-F87E-497C-827C-364F2FF48713}"/>
            </a:ext>
          </a:extLst>
        </xdr:cNvPr>
        <xdr:cNvSpPr/>
      </xdr:nvSpPr>
      <xdr:spPr>
        <a:xfrm>
          <a:off x="13187531" y="487411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437</xdr:row>
      <xdr:rowOff>15240</xdr:rowOff>
    </xdr:from>
    <xdr:to>
      <xdr:col>25</xdr:col>
      <xdr:colOff>449579</xdr:colOff>
      <xdr:row>437</xdr:row>
      <xdr:rowOff>160020</xdr:rowOff>
    </xdr:to>
    <xdr:sp macro="" textlink="">
      <xdr:nvSpPr>
        <xdr:cNvPr id="11" name="Flèche : bas 7">
          <a:extLst>
            <a:ext uri="{FF2B5EF4-FFF2-40B4-BE49-F238E27FC236}">
              <a16:creationId xmlns:a16="http://schemas.microsoft.com/office/drawing/2014/main" id="{FA181961-F87E-497C-827C-364F2FF48713}"/>
            </a:ext>
          </a:extLst>
        </xdr:cNvPr>
        <xdr:cNvSpPr/>
      </xdr:nvSpPr>
      <xdr:spPr>
        <a:xfrm>
          <a:off x="13187531" y="10127428"/>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466</xdr:row>
      <xdr:rowOff>15240</xdr:rowOff>
    </xdr:from>
    <xdr:to>
      <xdr:col>25</xdr:col>
      <xdr:colOff>449579</xdr:colOff>
      <xdr:row>466</xdr:row>
      <xdr:rowOff>160020</xdr:rowOff>
    </xdr:to>
    <xdr:sp macro="" textlink="">
      <xdr:nvSpPr>
        <xdr:cNvPr id="12" name="Flèche : bas 7">
          <a:extLst>
            <a:ext uri="{FF2B5EF4-FFF2-40B4-BE49-F238E27FC236}">
              <a16:creationId xmlns:a16="http://schemas.microsoft.com/office/drawing/2014/main" id="{FA181961-F87E-497C-827C-364F2FF48713}"/>
            </a:ext>
          </a:extLst>
        </xdr:cNvPr>
        <xdr:cNvSpPr/>
      </xdr:nvSpPr>
      <xdr:spPr>
        <a:xfrm>
          <a:off x="13187531" y="10127428"/>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495</xdr:row>
      <xdr:rowOff>15240</xdr:rowOff>
    </xdr:from>
    <xdr:to>
      <xdr:col>25</xdr:col>
      <xdr:colOff>449579</xdr:colOff>
      <xdr:row>495</xdr:row>
      <xdr:rowOff>160020</xdr:rowOff>
    </xdr:to>
    <xdr:sp macro="" textlink="">
      <xdr:nvSpPr>
        <xdr:cNvPr id="13" name="Flèche : bas 7">
          <a:extLst>
            <a:ext uri="{FF2B5EF4-FFF2-40B4-BE49-F238E27FC236}">
              <a16:creationId xmlns:a16="http://schemas.microsoft.com/office/drawing/2014/main" id="{FA181961-F87E-497C-827C-364F2FF48713}"/>
            </a:ext>
          </a:extLst>
        </xdr:cNvPr>
        <xdr:cNvSpPr/>
      </xdr:nvSpPr>
      <xdr:spPr>
        <a:xfrm>
          <a:off x="13187531" y="15344887"/>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524</xdr:row>
      <xdr:rowOff>15240</xdr:rowOff>
    </xdr:from>
    <xdr:to>
      <xdr:col>25</xdr:col>
      <xdr:colOff>449579</xdr:colOff>
      <xdr:row>524</xdr:row>
      <xdr:rowOff>160020</xdr:rowOff>
    </xdr:to>
    <xdr:sp macro="" textlink="">
      <xdr:nvSpPr>
        <xdr:cNvPr id="14" name="Flèche : bas 7">
          <a:extLst>
            <a:ext uri="{FF2B5EF4-FFF2-40B4-BE49-F238E27FC236}">
              <a16:creationId xmlns:a16="http://schemas.microsoft.com/office/drawing/2014/main" id="{FA181961-F87E-497C-827C-364F2FF48713}"/>
            </a:ext>
          </a:extLst>
        </xdr:cNvPr>
        <xdr:cNvSpPr/>
      </xdr:nvSpPr>
      <xdr:spPr>
        <a:xfrm>
          <a:off x="13187531" y="11203193"/>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553</xdr:row>
      <xdr:rowOff>15240</xdr:rowOff>
    </xdr:from>
    <xdr:to>
      <xdr:col>25</xdr:col>
      <xdr:colOff>449579</xdr:colOff>
      <xdr:row>553</xdr:row>
      <xdr:rowOff>160020</xdr:rowOff>
    </xdr:to>
    <xdr:sp macro="" textlink="">
      <xdr:nvSpPr>
        <xdr:cNvPr id="15" name="Flèche : bas 7">
          <a:extLst>
            <a:ext uri="{FF2B5EF4-FFF2-40B4-BE49-F238E27FC236}">
              <a16:creationId xmlns:a16="http://schemas.microsoft.com/office/drawing/2014/main" id="{FA181961-F87E-497C-827C-364F2FF48713}"/>
            </a:ext>
          </a:extLst>
        </xdr:cNvPr>
        <xdr:cNvSpPr/>
      </xdr:nvSpPr>
      <xdr:spPr>
        <a:xfrm>
          <a:off x="17642989" y="11203193"/>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582</xdr:row>
      <xdr:rowOff>15240</xdr:rowOff>
    </xdr:from>
    <xdr:to>
      <xdr:col>25</xdr:col>
      <xdr:colOff>449579</xdr:colOff>
      <xdr:row>582</xdr:row>
      <xdr:rowOff>160020</xdr:rowOff>
    </xdr:to>
    <xdr:sp macro="" textlink="">
      <xdr:nvSpPr>
        <xdr:cNvPr id="16" name="Flèche : bas 7">
          <a:extLst>
            <a:ext uri="{FF2B5EF4-FFF2-40B4-BE49-F238E27FC236}">
              <a16:creationId xmlns:a16="http://schemas.microsoft.com/office/drawing/2014/main" id="{FA181961-F87E-497C-827C-364F2FF48713}"/>
            </a:ext>
          </a:extLst>
        </xdr:cNvPr>
        <xdr:cNvSpPr/>
      </xdr:nvSpPr>
      <xdr:spPr>
        <a:xfrm>
          <a:off x="17642989" y="943239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611</xdr:row>
      <xdr:rowOff>15240</xdr:rowOff>
    </xdr:from>
    <xdr:to>
      <xdr:col>25</xdr:col>
      <xdr:colOff>449579</xdr:colOff>
      <xdr:row>611</xdr:row>
      <xdr:rowOff>160020</xdr:rowOff>
    </xdr:to>
    <xdr:sp macro="" textlink="">
      <xdr:nvSpPr>
        <xdr:cNvPr id="17" name="Flèche : bas 7">
          <a:extLst>
            <a:ext uri="{FF2B5EF4-FFF2-40B4-BE49-F238E27FC236}">
              <a16:creationId xmlns:a16="http://schemas.microsoft.com/office/drawing/2014/main" id="{FA181961-F87E-497C-827C-364F2FF48713}"/>
            </a:ext>
          </a:extLst>
        </xdr:cNvPr>
        <xdr:cNvSpPr/>
      </xdr:nvSpPr>
      <xdr:spPr>
        <a:xfrm>
          <a:off x="17642989" y="16062064"/>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640</xdr:row>
      <xdr:rowOff>15240</xdr:rowOff>
    </xdr:from>
    <xdr:to>
      <xdr:col>25</xdr:col>
      <xdr:colOff>449579</xdr:colOff>
      <xdr:row>640</xdr:row>
      <xdr:rowOff>160020</xdr:rowOff>
    </xdr:to>
    <xdr:sp macro="" textlink="">
      <xdr:nvSpPr>
        <xdr:cNvPr id="18" name="Flèche : bas 7">
          <a:extLst>
            <a:ext uri="{FF2B5EF4-FFF2-40B4-BE49-F238E27FC236}">
              <a16:creationId xmlns:a16="http://schemas.microsoft.com/office/drawing/2014/main" id="{FA181961-F87E-497C-827C-364F2FF48713}"/>
            </a:ext>
          </a:extLst>
        </xdr:cNvPr>
        <xdr:cNvSpPr/>
      </xdr:nvSpPr>
      <xdr:spPr>
        <a:xfrm>
          <a:off x="13420613" y="56271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669</xdr:row>
      <xdr:rowOff>15240</xdr:rowOff>
    </xdr:from>
    <xdr:to>
      <xdr:col>25</xdr:col>
      <xdr:colOff>449579</xdr:colOff>
      <xdr:row>669</xdr:row>
      <xdr:rowOff>160020</xdr:rowOff>
    </xdr:to>
    <xdr:sp macro="" textlink="">
      <xdr:nvSpPr>
        <xdr:cNvPr id="19" name="Flèche : bas 7">
          <a:extLst>
            <a:ext uri="{FF2B5EF4-FFF2-40B4-BE49-F238E27FC236}">
              <a16:creationId xmlns:a16="http://schemas.microsoft.com/office/drawing/2014/main" id="{FA181961-F87E-497C-827C-364F2FF48713}"/>
            </a:ext>
          </a:extLst>
        </xdr:cNvPr>
        <xdr:cNvSpPr/>
      </xdr:nvSpPr>
      <xdr:spPr>
        <a:xfrm>
          <a:off x="13420613" y="10844605"/>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698</xdr:row>
      <xdr:rowOff>15240</xdr:rowOff>
    </xdr:from>
    <xdr:to>
      <xdr:col>25</xdr:col>
      <xdr:colOff>449579</xdr:colOff>
      <xdr:row>698</xdr:row>
      <xdr:rowOff>160020</xdr:rowOff>
    </xdr:to>
    <xdr:sp macro="" textlink="">
      <xdr:nvSpPr>
        <xdr:cNvPr id="20" name="Flèche : bas 7">
          <a:extLst>
            <a:ext uri="{FF2B5EF4-FFF2-40B4-BE49-F238E27FC236}">
              <a16:creationId xmlns:a16="http://schemas.microsoft.com/office/drawing/2014/main" id="{FA181961-F87E-497C-827C-364F2FF48713}"/>
            </a:ext>
          </a:extLst>
        </xdr:cNvPr>
        <xdr:cNvSpPr/>
      </xdr:nvSpPr>
      <xdr:spPr>
        <a:xfrm>
          <a:off x="13420613" y="56271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727</xdr:row>
      <xdr:rowOff>15240</xdr:rowOff>
    </xdr:from>
    <xdr:to>
      <xdr:col>25</xdr:col>
      <xdr:colOff>449579</xdr:colOff>
      <xdr:row>727</xdr:row>
      <xdr:rowOff>160020</xdr:rowOff>
    </xdr:to>
    <xdr:sp macro="" textlink="">
      <xdr:nvSpPr>
        <xdr:cNvPr id="21" name="Flèche : bas 7">
          <a:extLst>
            <a:ext uri="{FF2B5EF4-FFF2-40B4-BE49-F238E27FC236}">
              <a16:creationId xmlns:a16="http://schemas.microsoft.com/office/drawing/2014/main" id="{FA181961-F87E-497C-827C-364F2FF48713}"/>
            </a:ext>
          </a:extLst>
        </xdr:cNvPr>
        <xdr:cNvSpPr/>
      </xdr:nvSpPr>
      <xdr:spPr>
        <a:xfrm>
          <a:off x="13420613" y="10844605"/>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36</xdr:row>
      <xdr:rowOff>0</xdr:rowOff>
    </xdr:from>
    <xdr:to>
      <xdr:col>4</xdr:col>
      <xdr:colOff>304800</xdr:colOff>
      <xdr:row>37</xdr:row>
      <xdr:rowOff>99059</xdr:rowOff>
    </xdr:to>
    <xdr:sp macro="" textlink="">
      <xdr:nvSpPr>
        <xdr:cNvPr id="64513" name="AutoShape 1" descr="🍺">
          <a:extLst>
            <a:ext uri="{FF2B5EF4-FFF2-40B4-BE49-F238E27FC236}">
              <a16:creationId xmlns:a16="http://schemas.microsoft.com/office/drawing/2014/main" id="{928FE982-87B6-8BA9-5178-D281F5F455F0}"/>
            </a:ext>
          </a:extLst>
        </xdr:cNvPr>
        <xdr:cNvSpPr>
          <a:spLocks noChangeAspect="1" noChangeArrowheads="1"/>
        </xdr:cNvSpPr>
      </xdr:nvSpPr>
      <xdr:spPr bwMode="auto">
        <a:xfrm>
          <a:off x="1584960" y="700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2232212</xdr:colOff>
      <xdr:row>806</xdr:row>
      <xdr:rowOff>17930</xdr:rowOff>
    </xdr:from>
    <xdr:to>
      <xdr:col>4</xdr:col>
      <xdr:colOff>2402542</xdr:colOff>
      <xdr:row>806</xdr:row>
      <xdr:rowOff>187592</xdr:rowOff>
    </xdr:to>
    <xdr:pic>
      <xdr:nvPicPr>
        <xdr:cNvPr id="3" name="Image 2" desc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5812" y="48830754"/>
          <a:ext cx="170330" cy="16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7620</xdr:colOff>
      <xdr:row>66</xdr:row>
      <xdr:rowOff>22860</xdr:rowOff>
    </xdr:from>
    <xdr:to>
      <xdr:col>33</xdr:col>
      <xdr:colOff>76640</xdr:colOff>
      <xdr:row>74</xdr:row>
      <xdr:rowOff>167780</xdr:rowOff>
    </xdr:to>
    <xdr:pic>
      <xdr:nvPicPr>
        <xdr:cNvPr id="2" name="Image 1">
          <a:extLst>
            <a:ext uri="{FF2B5EF4-FFF2-40B4-BE49-F238E27FC236}">
              <a16:creationId xmlns:a16="http://schemas.microsoft.com/office/drawing/2014/main" id="{105C0FB3-7305-46AC-9188-73CA1A372EFA}"/>
            </a:ext>
          </a:extLst>
        </xdr:cNvPr>
        <xdr:cNvPicPr>
          <a:picLocks noChangeAspect="1"/>
        </xdr:cNvPicPr>
      </xdr:nvPicPr>
      <xdr:blipFill>
        <a:blip xmlns:r="http://schemas.openxmlformats.org/officeDocument/2006/relationships" r:embed="rId1"/>
        <a:stretch>
          <a:fillRect/>
        </a:stretch>
      </xdr:blipFill>
      <xdr:spPr>
        <a:xfrm>
          <a:off x="8724900" y="12222480"/>
          <a:ext cx="5075360" cy="16155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265</xdr:col>
      <xdr:colOff>661147</xdr:colOff>
      <xdr:row>117</xdr:row>
      <xdr:rowOff>11206</xdr:rowOff>
    </xdr:from>
    <xdr:to>
      <xdr:col>266</xdr:col>
      <xdr:colOff>212912</xdr:colOff>
      <xdr:row>117</xdr:row>
      <xdr:rowOff>11206</xdr:rowOff>
    </xdr:to>
    <xdr:cxnSp macro="">
      <xdr:nvCxnSpPr>
        <xdr:cNvPr id="2" name="Connecteur droit avec flèche 1">
          <a:extLst>
            <a:ext uri="{FF2B5EF4-FFF2-40B4-BE49-F238E27FC236}">
              <a16:creationId xmlns:a16="http://schemas.microsoft.com/office/drawing/2014/main" id="{A322A46B-8085-4C95-8F26-CDD39DD285D9}"/>
            </a:ext>
          </a:extLst>
        </xdr:cNvPr>
        <xdr:cNvCxnSpPr/>
      </xdr:nvCxnSpPr>
      <xdr:spPr>
        <a:xfrm>
          <a:off x="131130787" y="22627366"/>
          <a:ext cx="34424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265</xdr:col>
      <xdr:colOff>694765</xdr:colOff>
      <xdr:row>133</xdr:row>
      <xdr:rowOff>89647</xdr:rowOff>
    </xdr:from>
    <xdr:to>
      <xdr:col>266</xdr:col>
      <xdr:colOff>201706</xdr:colOff>
      <xdr:row>133</xdr:row>
      <xdr:rowOff>112059</xdr:rowOff>
    </xdr:to>
    <xdr:cxnSp macro="">
      <xdr:nvCxnSpPr>
        <xdr:cNvPr id="3" name="Connecteur droit avec flèche 2">
          <a:extLst>
            <a:ext uri="{FF2B5EF4-FFF2-40B4-BE49-F238E27FC236}">
              <a16:creationId xmlns:a16="http://schemas.microsoft.com/office/drawing/2014/main" id="{1A227C83-D1F2-444E-8915-3BE29E232043}"/>
            </a:ext>
          </a:extLst>
        </xdr:cNvPr>
        <xdr:cNvCxnSpPr/>
      </xdr:nvCxnSpPr>
      <xdr:spPr>
        <a:xfrm flipV="1">
          <a:off x="131164405" y="25631887"/>
          <a:ext cx="299421" cy="22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etnam%20electrict&#233;%20comme%20EDF%20lalan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sheetName val="jour"/>
      <sheetName val="TCD"/>
      <sheetName val="cons"/>
      <sheetName val="Temp"/>
      <sheetName val="Data historique"/>
      <sheetName val="Data histo"/>
      <sheetName val="TotalEnergies"/>
      <sheetName val="daily"/>
      <sheetName val="tableau"/>
      <sheetName val="stat"/>
      <sheetName val="voiture"/>
      <sheetName val="scooter"/>
      <sheetName val="eau"/>
    </sheetNames>
    <sheetDataSet>
      <sheetData sheetId="0"/>
      <sheetData sheetId="1"/>
      <sheetData sheetId="2"/>
      <sheetData sheetId="3"/>
      <sheetData sheetId="4"/>
      <sheetData sheetId="5"/>
      <sheetData sheetId="6"/>
      <sheetData sheetId="7"/>
      <sheetData sheetId="8"/>
      <sheetData sheetId="9">
        <row r="8">
          <cell r="A8" t="str">
            <v>Date</v>
          </cell>
        </row>
      </sheetData>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 " id="{1B721D0F-5888-42AB-B691-C1F354DE0D1B}" userId=" " providerId="None"/>
  <person displayName="office365" id="{74C52296-DACD-417A-A997-F3939C4F68E4}" userId="office365" providerId="None"/>
  <person displayName="Paul ETCHEPAREBORDE" id="{9FE362C9-AD08-4727-B6F0-C4BA5F2B526D}" userId="2e6216c5551dbff2" providerId="Windows Live"/>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15" dT="2020-08-13T16:37:10.32" personId="{74C52296-DACD-417A-A997-F3939C4F68E4}" id="{ACE8AE77-6EC4-4A11-9076-AC792BD70AD0}">
    <text>pour SEPT</text>
  </threadedComment>
  <threadedComment ref="AH15" dT="2020-08-13T16:37:28.20" personId="{74C52296-DACD-417A-A997-F3939C4F68E4}" id="{68153C8D-B671-40C8-A6AE-A83BA100771A}">
    <text>pour OCT</text>
  </threadedComment>
  <threadedComment ref="AG26" dT="2020-08-13T16:37:10.32" personId="{74C52296-DACD-417A-A997-F3939C4F68E4}" id="{2F3D69A0-1E01-4620-A23E-D595C110C2B1}">
    <text>pour SEPT</text>
  </threadedComment>
  <threadedComment ref="AI26" dT="2020-08-13T16:37:28.20" personId="{74C52296-DACD-417A-A997-F3939C4F68E4}" id="{DEF23367-5058-47E0-8866-294FB4CBCFB2}">
    <text>pour OCT</text>
  </threadedComment>
</ThreadedComments>
</file>

<file path=xl/threadedComments/threadedComment2.xml><?xml version="1.0" encoding="utf-8"?>
<ThreadedComments xmlns="http://schemas.microsoft.com/office/spreadsheetml/2018/threadedcomments" xmlns:x="http://schemas.openxmlformats.org/spreadsheetml/2006/main">
  <threadedComment ref="DB7" dT="2020-06-08T10:56:21.48" personId="{74C52296-DACD-417A-A997-F3939C4F68E4}" id="{BD3D6F1D-DC16-46CC-A3AA-1C9773F33283}">
    <text>ptit dej escroc</text>
  </threadedComment>
  <threadedComment ref="EN7" dT="2020-07-19T15:39:49.04" personId="{74C52296-DACD-417A-A997-F3939C4F68E4}" id="{7078C93B-E97B-46A9-8A06-F534514DDD45}">
    <text>pres de la plage</text>
  </threadedComment>
  <threadedComment ref="EO7" dT="2020-07-19T15:39:49.04" personId="{74C52296-DACD-417A-A997-F3939C4F68E4}" id="{97E8E3F3-D008-4953-B121-6259DC1CCCF7}">
    <text>pres de la plage</text>
  </threadedComment>
  <threadedComment ref="FA7" dT="2020-07-31T17:52:25.86" personId="{74C52296-DACD-417A-A997-F3939C4F68E4}" id="{201A19EC-5FCA-449A-AC07-F106C094FCE7}">
    <text>ptit dej sur la plage</text>
  </threadedComment>
  <threadedComment ref="AF8" dT="2020-03-28T15:32:11.67" personId="{74C52296-DACD-417A-A997-F3939C4F68E4}" id="{54389E29-34BD-4C24-BCCF-861492237B0D}">
    <text>tortue</text>
  </threadedComment>
  <threadedComment ref="AJ8" dT="2020-03-28T15:47:40.73" personId="{74C52296-DACD-417A-A997-F3939C4F68E4}" id="{225ACB9A-3E71-4766-9E2B-ED4CA9DFBB28}">
    <text>saumon</text>
  </threadedComment>
  <threadedComment ref="AT8" dT="2020-04-17T01:52:35.27" personId="{74C52296-DACD-417A-A997-F3939C4F68E4}" id="{BD3D9103-7C0F-4AF8-AE64-5A1951DB5984}">
    <text>sushi</text>
  </threadedComment>
  <threadedComment ref="AX8" dT="2020-04-17T01:56:22.17" personId="{74C52296-DACD-417A-A997-F3939C4F68E4}" id="{28EB0009-34C9-47A8-B0BB-CD831C196D82}">
    <text>pizza</text>
  </threadedComment>
  <threadedComment ref="BD8" dT="2020-05-03T23:58:29.89" personId="{74C52296-DACD-417A-A997-F3939C4F68E4}" id="{4497B2D2-29F7-4805-A50D-6A56DD13878F}">
    <text>canard roti</text>
  </threadedComment>
  <threadedComment ref="BF8" dT="2020-05-03T23:59:24.00" personId="{74C52296-DACD-417A-A997-F3939C4F68E4}" id="{A9F503DA-1328-46B0-8B2F-96DB07D39DBD}">
    <text>Cha Ca</text>
  </threadedComment>
  <threadedComment ref="BT8" dT="2020-05-04T02:38:50.92" personId="{74C52296-DACD-417A-A997-F3939C4F68E4}" id="{9294E4D7-5FEF-4E4C-946E-FC208D31FF1C}">
    <text>restau Bia grillades</text>
  </threadedComment>
  <threadedComment ref="BZ8" dT="2020-05-10T03:42:57.57" personId="{74C52296-DACD-417A-A997-F3939C4F68E4}" id="{58BC3266-61EF-4313-993C-5E66B79F8928}">
    <text>porcelet</text>
  </threadedComment>
  <threadedComment ref="CA8" dT="2020-05-10T15:43:30.10" personId="{74C52296-DACD-417A-A997-F3939C4F68E4}" id="{99920A86-7B78-4C22-B5CE-C4D28411983B}">
    <text>Chaca a domicile</text>
  </threadedComment>
  <threadedComment ref="CB8" dT="2020-05-11T14:08:14.95" personId="{74C52296-DACD-417A-A997-F3939C4F68E4}" id="{9B326C1E-75C4-4C98-A24A-2CFDA6EEED8D}">
    <text>Poulet Ga 36</text>
  </threadedComment>
  <threadedComment ref="CM8" dT="2020-05-27T14:53:40.31" personId="{74C52296-DACD-417A-A997-F3939C4F68E4}" id="{D69E44D3-705C-4126-B6AB-47121B426EA0}">
    <text>Bia Hanoi a cote de Flat 3</text>
  </threadedComment>
  <threadedComment ref="CO8" dT="2020-05-27T14:28:26.29" personId="{74C52296-DACD-417A-A997-F3939C4F68E4}" id="{275815EE-0F5D-46BE-90A4-BD6C1B5CC2EE}">
    <text>Cha Ca UT</text>
  </threadedComment>
  <threadedComment ref="CY8" dT="2020-06-08T10:47:55.85" personId="{74C52296-DACD-417A-A997-F3939C4F68E4}" id="{61C7C186-2190-4A86-A97B-03B6AD68CDE3}">
    <text>Hamburger, beaucoup trop cher</text>
  </threadedComment>
  <threadedComment ref="CZ8" dT="2020-06-08T10:50:12.73" personId="{74C52296-DACD-417A-A997-F3939C4F68E4}" id="{5C83B8C6-6FB5-44D2-ABF5-F8754EA0E6F7}">
    <text>Bia Ha Noi</text>
  </threadedComment>
  <threadedComment ref="DB8" dT="2020-06-08T10:55:05.32" personId="{74C52296-DACD-417A-A997-F3939C4F68E4}" id="{97131ABD-24CD-47D2-824A-C532DFE8D05A}">
    <text>Repas à 4 Tam Dao, avec Mr Ha et THUI</text>
  </threadedComment>
  <threadedComment ref="DE8" dT="2020-06-16T04:15:46.81" personId="{74C52296-DACD-417A-A997-F3939C4F68E4}" id="{F99808EF-791A-4E6C-A8C7-75ADB5CCC5E2}">
    <text>sushi</text>
  </threadedComment>
  <threadedComment ref="DJ8" dT="2020-06-16T04:29:40.11" personId="{74C52296-DACD-417A-A997-F3939C4F68E4}" id="{F0CBA4B9-D12D-4869-B7B3-AA54528036B5}">
    <text>canard</text>
  </threadedComment>
  <threadedComment ref="DO8" dT="2020-06-20T17:26:14.24" personId="{74C52296-DACD-417A-A997-F3939C4F68E4}" id="{59CB37AD-9967-40C7-AFCB-CAC6EFD36883}">
    <text>Bun Dao a domicile</text>
  </threadedComment>
  <threadedComment ref="DP8" dT="2020-06-20T17:35:37.94" personId="{74C52296-DACD-417A-A997-F3939C4F68E4}" id="{EA1EA538-2FFD-4A0D-9439-439EF8763ADD}">
    <text>Bia Ha noi le lac</text>
  </threadedComment>
  <threadedComment ref="DV8" dT="2020-06-30T12:18:16.93" personId="{74C52296-DACD-417A-A997-F3939C4F68E4}" id="{7791B52E-B3BF-4160-9FBB-8CD96EAD37E0}">
    <text>Cha Ca a domicile</text>
  </threadedComment>
  <threadedComment ref="DY8" dT="2020-06-30T12:41:15.11" personId="{74C52296-DACD-417A-A997-F3939C4F68E4}" id="{E7D27A21-D777-47A0-B20A-7BF333DE590D}">
    <text>pho involontaire</text>
  </threadedComment>
  <threadedComment ref="DZ8" dT="2020-06-30T13:18:39.85" personId="{74C52296-DACD-417A-A997-F3939C4F68E4}" id="{36816465-565D-4DF2-9629-79CC511D8455}">
    <text>porcelet grillé</text>
  </threadedComment>
  <threadedComment ref="EB8" dT="2020-07-03T17:34:48.02" personId="{74C52296-DACD-417A-A997-F3939C4F68E4}" id="{0862DAA4-BBC8-429C-860D-248473AEFB9E}">
    <text>sushi a domicile</text>
  </threadedComment>
  <threadedComment ref="EG8" dT="2020-07-10T16:18:18.84" personId="{74C52296-DACD-417A-A997-F3939C4F68E4}" id="{5144C093-3F58-490A-9477-41A2F611281D}">
    <text>Bun Dao Ho Ba Mau</text>
  </threadedComment>
  <threadedComment ref="EN8" dT="2020-07-19T15:43:12.78" personId="{74C52296-DACD-417A-A997-F3939C4F68E4}" id="{3769564D-1FE7-465F-AEDB-4EEA32A5F00E}">
    <text>repas Luyen bord de mer merveilleux</text>
  </threadedComment>
  <threadedComment ref="EO8" dT="2020-07-19T15:50:07.08" personId="{74C52296-DACD-417A-A997-F3939C4F68E4}" id="{053BF350-B8A3-459D-B1B3-AD608C1E78A5}">
    <text>Bang Mi Mme Quang</text>
  </threadedComment>
  <threadedComment ref="EP8" dT="2020-07-19T16:13:44.32" personId="{74C52296-DACD-417A-A997-F3939C4F68E4}" id="{A4E426F0-AFDA-44DA-A2EB-4611E6167C96}">
    <text>Bia Ha Noi at home</text>
  </threadedComment>
  <threadedComment ref="EZ8" dT="2020-07-31T17:47:29.11" personId="{74C52296-DACD-417A-A997-F3939C4F68E4}" id="{3AC5806E-6B27-418E-8105-FFD830556613}">
    <text>duck depuis la coiffeuse de Hoa</text>
  </threadedComment>
  <threadedComment ref="FA8" dT="2020-07-31T17:52:53.02" personId="{74C52296-DACD-417A-A997-F3939C4F68E4}" id="{12216F8F-45C8-417A-A82B-35DF6A1BB1B7}">
    <text>sur la plage fdm</text>
  </threadedComment>
  <threadedComment ref="FB8" dT="2020-07-31T17:55:22.46" personId="{74C52296-DACD-417A-A997-F3939C4F68E4}" id="{B8DD1AD6-E1A3-4EA2-82C4-02BCE1A236D9}">
    <text>dej merdique poulet</text>
  </threadedComment>
  <threadedComment ref="FC8" dT="2020-07-31T17:52:53.02" personId="{74C52296-DACD-417A-A997-F3939C4F68E4}" id="{81C6FF73-48F2-4585-8156-B463C140DB74}">
    <text>sur la plage fdm</text>
  </threadedComment>
  <threadedComment ref="FE8" dT="2020-08-08T02:42:54.94" personId="{74C52296-DACD-417A-A997-F3939C4F68E4}" id="{5647EA4A-7C0C-49D7-B24A-2FDEDB2BFDE0}">
    <text>MONTANT D4APPOINT</text>
  </threadedComment>
  <threadedComment ref="FF8" dT="2020-08-07T16:47:45.24" personId="{74C52296-DACD-417A-A997-F3939C4F68E4}" id="{636ABDD9-E5DA-47D4-8BAC-B7D9AA34A0BF}">
    <text>DUCK A DOMICILE</text>
  </threadedComment>
  <threadedComment ref="FM8" dT="2020-08-10T18:41:57.34" personId="{74C52296-DACD-417A-A997-F3939C4F68E4}" id="{88BEF80B-B90F-4CC3-9D0C-94DCBB59B13B}">
    <text>duck at home</text>
  </threadedComment>
  <threadedComment ref="FP8" dT="2020-08-13T15:01:49.79" personId="{74C52296-DACD-417A-A997-F3939C4F68E4}" id="{7F61CCAB-2C24-44DC-85D8-62AF57D4DA35}">
    <text>PHO SQUID bof</text>
  </threadedComment>
  <threadedComment ref="FR8" dT="2020-08-13T15:07:50.73" personId="{74C52296-DACD-417A-A997-F3939C4F68E4}" id="{51324848-DE90-4B55-9EA0-84C59B40E602}">
    <text>Bun Cha excellent</text>
  </threadedComment>
  <threadedComment ref="FT8" dT="2020-08-15T16:21:58.99" personId="{74C52296-DACD-417A-A997-F3939C4F68E4}" id="{B10B6FBF-FF76-4A09-82CB-F00B887B7353}">
    <text>BBQ</text>
  </threadedComment>
  <threadedComment ref="FU8" dT="2020-08-26T15:13:58.80" personId="{74C52296-DACD-417A-A997-F3939C4F68E4}" id="{8086F4BE-0726-42EE-B3D7-BA7274E935B4}">
    <text>restau fruit de mer</text>
  </threadedComment>
  <threadedComment ref="FV8" dT="2020-08-26T15:14:52.86" personId="{74C52296-DACD-417A-A997-F3939C4F68E4}" id="{5C97F4E5-B85E-40CC-AF13-6C0A43A299D1}">
    <text>Banh Mi cassolette !</text>
  </threadedComment>
  <threadedComment ref="FZ8" dT="2020-08-26T15:52:31.10" personId="{74C52296-DACD-417A-A997-F3939C4F68E4}" id="{2DCC4C47-8D66-4E42-BAD2-63018D51BA63}">
    <text>ajustement</text>
  </threadedComment>
  <threadedComment ref="GB8" dT="2020-08-10T18:41:57.34" personId="{74C52296-DACD-417A-A997-F3939C4F68E4}" id="{1191FB0E-8F23-443D-BC74-15E84878A915}">
    <text>duck at home</text>
  </threadedComment>
  <threadedComment ref="GC8" dT="2020-08-26T15:32:34.22" personId="{74C52296-DACD-417A-A997-F3939C4F68E4}" id="{45169988-D716-47CC-879B-D4BCC235CA6B}">
    <text>repas fruit de mer</text>
  </threadedComment>
  <threadedComment ref="GE8" dT="2020-08-31T15:09:55.23" personId="{74C52296-DACD-417A-A997-F3939C4F68E4}" id="{5379E1B1-D42D-4F60-A4B8-88104B37BB45}">
    <text>Bun Cha</text>
  </threadedComment>
  <threadedComment ref="GF8" dT="2020-08-31T15:10:33.80" personId="{74C52296-DACD-417A-A997-F3939C4F68E4}" id="{CB3D5FE0-BA34-45AA-A348-2A315DD03B06}">
    <text>BBQ SOLOHoa est allée voir sa mere</text>
  </threadedComment>
  <threadedComment ref="GG8" dT="2020-08-31T15:13:23.05" personId="{74C52296-DACD-417A-A997-F3939C4F68E4}" id="{3A5644F9-275A-4EF2-B274-50B90B6D19BE}">
    <text>BBQ Hoa 62 Hang Buom</text>
  </threadedComment>
  <threadedComment ref="GI8" dT="2020-08-31T15:27:19.00" personId="{74C52296-DACD-417A-A997-F3939C4F68E4}" id="{439670CE-D206-4275-BD03-CEF5F9B98E26}">
    <text>Cha Ca a domicile</text>
  </threadedComment>
  <threadedComment ref="GJ8" dT="2020-08-31T15:30:07.96" personId="{74C52296-DACD-417A-A997-F3939C4F68E4}" id="{1C0BA4D0-545D-42F7-90AD-755106A27FB4}">
    <text>Repas Tuan hopital + Hoa</text>
  </threadedComment>
  <threadedComment ref="GL8" dT="2020-09-07T11:43:48.85" personId="{74C52296-DACD-417A-A997-F3939C4F68E4}" id="{C377F6EB-E6A8-43FF-AF70-FDC2649B88D3}">
    <text>tortue et repas avec Tuan</text>
  </threadedComment>
  <threadedComment ref="GZ8" dT="2020-09-20T03:02:37.29" personId="{74C52296-DACD-417A-A997-F3939C4F68E4}" id="{342838E5-84BE-46AD-862A-9C6278EB6BA3}">
    <text>restaurant avec belle vue</text>
  </threadedComment>
  <threadedComment ref="HA8" dT="2020-09-20T03:03:58.01" personId="{74C52296-DACD-417A-A997-F3939C4F68E4}" id="{7445ACE8-A67C-4412-A25F-51250A255F5C}">
    <text>repas saumon vivant restau belvedere</text>
  </threadedComment>
  <threadedComment ref="HB8" dT="2020-09-20T03:17:13.14" personId="{74C52296-DACD-417A-A997-F3939C4F68E4}" id="{30BF21A1-A150-4A35-9EBE-F7D3B0B7D602}">
    <text>marché SAPA</text>
  </threadedComment>
  <threadedComment ref="HE8" dT="2020-09-22T16:09:55.20" personId="{74C52296-DACD-417A-A997-F3939C4F68E4}" id="{BD336F1A-5520-476C-9DC6-FD64D816CA29}">
    <text>BBQ Hoa</text>
  </threadedComment>
  <threadedComment ref="HF8" dT="2020-09-22T15:42:11.74" personId="{74C52296-DACD-417A-A997-F3939C4F68E4}" id="{1F65990F-B3AE-4240-BE08-2B20646E53C7}">
    <text>BBQ Coréen Hoa, Thu, Huong</text>
  </threadedComment>
  <threadedComment ref="HG8" dT="2020-09-24T08:00:00.79" personId="{74C52296-DACD-417A-A997-F3939C4F68E4}" id="{11099DCC-A6AD-4E51-8B14-1AA6EC681034}">
    <text>poulet</text>
  </threadedComment>
  <threadedComment ref="CA9" dT="2020-05-10T15:44:09.95" personId="{74C52296-DACD-417A-A997-F3939C4F68E4}" id="{425A6759-FFFC-460B-BCAC-C5EF0136FBCB}">
    <text>raviolis chinois</text>
  </threadedComment>
  <threadedComment ref="CI9" dT="2020-05-20T13:50:02.49" personId="{74C52296-DACD-417A-A997-F3939C4F68E4}" id="{6B67C374-62F6-4BFF-9797-CD9A6733C280}">
    <text>SAUCISSE</text>
  </threadedComment>
  <threadedComment ref="CJ9" dT="2020-05-20T13:52:14.66" personId="{74C52296-DACD-417A-A997-F3939C4F68E4}" id="{3C97F743-F0A3-45D3-9918-BEA75BC4CEF3}">
    <text>raviolis chinois</text>
  </threadedComment>
  <threadedComment ref="CK9" dT="2020-05-20T13:52:14.66" personId="{74C52296-DACD-417A-A997-F3939C4F68E4}" id="{206AF64A-6104-4740-BEFD-A7D236EE11EC}">
    <text>raviolis chinois</text>
  </threadedComment>
  <threadedComment ref="CL9" dT="2020-05-27T14:52:22.63" personId="{74C52296-DACD-417A-A997-F3939C4F68E4}" id="{EDCB9D80-A52B-434F-A381-2C66343C5BAA}">
    <text>canard street food a cote des glaces</text>
  </threadedComment>
  <threadedComment ref="CM9" dT="2020-05-27T14:25:34.23" personId="{74C52296-DACD-417A-A997-F3939C4F68E4}" id="{9D3D9BAE-156A-47FB-BCEA-812BA8CB2D7B}">
    <text>kebab</text>
  </threadedComment>
  <threadedComment ref="CP9" dT="2020-05-20T13:52:14.66" personId="{74C52296-DACD-417A-A997-F3939C4F68E4}" id="{CB3DD708-3FCF-4815-A394-86C57373447C}">
    <text>raviolis chinois</text>
  </threadedComment>
  <threadedComment ref="CQ9" dT="2020-05-27T14:51:37.46" personId="{74C52296-DACD-417A-A997-F3939C4F68E4}" id="{18DA5682-3844-41C6-A551-057B63952363}">
    <text>Din Liet 'buffet''</text>
  </threadedComment>
  <threadedComment ref="CR9" dT="2020-05-27T14:56:18.71" personId="{74C52296-DACD-417A-A997-F3939C4F68E4}" id="{C31CC3F5-C59B-4CC0-8022-6FB558698C8D}">
    <text>pho poisson pres de din liet</text>
  </threadedComment>
  <threadedComment ref="CT9" dT="2020-06-08T10:36:41.84" personId="{74C52296-DACD-417A-A997-F3939C4F68E4}" id="{86CD4839-00E7-4626-9F39-D77A333FFF5B}">
    <text>BBQ</text>
  </threadedComment>
  <threadedComment ref="CU9" dT="2020-05-20T13:52:14.66" personId="{74C52296-DACD-417A-A997-F3939C4F68E4}" id="{6211E8E4-966A-440E-A053-6471F2C7F450}">
    <text>raviolis chinois</text>
  </threadedComment>
  <threadedComment ref="CY9" dT="2020-06-08T10:48:09.35" personId="{74C52296-DACD-417A-A997-F3939C4F68E4}" id="{DB0ED128-DE7F-44A7-9247-DA19F86EC1F8}">
    <text>Bar avec Sam</text>
  </threadedComment>
  <threadedComment ref="DA9" dT="2020-06-08T10:55:05.32" personId="{74C52296-DACD-417A-A997-F3939C4F68E4}" id="{DA9DFFA3-B7A1-433A-A222-2028F2481AFA}">
    <text>Repas à 4 Tam Dao, avec Mr Ha et THUI</text>
  </threadedComment>
  <threadedComment ref="DC9" dT="2020-06-08T10:59:26.17" personId="{74C52296-DACD-417A-A997-F3939C4F68E4}" id="{FCC4444A-A4A8-4DEF-BA2A-EC5C8C0E402B}">
    <text>Kebab</text>
  </threadedComment>
  <threadedComment ref="DD9" dT="2020-06-16T04:15:19.81" personId="{74C52296-DACD-417A-A997-F3939C4F68E4}" id="{D438742B-2B49-41C8-82BD-10F7E64B6D30}">
    <text>fruits de mer dans la rue</text>
  </threadedComment>
  <threadedComment ref="DE9" dT="2020-06-16T04:18:24.50" personId="{74C52296-DACD-417A-A997-F3939C4F68E4}" id="{C92F9C04-3080-46B0-A699-8EB5284F6268}">
    <text>fruits de mer solo apres clash</text>
  </threadedComment>
  <threadedComment ref="DG9" dT="2020-06-16T04:24:20.30" personId="{74C52296-DACD-417A-A997-F3939C4F68E4}" id="{60C2DAD8-BDFE-4B71-9079-6B544677EF80}">
    <text>diner familial</text>
  </threadedComment>
  <threadedComment ref="DH9" dT="2020-06-16T04:24:20.30" personId="{74C52296-DACD-417A-A997-F3939C4F68E4}" id="{730A521C-A403-4159-973C-8E1C3B765E16}">
    <text>diner familial</text>
  </threadedComment>
  <threadedComment ref="DJ9" dT="2020-05-20T13:52:14.66" personId="{74C52296-DACD-417A-A997-F3939C4F68E4}" id="{17BB649E-47F0-49AE-958D-B5B08B3F424C}">
    <text>raviolis chinois</text>
  </threadedComment>
  <threadedComment ref="DL9" dT="2020-06-20T17:15:40.12" personId="{74C52296-DACD-417A-A997-F3939C4F68E4}" id="{42374379-78D4-48F1-9088-36D0BE59A194}">
    <text>diner de fruit de mer</text>
  </threadedComment>
  <threadedComment ref="DM9" dT="2020-06-20T17:22:18.91" personId="{74C52296-DACD-417A-A997-F3939C4F68E4}" id="{E36814AD-1D2B-46CE-8E58-1A104BD4D6DB}">
    <text>diner famille Hoa 9 personnes</text>
  </threadedComment>
  <threadedComment ref="DN9" dT="2020-06-20T17:30:12.11" personId="{74C52296-DACD-417A-A997-F3939C4F68E4}" id="{FE9FA046-590E-4156-B348-E7398F888786}">
    <text>Pho poisson</text>
  </threadedComment>
  <threadedComment ref="DO9" dT="2020-06-20T17:30:12.11" personId="{74C52296-DACD-417A-A997-F3939C4F68E4}" id="{9B2C854B-723E-45C7-B94A-D4F2569519B7}">
    <text>fried noodles</text>
  </threadedComment>
  <threadedComment ref="DP9" dT="2020-06-20T17:37:01.74" personId="{74C52296-DACD-417A-A997-F3939C4F68E4}" id="{603B324B-3BF4-4FF0-A755-CB90EE3A1032}">
    <text>diner chez Paul le hollnadais, plus que Bof</text>
  </threadedComment>
  <threadedComment ref="DQ9" dT="2020-06-20T17:15:40.12" personId="{74C52296-DACD-417A-A997-F3939C4F68E4}" id="{F2355A14-240C-4F25-8717-9C338AD5BB20}">
    <text>diner de fruit de mer solo</text>
  </threadedComment>
  <threadedComment ref="DT9" dT="2020-05-20T13:52:14.66" personId="{74C52296-DACD-417A-A997-F3939C4F68E4}" id="{F90A897D-A67A-4CB3-97FF-31F7C7AAA622}">
    <text>raviolis chinois</text>
  </threadedComment>
  <threadedComment ref="DU9" dT="2020-06-20T17:30:12.11" personId="{74C52296-DACD-417A-A997-F3939C4F68E4}" id="{62F5CA12-5C17-4F51-8FF7-C57977C0AA3F}">
    <text>fried noodles</text>
  </threadedComment>
  <threadedComment ref="DV9" dT="2020-06-30T12:21:41.22" personId="{74C52296-DACD-417A-A997-F3939C4F68E4}" id="{3F50A67A-408D-4ECC-B24C-CD32D5A6BC13}">
    <text>raviolis chinois rue</text>
  </threadedComment>
  <threadedComment ref="DW9" dT="2020-06-30T12:24:20.89" personId="{74C52296-DACD-417A-A997-F3939C4F68E4}" id="{3E536B3C-ABF4-4617-9BF3-7EDFBE7E76AC}">
    <text>pho poisson Dinh Liet</text>
  </threadedComment>
  <threadedComment ref="DZ9" dT="2020-06-30T14:50:18.53" personId="{74C52296-DACD-417A-A997-F3939C4F68E4}" id="{71E16B7D-796A-4179-B13D-216B02946845}">
    <text>pizza</text>
  </threadedComment>
  <threadedComment ref="EB9" dT="2020-07-03T17:36:47.16" personId="{74C52296-DACD-417A-A997-F3939C4F68E4}" id="{24240AC6-8898-4B7A-9FFE-5299F740F10A}">
    <text>ravioli chinois street</text>
  </threadedComment>
  <threadedComment ref="EE9" dT="2020-07-10T16:09:47.43" personId="{74C52296-DACD-417A-A997-F3939C4F68E4}" id="{D7E30368-78D2-442B-9159-04BC92F572A1}">
    <text>fruit de mer et ban me poisson poulet ! ! !</text>
  </threadedComment>
  <threadedComment ref="EF9" dT="2020-07-10T16:14:25.40" personId="{74C52296-DACD-417A-A997-F3939C4F68E4}" id="{A4DCE9AB-B2CA-4C9E-BB26-F7CE212DC3D0}">
    <text>poulet at Spa</text>
  </threadedComment>
  <threadedComment ref="EG9" dT="2020-05-20T13:52:14.66" personId="{74C52296-DACD-417A-A997-F3939C4F68E4}" id="{C0707407-64D9-4A70-8345-A396378D8A09}">
    <text>raviolis chinois Dinh Liet</text>
  </threadedComment>
  <threadedComment ref="EH9" dT="2020-07-10T16:27:31.45" personId="{74C52296-DACD-417A-A997-F3939C4F68E4}" id="{9FA5EE76-B185-455A-9C7D-C11C329CB75C}">
    <text>crispy noodles</text>
  </threadedComment>
  <threadedComment ref="EI9" dT="2020-05-20T13:52:14.66" personId="{74C52296-DACD-417A-A997-F3939C4F68E4}" id="{81EA52BF-6C7B-4C0C-92AD-0568F024435E}">
    <text>raviolis chinois Dinh Liet</text>
  </threadedComment>
  <threadedComment ref="EJ9" dT="2020-07-10T16:31:43.54" personId="{74C52296-DACD-417A-A997-F3939C4F68E4}" id="{99EAC1C8-17C6-431D-B2B3-87BDBEE6D76F}">
    <text>BBQ</text>
  </threadedComment>
  <threadedComment ref="EK9" dT="2020-05-20T13:52:14.66" personId="{74C52296-DACD-417A-A997-F3939C4F68E4}" id="{B8AA877C-C4EA-4006-B0C5-4CFEEFE328AE}">
    <text>raviolis chinois Dinh Liet</text>
  </threadedComment>
  <threadedComment ref="EM9" dT="2020-07-19T15:38:23.37" personId="{74C52296-DACD-417A-A997-F3939C4F68E4}" id="{B4AC35C7-BDA0-4270-973D-BD5FE6A1BFD3}">
    <text>Cao Lau</text>
  </threadedComment>
  <threadedComment ref="EN9" dT="2020-07-19T15:46:56.45" personId="{74C52296-DACD-417A-A997-F3939C4F68E4}" id="{345C1C14-FFCC-49EC-ABDD-7FBD7D2EC09E}">
    <text>Cao Lau et Banh Mi</text>
  </threadedComment>
  <threadedComment ref="EP9" dT="2020-07-19T16:18:20.21" personId="{74C52296-DACD-417A-A997-F3939C4F68E4}" id="{F19C5C4F-A7C1-4123-A469-B63C06E9FFE3}">
    <text>duck du soir</text>
  </threadedComment>
  <threadedComment ref="EQ9" dT="2020-07-19T16:42:35.98" personId="{74C52296-DACD-417A-A997-F3939C4F68E4}" id="{73548E5E-7FE8-480E-8A6B-2E212705216C}">
    <text>je ne sais pas</text>
  </threadedComment>
  <threadedComment ref="ER9" dT="2020-07-19T16:44:11.73" personId="{74C52296-DACD-417A-A997-F3939C4F68E4}" id="{DF5F66AF-BC6B-4CEF-8EEC-80CB54F64EDF}">
    <text>diner avec Tuan</text>
  </threadedComment>
  <threadedComment ref="ES9" dT="2020-07-19T16:48:55.92" personId="{74C52296-DACD-417A-A997-F3939C4F68E4}" id="{AB60D477-3D2C-4F61-B941-0F008AF27C21}">
    <text>Banh Mi 75 et jus 40</text>
  </threadedComment>
  <threadedComment ref="EV9" dT="2020-07-26T11:07:10.35" personId="{74C52296-DACD-417A-A997-F3939C4F68E4}" id="{1BEE5BC2-2B4A-4A16-94D8-BFB69DB4B120}">
    <text>diner 3 copines</text>
  </threadedComment>
  <threadedComment ref="EX9" dT="2020-07-31T17:41:57.16" personId="{74C52296-DACD-417A-A997-F3939C4F68E4}" id="{4784050D-497D-495A-8CC3-D8204B61F27C}">
    <text>Pho fish Dinh Liet</text>
  </threadedComment>
  <threadedComment ref="EZ9" dT="2020-05-20T13:52:14.66" personId="{74C52296-DACD-417A-A997-F3939C4F68E4}" id="{67720E8F-95BC-463A-8649-313706A2A7C1}">
    <text>raviolis chinois Dinh Liet</text>
  </threadedComment>
  <threadedComment ref="FB9" dT="2020-07-31T17:56:03.72" personId="{74C52296-DACD-417A-A997-F3939C4F68E4}" id="{E6AA209D-B7F2-4463-8BEE-3B3AAAF2271D}">
    <text>fruits de mer a cote du fleuve et mer</text>
  </threadedComment>
  <threadedComment ref="FC9" dT="2020-07-31T18:00:17.17" personId="{74C52296-DACD-417A-A997-F3939C4F68E4}" id="{F9EA96B2-0C13-4EE2-BE02-E51D5B5EEC32}">
    <text>au bord du lac</text>
  </threadedComment>
  <threadedComment ref="FD9" dT="2020-05-20T13:52:14.66" personId="{74C52296-DACD-417A-A997-F3939C4F68E4}" id="{F65DBBFA-DD39-45F1-840E-B83A1723121D}">
    <text>raviolis chinois Dinh Liet</text>
  </threadedComment>
  <threadedComment ref="FE9" dT="2020-05-20T13:52:14.66" personId="{74C52296-DACD-417A-A997-F3939C4F68E4}" id="{D4AD075B-A1D9-4104-A9C5-C911EF19371B}">
    <text>raviolis chinois Dinh Liet</text>
  </threadedComment>
  <threadedComment ref="FI9" dT="2020-08-07T16:54:33.39" personId="{74C52296-DACD-417A-A997-F3939C4F68E4}" id="{2B7064EE-8D6E-43FD-AF12-FEED45EE2AF7}">
    <text>dry noodles</text>
  </threadedComment>
  <threadedComment ref="FJ9" dT="2020-05-20T13:52:14.66" personId="{74C52296-DACD-417A-A997-F3939C4F68E4}" id="{1B54A7EB-0A90-4689-9B8F-3D5F8A705259}">
    <text>raviolis chinois Dinh Liet</text>
  </threadedComment>
  <threadedComment ref="FL9" dT="2020-07-31T17:41:57.16" personId="{74C52296-DACD-417A-A997-F3939C4F68E4}" id="{4105AB70-C4D9-4743-A795-B252ADBC973D}">
    <text>Pho fish Dinh Liet</text>
  </threadedComment>
  <threadedComment ref="FM9" dT="2020-08-10T18:44:08.62" personId="{74C52296-DACD-417A-A997-F3939C4F68E4}" id="{47CED50E-98EE-4606-A50D-CD9631EAA89C}">
    <text>BBQ Ut et Ba</text>
  </threadedComment>
  <threadedComment ref="FN9" dT="2020-05-20T13:52:14.66" personId="{74C52296-DACD-417A-A997-F3939C4F68E4}" id="{25B5E43B-BACB-47F2-9542-6BACA207AB9A}">
    <text>raviolis chinois Dinh Liet</text>
  </threadedComment>
  <threadedComment ref="FP9" dT="2020-08-13T15:02:29.63" personId="{74C52296-DACD-417A-A997-F3939C4F68E4}" id="{FC09DBEB-9BBA-460D-925F-893E7AB182D0}">
    <text>Kebab</text>
  </threadedComment>
  <threadedComment ref="FQ9" dT="2020-08-13T15:02:29.63" personId="{74C52296-DACD-417A-A997-F3939C4F68E4}" id="{74890A77-B381-41B5-ABB5-80AE2E93C886}">
    <text>Kebab</text>
  </threadedComment>
  <threadedComment ref="FS9" dT="2020-08-15T16:01:49.77" personId="{74C52296-DACD-417A-A997-F3939C4F68E4}" id="{DCBE2CB9-0C63-4ACF-856C-B6DABA63F27E}">
    <text>pizza</text>
  </threadedComment>
  <threadedComment ref="FW9" dT="2020-08-26T15:17:29.10" personId="{74C52296-DACD-417A-A997-F3939C4F68E4}" id="{61EE1FBE-82E8-419F-BD5C-59E42AD71644}">
    <text>homard Hoa et sui cao Paul</text>
  </threadedComment>
  <threadedComment ref="FY9" dT="2020-07-31T17:41:57.16" personId="{74C52296-DACD-417A-A997-F3939C4F68E4}" id="{64E9236C-05A7-43B4-8880-5625758EE8C4}">
    <text>Pho fish Dinh Liet</text>
  </threadedComment>
  <threadedComment ref="FZ9" dT="2020-05-20T13:52:14.66" personId="{74C52296-DACD-417A-A997-F3939C4F68E4}" id="{22795C9E-9FE7-4FE0-B4E2-E06D1275F7E8}">
    <text>raviolis chinois Dinh Liet</text>
  </threadedComment>
  <threadedComment ref="GA9" dT="2020-08-26T15:25:51.39" personId="{74C52296-DACD-417A-A997-F3939C4F68E4}" id="{BD7575E4-87F2-4A8A-8D82-75BAB4D0025C}">
    <text>crispy noodles</text>
  </threadedComment>
  <threadedComment ref="GB9" dT="2020-08-07T16:54:33.39" personId="{74C52296-DACD-417A-A997-F3939C4F68E4}" id="{0EC07815-2A3D-46F6-8BA5-D68D078D390C}">
    <text>dry noodles</text>
  </threadedComment>
  <threadedComment ref="GC9" dT="2020-08-26T15:33:00.67" personId="{74C52296-DACD-417A-A997-F3939C4F68E4}" id="{9119475C-F1E8-4F28-B24C-5C324672B9EF}">
    <text>diner porridge</text>
  </threadedComment>
  <threadedComment ref="GE9" dT="2020-08-26T15:48:27.49" personId="{74C52296-DACD-417A-A997-F3939C4F68E4}" id="{04A36DB6-94A3-4FC8-BF98-6A225312CFA7}">
    <text>Ban Mi</text>
  </threadedComment>
  <threadedComment ref="GF9" dT="2020-08-31T15:11:54.90" personId="{74C52296-DACD-417A-A997-F3939C4F68E4}" id="{D6DDB58F-28C3-4836-A854-D29EF87DFF9C}">
    <text>oysters</text>
  </threadedComment>
  <threadedComment ref="GH9" dT="2020-08-31T15:27:01.21" personId="{74C52296-DACD-417A-A997-F3939C4F68E4}" id="{0E99C0E6-80B5-4130-9D33-DA36F213BEA0}">
    <text>chipirons et porc</text>
  </threadedComment>
  <threadedComment ref="GI9" dT="2020-08-31T15:27:59.06" personId="{74C52296-DACD-417A-A997-F3939C4F68E4}" id="{53B265C3-5BB1-4109-A36E-6586AA12C375}">
    <text>crispy noodles</text>
  </threadedComment>
  <threadedComment ref="GJ9" dT="2020-08-31T15:30:26.78" personId="{74C52296-DACD-417A-A997-F3939C4F68E4}" id="{74556520-FACC-42A6-8CC8-20E032247F7E}">
    <text>soupe de crabe</text>
  </threadedComment>
  <threadedComment ref="GP9" dT="2020-09-07T11:52:49.91" personId="{74C52296-DACD-417A-A997-F3939C4F68E4}" id="{39C1E3D0-A6A2-4ABA-807B-D8919DB0F17A}">
    <text>dry noodle</text>
  </threadedComment>
  <threadedComment ref="GS9" dT="2020-09-14T10:52:51.49" personId="{74C52296-DACD-417A-A997-F3939C4F68E4}" id="{EAC025FF-263B-491A-A676-ED655A595494}">
    <text>sea food street</text>
  </threadedComment>
  <threadedComment ref="GU9" dT="2020-09-14T11:00:45.11" personId="{74C52296-DACD-417A-A997-F3939C4F68E4}" id="{1F5B2D17-5228-45DF-AD73-59EA4973369E}">
    <text>sui cao</text>
  </threadedComment>
  <threadedComment ref="GX9" dT="2020-09-14T11:00:45.11" personId="{74C52296-DACD-417A-A997-F3939C4F68E4}" id="{E2458834-D1CE-4E20-B664-87CAE4899F74}">
    <text>sui cao</text>
  </threadedComment>
  <threadedComment ref="GY9" dT="2020-09-20T03:08:10.14" personId="{74C52296-DACD-417A-A997-F3939C4F68E4}" id="{F2F94D0D-3668-4109-93BB-75A929E6B9FA}">
    <text>Hot Pot saumon a l'homestay</text>
  </threadedComment>
  <threadedComment ref="GZ9" dT="2020-09-20T03:08:10.14" personId="{74C52296-DACD-417A-A997-F3939C4F68E4}" id="{250C4F81-BE2E-44A2-857D-63754E1C7122}">
    <text>diner a  l'homestay</text>
  </threadedComment>
  <threadedComment ref="HA9" dT="2020-09-20T03:05:21.81" personId="{74C52296-DACD-417A-A997-F3939C4F68E4}" id="{0925B41B-FDC7-4CF1-BD7B-F57CB4FC3CEE}">
    <text>diner BBQ sous bache (pluie) à SAPA</text>
  </threadedComment>
  <threadedComment ref="HC9" dT="2020-09-14T11:00:45.11" personId="{74C52296-DACD-417A-A997-F3939C4F68E4}" id="{80199697-D373-422A-AD33-5EACFBD46391}">
    <text>sui cao</text>
  </threadedComment>
  <threadedComment ref="HD9" dT="2020-07-10T16:27:31.45" personId="{74C52296-DACD-417A-A997-F3939C4F68E4}" id="{67A6BCB8-8253-4157-9B8D-267C9D6BD911}">
    <text>crispy noodles</text>
  </threadedComment>
  <threadedComment ref="HE9" dT="2020-09-22T15:39:17.05" personId="{74C52296-DACD-417A-A997-F3939C4F68E4}" id="{9D476E18-EE12-4CE6-BD1B-03F27270EF08}">
    <text>street sea food</text>
  </threadedComment>
  <threadedComment ref="HF9" dT="2020-09-14T11:00:45.11" personId="{74C52296-DACD-417A-A997-F3939C4F68E4}" id="{B8FC6FDF-99B5-4433-8497-EF3D117FF2EB}">
    <text>sui cao</text>
  </threadedComment>
  <threadedComment ref="BN10" dT="2020-05-04T00:14:30.58" personId="{74C52296-DACD-417A-A997-F3939C4F68E4}" id="{9251F804-CB99-4583-8187-B76ADDEAA3D1}">
    <text>Bun Cha</text>
  </threadedComment>
  <threadedComment ref="BO10" dT="2020-05-04T00:16:45.17" personId="{74C52296-DACD-417A-A997-F3939C4F68E4}" id="{EF849C4D-A723-4820-A22A-EB42037B307D}">
    <text>poulet au curry</text>
  </threadedComment>
  <threadedComment ref="BV10" dT="2020-05-09T03:53:07.60" personId="{74C52296-DACD-417A-A997-F3939C4F68E4}" id="{0854EA35-B361-434A-8D2F-8AAFD6A98158}">
    <text>viande croustillante</text>
  </threadedComment>
  <threadedComment ref="BY10" dT="2020-05-09T03:53:07.60" personId="{74C52296-DACD-417A-A997-F3939C4F68E4}" id="{6D824F80-44A2-4D87-9CC3-AAF5FC01791F}">
    <text>viande croustillante</text>
  </threadedComment>
  <threadedComment ref="ER10" dT="2020-07-19T16:45:54.35" personId="{74C52296-DACD-417A-A997-F3939C4F68E4}" id="{7CC42021-26B8-48FC-8D90-D9736082901A}">
    <text>boissons enfants de Tuan</text>
  </threadedComment>
  <threadedComment ref="FJ10" dT="2020-08-07T16:55:46.62" personId="{74C52296-DACD-417A-A997-F3939C4F68E4}" id="{938C6FED-7E55-497C-ADBC-4B9153E1703F}">
    <text>beignets</text>
  </threadedComment>
  <threadedComment ref="FR10" dT="2020-08-15T16:03:51.86" personId="{74C52296-DACD-417A-A997-F3939C4F68E4}" id="{AE9E1706-EF57-4A9B-8A81-4D33884AD0C0}">
    <text>glace Hoa</text>
  </threadedComment>
  <threadedComment ref="BL11" dT="2020-05-04T00:13:09.44" personId="{74C52296-DACD-417A-A997-F3939C4F68E4}" id="{3968BC63-B8DF-480D-98DA-8335DA9F1354}">
    <text>vinades pour countryside</text>
  </threadedComment>
  <threadedComment ref="CH11" dT="2020-05-18T16:52:16.96" personId="{74C52296-DACD-417A-A997-F3939C4F68E4}" id="{7F590351-04DC-4C4A-8474-C9D70E4AC53E}">
    <text>quids</text>
  </threadedComment>
  <threadedComment ref="DL11" dT="2020-06-20T17:19:26.62" personId="{74C52296-DACD-417A-A997-F3939C4F68E4}" id="{138AB9DB-198E-4B85-9DD0-9E8733BBF4EF}">
    <text>citrons pour fin de soiree</text>
  </threadedComment>
  <threadedComment ref="EB11" dT="2020-07-03T17:34:11.89" personId="{74C52296-DACD-417A-A997-F3939C4F68E4}" id="{CC38629F-F842-4C8D-8C54-245198B2E8A3}">
    <text>ginseng un seul achat !</text>
  </threadedComment>
  <threadedComment ref="EN11" dT="2020-05-27T15:18:12.46" personId="{74C52296-DACD-417A-A997-F3939C4F68E4}" id="{01C2173D-0D4E-49BB-9913-7F99BFCCFEE2}">
    <text>montant de recadrage</text>
  </threadedComment>
  <threadedComment ref="EQ11" dT="2020-07-19T16:24:30.05" personId="{74C52296-DACD-417A-A997-F3939C4F68E4}" id="{D6BB6838-6BEB-4F3F-8364-6FF3B2941027}">
    <text>marché anniversaire</text>
  </threadedComment>
  <threadedComment ref="FL11" dT="2020-08-10T19:09:11.74" personId="{74C52296-DACD-417A-A997-F3939C4F68E4}" id="{25C19894-6A2C-4843-AEA7-BB8C0CA443A3}">
    <text>repas Thui et Mr Ha</text>
  </threadedComment>
  <threadedComment ref="FO11" dT="2020-08-08T02:42:54.94" personId="{74C52296-DACD-417A-A997-F3939C4F68E4}" id="{D8691EB3-3F86-4FAC-B483-9B12D72F9135}">
    <text>MONTANT D4APPOINT</text>
  </threadedComment>
  <threadedComment ref="FP11" dT="2020-08-13T15:04:38.69" personId="{74C52296-DACD-417A-A997-F3939C4F68E4}" id="{FD884F39-ED66-4D08-B182-763F80226D2B}">
    <text>pharmacie Hoa</text>
  </threadedComment>
  <threadedComment ref="FW11" dT="2020-08-26T15:16:25.46" personId="{74C52296-DACD-417A-A997-F3939C4F68E4}" id="{97F0CFBE-592F-4F44-8C93-55BC27DD3951}">
    <text>huitres 5douzianes epluchées pour 75</text>
  </threadedComment>
  <threadedComment ref="GD11" dT="2020-08-26T15:55:02.07" personId="{74C52296-DACD-417A-A997-F3939C4F68E4}" id="{0055A57A-1D19-408C-841A-D9ABAEE75BA5}">
    <text>marché dont lessive</text>
  </threadedComment>
  <threadedComment ref="GM11" dT="2020-09-07T11:44:43.75" personId="{74C52296-DACD-417A-A997-F3939C4F68E4}" id="{67CFCF81-DA28-4CFC-895B-66488617F465}">
    <text>poulpe et autres</text>
  </threadedComment>
  <threadedComment ref="GN11" dT="2020-09-07T11:48:00.60" personId="{74C52296-DACD-417A-A997-F3939C4F68E4}" id="{BA9EF324-D169-4D54-BF60-37A4666F8A68}">
    <text>saumon</text>
  </threadedComment>
  <threadedComment ref="GX11" dT="2020-09-14T11:03:29.82" personId="{74C52296-DACD-417A-A997-F3939C4F68E4}" id="{365DFC5D-931A-4EBB-B8FA-7A9F2E3EE146}">
    <text>2 marché Hoa remboursement</text>
  </threadedComment>
  <threadedComment ref="HB11" dT="2020-09-20T03:12:59.14" personId="{74C52296-DACD-417A-A997-F3939C4F68E4}" id="{17BE36C3-51C6-4F9C-A31B-B25DC4C6D280}">
    <text>esturgeon 220 dongs p kilo</text>
  </threadedComment>
  <threadedComment ref="H12" dT="2020-03-06T08:35:15.09" personId="{74C52296-DACD-417A-A997-F3939C4F68E4}" id="{D53D4BF3-ABCF-4A7B-8942-812D134F5CDA}">
    <text>glaces</text>
  </threadedComment>
  <threadedComment ref="M12" dT="2020-03-06T08:45:02.90" personId="{74C52296-DACD-417A-A997-F3939C4F68E4}" id="{1B0301CA-75F1-4366-8388-88A9285B63AD}">
    <text>2 jus chez Ut</text>
  </threadedComment>
  <threadedComment ref="EB12" dT="2020-07-03T17:33:19.37" personId="{74C52296-DACD-417A-A997-F3939C4F68E4}" id="{CF53DC94-8C3D-4E16-8405-ABA406D221F7}">
    <text>café fils de Hoa</text>
  </threadedComment>
  <threadedComment ref="EL12" dT="2020-07-19T15:14:18.49" personId="{74C52296-DACD-417A-A997-F3939C4F68E4}" id="{5E85A7EF-B4FA-447B-9DC6-A39D3460AE28}">
    <text>jus Luyen</text>
  </threadedComment>
  <threadedComment ref="EM12" dT="2020-07-19T15:36:09.56" personId="{74C52296-DACD-417A-A997-F3939C4F68E4}" id="{FA5C66F8-B67F-4BA7-8F4C-C682239F1E46}">
    <text>dont jus avec Luyen</text>
  </threadedComment>
  <threadedComment ref="EN12" dT="2020-07-19T15:44:39.23" personId="{74C52296-DACD-417A-A997-F3939C4F68E4}" id="{D4AE479C-7E58-4D10-9B76-0C5DA034B107}">
    <text>café Luyen et café Pub anglais</text>
  </threadedComment>
  <threadedComment ref="EO12" dT="2020-07-19T15:48:54.00" personId="{74C52296-DACD-417A-A997-F3939C4F68E4}" id="{B4819AA9-41C0-42EA-B438-A598CEB6D799}">
    <text>Jus Luyen et biere 50 aeroport Danang !</text>
  </threadedComment>
  <threadedComment ref="FG12" dT="2020-08-07T16:50:32.56" personId="{74C52296-DACD-417A-A997-F3939C4F68E4}" id="{A85CBBD6-00F1-44B1-9C2E-A0CF89B6FF5E}">
    <text>YAOURT POUR 6</text>
  </threadedComment>
  <threadedComment ref="FP12" dT="2020-08-13T15:03:21.63" personId="{74C52296-DACD-417A-A997-F3939C4F68E4}" id="{C7759B5F-5214-4F61-BAD2-4C8ECCEF3C0E}">
    <text>2 yaourt avec Thu</text>
  </threadedComment>
  <threadedComment ref="FQ12" dT="2020-08-13T15:07:12.94" personId="{74C52296-DACD-417A-A997-F3939C4F68E4}" id="{0852FE28-937B-467B-B850-4A4BF5F7E0CF}">
    <text>yaourt</text>
  </threadedComment>
  <threadedComment ref="GE12" dT="2020-08-26T15:48:27.49" personId="{74C52296-DACD-417A-A997-F3939C4F68E4}" id="{86C5176A-2869-48EF-AD8C-D0B4450009BF}">
    <text>Ut</text>
  </threadedComment>
  <threadedComment ref="N13" dT="2020-03-07T00:58:51.99" personId="{74C52296-DACD-417A-A997-F3939C4F68E4}" id="{D219739D-1D97-4B2D-B5F8-C8376DB0412B}">
    <text>W</text>
  </threadedComment>
  <threadedComment ref="CN13" dT="2020-05-27T14:57:49.23" personId="{74C52296-DACD-417A-A997-F3939C4F68E4}" id="{79676F65-A625-468F-977A-D0EA5438E6D3}">
    <text>whisky Jin Beam</text>
  </threadedComment>
  <threadedComment ref="CU13" dT="2020-06-08T10:40:25.98" personId="{74C52296-DACD-417A-A997-F3939C4F68E4}" id="{030F345A-BDC0-445D-80C9-EEECDB66954A}">
    <text>Bar anniversaire Paul le Hollandais</text>
  </threadedComment>
  <threadedComment ref="DE13" dT="2020-06-16T04:17:30.58" personId="{74C52296-DACD-417A-A997-F3939C4F68E4}" id="{180063B8-0474-409E-8FEE-3B2EDBB81D61}">
    <text>Bar avec Alex</text>
  </threadedComment>
  <threadedComment ref="DO13" dT="2020-06-20T17:26:54.71" personId="{74C52296-DACD-417A-A997-F3939C4F68E4}" id="{460D6934-16D1-43FB-9B40-772047515417}">
    <text>les 3 Paul</text>
  </threadedComment>
  <threadedComment ref="DP13" dT="2020-06-20T17:38:19.13" personId="{74C52296-DACD-417A-A997-F3939C4F68E4}" id="{1FB2376A-853A-4098-ACA4-7452FFD6EAB6}">
    <text>4 whisky chez Paul le hollandais</text>
  </threadedComment>
  <threadedComment ref="DT13" dT="2020-06-25T15:13:28.45" personId="{74C52296-DACD-417A-A997-F3939C4F68E4}" id="{8E673330-FCBB-4B81-85DC-FD14EED833C9}">
    <text>bieres et vodka</text>
  </threadedComment>
  <threadedComment ref="DX13" dT="2020-06-30T12:28:07.35" personId="{74C52296-DACD-417A-A997-F3939C4F68E4}" id="{F59D5B51-24B0-416F-855C-1EF04B3E0D4E}">
    <text>Pot alexavant Sapa</text>
  </threadedComment>
  <threadedComment ref="EP13" dT="2020-07-19T16:17:47.04" personId="{74C52296-DACD-417A-A997-F3939C4F68E4}" id="{B6DCE354-FD79-4143-B81F-031F5BD2AFA3}">
    <text>W avec Paul le Hollandais, suite a conversation dechirante avec Maman</text>
  </threadedComment>
  <threadedComment ref="ER13" dT="2020-07-19T16:45:10.08" personId="{74C52296-DACD-417A-A997-F3939C4F68E4}" id="{B4116F2C-4336-41D6-8400-F4B4D660C173}">
    <text>biere Tuan chez Paul</text>
  </threadedComment>
  <threadedComment ref="EY13" dT="2020-07-31T17:39:07.25" personId="{74C52296-DACD-417A-A997-F3939C4F68E4}" id="{3C3447CE-7428-4418-A683-F8C1CE30117C}">
    <text>pot chipirons avec Paul</text>
  </threadedComment>
  <threadedComment ref="FD13" dT="2020-07-31T18:54:13.14" personId="{74C52296-DACD-417A-A997-F3939C4F68E4}" id="{031C8062-2CC5-46BB-9242-709DA412FAC8}">
    <text>Pot Paul</text>
  </threadedComment>
  <threadedComment ref="FE13" dT="2020-07-31T18:54:13.14" personId="{74C52296-DACD-417A-A997-F3939C4F68E4}" id="{284DA985-3564-401D-B6E7-97BD5212A0AB}">
    <text>Pot Paul</text>
  </threadedComment>
  <threadedComment ref="FM13" dT="2020-08-10T18:43:41.78" personId="{74C52296-DACD-417A-A997-F3939C4F68E4}" id="{804B5F39-5731-4FC7-8FB5-F18789ADEB5E}">
    <text>Pot chez Paul et oubli 200 et V 110</text>
  </threadedComment>
  <threadedComment ref="FQ13" dT="2020-08-13T15:06:18.76" personId="{74C52296-DACD-417A-A997-F3939C4F68E4}" id="{389F0972-785E-4344-97A2-01A7F852234B}">
    <text>5 W</text>
  </threadedComment>
  <threadedComment ref="FX13" dT="2020-08-26T15:19:46.53" personId="{74C52296-DACD-417A-A997-F3939C4F68E4}" id="{51E37FBB-DCEA-4173-821D-D4BCDE46AC1C}">
    <text>6 whisky chez Paul quand Hoa estb avec les 3 policiers</text>
  </threadedComment>
  <threadedComment ref="GE13" dT="2020-08-26T15:48:09.90" personId="{74C52296-DACD-417A-A997-F3939C4F68E4}" id="{D04EFB4E-6834-462F-B8DC-34BF44ED3692}">
    <text>2 W Paul</text>
  </threadedComment>
  <threadedComment ref="HB13" dT="2020-09-20T03:18:35.55" personId="{74C52296-DACD-417A-A997-F3939C4F68E4}" id="{13C24ABA-2B78-482E-889D-7C4C49387856}">
    <text>V 20 + 100 a payer</text>
  </threadedComment>
  <threadedComment ref="E14" dT="2020-03-06T08:31:52.78" personId="{74C52296-DACD-417A-A997-F3939C4F68E4}" id="{B1F89178-A60B-45B2-9E2A-2A34C8FE3B9B}">
    <text>telephonie</text>
  </threadedComment>
  <threadedComment ref="H14" dT="2020-03-06T08:34:28.00" personId="{74C52296-DACD-417A-A997-F3939C4F68E4}" id="{49B5E41E-DB19-46BA-BB98-73B1C8AB1680}">
    <text>cig</text>
  </threadedComment>
  <threadedComment ref="J14" dT="2020-03-06T08:34:28.00" personId="{74C52296-DACD-417A-A997-F3939C4F68E4}" id="{89357AFA-E46B-4CE9-90C2-763E8B93671A}">
    <text>cig</text>
  </threadedComment>
  <threadedComment ref="Z14" dT="2020-03-22T16:20:07.98" personId="{74C52296-DACD-417A-A997-F3939C4F68E4}" id="{0E0DB7C7-805D-491F-89FC-93609DD43877}">
    <text>cig 30</text>
  </threadedComment>
  <threadedComment ref="BP14" dT="2020-05-04T00:20:43.04" personId="{74C52296-DACD-417A-A997-F3939C4F68E4}" id="{54AF547E-2431-4847-BE4A-FC92D5E30F4B}">
    <text>telephonie</text>
  </threadedComment>
  <threadedComment ref="ET14" dT="2020-07-26T11:05:54.58" personId="{74C52296-DACD-417A-A997-F3939C4F68E4}" id="{393AB687-2F52-4A36-80EE-AD18C4A9A20A}">
    <text>telephonie</text>
  </threadedComment>
  <threadedComment ref="FH14" dT="2020-07-26T11:05:54.58" personId="{74C52296-DACD-417A-A997-F3939C4F68E4}" id="{39A19B8E-F3A7-4C15-ABA9-DA5C8704D1A4}">
    <text>telephonie</text>
  </threadedComment>
  <threadedComment ref="FM14" dT="2020-08-10T18:44:49.55" personId="{74C52296-DACD-417A-A997-F3939C4F68E4}" id="{E083A203-5476-4C8B-BFDB-8487D7DB432C}">
    <text>V 110</text>
  </threadedComment>
  <threadedComment ref="FS14" dT="2020-08-10T18:44:49.55" personId="{74C52296-DACD-417A-A997-F3939C4F68E4}" id="{67E9FB1B-A490-4583-BFEC-18DA1F8509D4}">
    <text>V 110</text>
  </threadedComment>
  <threadedComment ref="FW14" dT="2020-08-26T15:18:22.92" personId="{74C52296-DACD-417A-A997-F3939C4F68E4}" id="{D773C3B4-A362-49C9-91DB-2A269F38D3E1}">
    <text>V</text>
  </threadedComment>
  <threadedComment ref="GA14" dT="2020-08-26T15:18:22.92" personId="{74C52296-DACD-417A-A997-F3939C4F68E4}" id="{D2ADE767-5A9E-432D-8BF7-FE4DD0730D02}">
    <text>V</text>
  </threadedComment>
  <threadedComment ref="GD14" dT="2020-08-26T15:55:15.45" personId="{74C52296-DACD-417A-A997-F3939C4F68E4}" id="{4F8D451B-F574-4E2F-B1FD-8BEBBC13AB8D}">
    <text>telephonie</text>
  </threadedComment>
  <threadedComment ref="GI14" dT="2020-08-26T15:18:22.92" personId="{74C52296-DACD-417A-A997-F3939C4F68E4}" id="{6D3E62F7-9DD3-4711-B3C6-A2EB2DD0018C}">
    <text>V</text>
  </threadedComment>
  <threadedComment ref="GO14" dT="2020-08-26T15:18:22.92" personId="{74C52296-DACD-417A-A997-F3939C4F68E4}" id="{B5206752-B6D5-4B63-9946-F2C3BDDC1664}">
    <text>V</text>
  </threadedComment>
  <threadedComment ref="AF15" dT="2020-03-28T16:09:46.04" personId="{74C52296-DACD-417A-A997-F3939C4F68E4}" id="{3B3AE0FF-D506-4F1D-A0AF-99592391B359}">
    <text>pour mardi et mercredi en flat 2</text>
  </threadedComment>
  <threadedComment ref="S16" dT="2020-03-13T08:20:00.44" personId="{74C52296-DACD-417A-A997-F3939C4F68E4}" id="{6A57BF05-EE75-423A-9F20-CB112C65E797}">
    <text>dont 80 essence</text>
  </threadedComment>
  <threadedComment ref="BP16" dT="2020-05-04T00:19:39.85" personId="{74C52296-DACD-417A-A997-F3939C4F68E4}" id="{9D00F4EC-8577-4A0C-9E67-8E9D8CB4AC34}">
    <text>reparation scooter</text>
  </threadedComment>
  <threadedComment ref="CH16" dT="2020-05-18T16:51:43.95" personId="{74C52296-DACD-417A-A997-F3939C4F68E4}" id="{19087B5E-492C-4FEE-82EC-7B5B5819567E}">
    <text>taxi + key gay boy</text>
  </threadedComment>
  <threadedComment ref="CK16" dT="2020-05-27T14:58:51.33" personId="{74C52296-DACD-417A-A997-F3939C4F68E4}" id="{F20D3C04-5AD9-469B-92B0-F127BFBA52BC}">
    <text>Moto Tuyen</text>
  </threadedComment>
  <threadedComment ref="CL16" dT="2020-05-27T14:58:51.33" personId="{74C52296-DACD-417A-A997-F3939C4F68E4}" id="{D1338866-D5C8-4066-A9C7-67EEA40F0C97}">
    <text>Moto Tuyen</text>
  </threadedComment>
  <threadedComment ref="CN16" dT="2020-05-27T14:58:51.33" personId="{74C52296-DACD-417A-A997-F3939C4F68E4}" id="{9DBCD34B-1655-4B5A-B34F-265CDBB3E672}">
    <text>Moto Tuyen</text>
  </threadedComment>
  <threadedComment ref="CR16" dT="2020-05-27T14:58:51.33" personId="{74C52296-DACD-417A-A997-F3939C4F68E4}" id="{BC9B42C6-2C06-4BBF-B876-20D90A10D5FC}">
    <text>Moto Tuyen</text>
  </threadedComment>
  <threadedComment ref="CS16" dT="2020-05-27T14:58:51.33" personId="{74C52296-DACD-417A-A997-F3939C4F68E4}" id="{7FE7F3EB-2981-4B3F-B0B5-D85BD3AB7594}">
    <text>Moto Tuyen</text>
  </threadedComment>
  <threadedComment ref="DO16" dT="2020-06-20T17:33:30.10" personId="{74C52296-DACD-417A-A997-F3939C4F68E4}" id="{899589E2-5062-4D52-9B51-D6733669651F}">
    <text>taxi Tuyen</text>
  </threadedComment>
  <threadedComment ref="DP16" dT="2020-06-20T17:33:30.10" personId="{74C52296-DACD-417A-A997-F3939C4F68E4}" id="{DF4C1009-B4F6-4FFA-853E-47DE801895A9}">
    <text>taxi Tuyen</text>
  </threadedComment>
  <threadedComment ref="DT16" dT="2020-06-25T15:12:53.25" personId="{74C52296-DACD-417A-A997-F3939C4F68E4}" id="{3F0845AD-2117-4ED0-8CAA-7D743DBCEADD}">
    <text>TAXI + CLES</text>
  </threadedComment>
  <threadedComment ref="EB16" dT="2020-06-20T17:33:30.10" personId="{74C52296-DACD-417A-A997-F3939C4F68E4}" id="{65A5B9E8-2E18-427F-8512-FB39B0CCFC1C}">
    <text>taxi Tuyen</text>
  </threadedComment>
  <threadedComment ref="EC16" dT="2020-06-20T17:33:30.10" personId="{74C52296-DACD-417A-A997-F3939C4F68E4}" id="{1524CCAF-52C2-4399-8CD7-FC3D49CED5C7}">
    <text>taxi Tuyen</text>
  </threadedComment>
  <threadedComment ref="EI16" dT="2020-06-20T17:33:30.10" personId="{74C52296-DACD-417A-A997-F3939C4F68E4}" id="{716424BA-ACF6-4FBA-AFF1-F6718BB36D4B}">
    <text>taxi Tuyen</text>
  </threadedComment>
  <threadedComment ref="EL16" dT="2020-07-19T15:13:30.55" personId="{74C52296-DACD-417A-A997-F3939C4F68E4}" id="{27BFF3D2-B660-4CB0-9019-0D76511BBA41}">
    <text>dont 100 de loc moto</text>
  </threadedComment>
  <threadedComment ref="EM16" dT="2020-07-19T15:34:55.18" personId="{74C52296-DACD-417A-A997-F3939C4F68E4}" id="{90DEFB48-108D-47E5-9DA6-6D2CDB49A0DE}">
    <text>essence + loc 100</text>
  </threadedComment>
  <threadedComment ref="EN16" dT="2020-07-19T15:34:55.18" personId="{74C52296-DACD-417A-A997-F3939C4F68E4}" id="{69176E4C-DA99-48A7-9B49-BBD423EE7779}">
    <text>essence + loc 100</text>
  </threadedComment>
  <threadedComment ref="EX16" dT="2020-07-31T17:43:03.07" personId="{74C52296-DACD-417A-A997-F3939C4F68E4}" id="{201CA68F-AD78-4B00-8560-1D427A04AC19}">
    <text>Grab A/R clé</text>
  </threadedComment>
  <threadedComment ref="EZ16" dT="2020-07-31T17:50:21.92" personId="{74C52296-DACD-417A-A997-F3939C4F68E4}" id="{5A4AF37B-0982-40A7-AB48-6DC16F94AFB1}">
    <text>taxi et grab Hoa pour moi</text>
  </threadedComment>
  <threadedComment ref="FE16" dT="2020-07-31T19:03:09.28" personId="{74C52296-DACD-417A-A997-F3939C4F68E4}" id="{06463FED-2AD4-43FB-9C67-11B86EE35D27}">
    <text>grab + oubli sac</text>
  </threadedComment>
  <threadedComment ref="FH16" dT="2020-08-07T16:53:36.59" personId="{74C52296-DACD-417A-A997-F3939C4F68E4}" id="{AF017766-3680-474A-875B-A5D1D910C189}">
    <text>taxi 40 et essence scoot</text>
  </threadedComment>
  <threadedComment ref="FS16" dT="2020-08-15T16:01:15.55" personId="{74C52296-DACD-417A-A997-F3939C4F68E4}" id="{0CDFA5F2-B3CE-4CAC-9C0D-0657E3A9FFBB}">
    <text>taxi et essence</text>
  </threadedComment>
  <threadedComment ref="FT16" dT="2020-08-15T16:05:07.14" personId="{74C52296-DACD-417A-A997-F3939C4F68E4}" id="{6DFBF0F2-A29C-4BE8-A3B8-B24A46CD0824}">
    <text>taxi Tuyen</text>
  </threadedComment>
  <threadedComment ref="GQ16" dT="2020-09-07T19:13:02.93" personId="{74C52296-DACD-417A-A997-F3939C4F68E4}" id="{2C7D567F-A88F-4688-A385-2D521593EE9C}">
    <text>dont essence 60</text>
  </threadedComment>
  <threadedComment ref="GR16" dT="2020-09-14T10:49:28.51" personId="{74C52296-DACD-417A-A997-F3939C4F68E4}" id="{3FAE48E3-6B52-4714-8B55-9BEE35E8F990}">
    <text>GRAB ECHANGE DE CL2S 100 ! ! !</text>
  </threadedComment>
  <threadedComment ref="HF16" dT="2020-09-22T15:43:44.35" personId="{74C52296-DACD-417A-A997-F3939C4F68E4}" id="{14FEDDEE-0CD1-4EDF-9B44-886883C0D6CA}">
    <text>Thuyen</text>
  </threadedComment>
  <threadedComment ref="F17" dT="2020-03-06T08:30:29.99" personId="{74C52296-DACD-417A-A997-F3939C4F68E4}" id="{F95731C3-584C-4309-9EBC-B876214B6D8D}">
    <text>coiffeur 50 pedicure 150</text>
  </threadedComment>
  <threadedComment ref="K17" dT="2020-03-06T08:46:04.71" personId="{74C52296-DACD-417A-A997-F3939C4F68E4}" id="{5AD41844-87CD-46CD-805E-22BFE14DDAE2}">
    <text>journée centre d'examen permis de conduire</text>
  </threadedComment>
  <threadedComment ref="M17" dT="2020-03-06T08:45:33.06" personId="{74C52296-DACD-417A-A997-F3939C4F68E4}" id="{234D39BA-A5C7-44F9-BF29-7B1164415E4F}">
    <text>massage Hang</text>
  </threadedComment>
  <threadedComment ref="AQ17" dT="2020-04-06T20:48:05.91" personId="{74C52296-DACD-417A-A997-F3939C4F68E4}" id="{FAFE74E9-4E15-4C9F-BFAD-BB35F94E3153}">
    <text>pour boire</text>
  </threadedComment>
  <threadedComment ref="AS17" dT="2020-04-06T20:48:05.91" personId="{74C52296-DACD-417A-A997-F3939C4F68E4}" id="{B42F5C48-F90A-4B3B-BEDB-4523611BD63B}">
    <text>pour boire</text>
  </threadedComment>
  <threadedComment ref="AV17" dT="2020-04-17T01:54:16.21" personId="{74C52296-DACD-417A-A997-F3939C4F68E4}" id="{5A62825D-48D8-41BD-AC14-9DE15AD71CF7}">
    <text>billet de Hoa perdu (500)</text>
  </threadedComment>
  <threadedComment ref="BB17" dT="2020-04-17T01:59:35.53" personId="{74C52296-DACD-417A-A997-F3939C4F68E4}" id="{B225D388-5797-4FC9-9C08-941D2D6C593A}">
    <text>clé perdue</text>
  </threadedComment>
  <threadedComment ref="BC17" dT="2020-04-17T02:00:03.31" personId="{74C52296-DACD-417A-A997-F3939C4F68E4}" id="{A3F20CF1-137C-430A-8BBD-2DD67B8E9969}">
    <text>tip veilleur jour</text>
  </threadedComment>
  <threadedComment ref="BI17" dT="2020-05-04T00:02:06.11" personId="{74C52296-DACD-417A-A997-F3939C4F68E4}" id="{A68641F8-E9C0-45BA-8107-AEC87C318941}">
    <text>coiffeur</text>
  </threadedComment>
  <threadedComment ref="BN17" dT="2020-05-04T00:16:13.01" personId="{74C52296-DACD-417A-A997-F3939C4F68E4}" id="{8A326791-4971-4577-997E-3DED0593A113}">
    <text>four</text>
  </threadedComment>
  <threadedComment ref="BO17" dT="2020-05-04T00:17:56.84" personId="{74C52296-DACD-417A-A997-F3939C4F68E4}" id="{25160D74-701E-47A3-9035-2977688610A3}">
    <text>moule a tarte</text>
  </threadedComment>
  <threadedComment ref="BP17" dT="2020-05-04T00:17:56.84" personId="{74C52296-DACD-417A-A997-F3939C4F68E4}" id="{C3955252-0105-4D9D-9943-BAF71670593C}">
    <text>moule a tarte</text>
  </threadedComment>
  <threadedComment ref="BQ17" dT="2020-05-04T00:22:07.38" personId="{74C52296-DACD-417A-A997-F3939C4F68E4}" id="{A65D056B-1471-4AEE-961D-9EDA474E4237}">
    <text>ustensiles cuisine</text>
  </threadedComment>
  <threadedComment ref="BR17" dT="2020-05-04T00:25:22.92" personId="{74C52296-DACD-417A-A997-F3939C4F68E4}" id="{A2E65167-9CDF-4014-B928-7BE659F059E9}">
    <text>pourboire femme de menage</text>
  </threadedComment>
  <threadedComment ref="BS17" dT="2020-05-04T00:25:49.21" personId="{74C52296-DACD-417A-A997-F3939C4F68E4}" id="{B8E11001-4995-483D-B7A4-D5DDB1A8C389}">
    <text>pouboire femme de menage 2</text>
  </threadedComment>
  <threadedComment ref="CD17" dT="2020-05-18T16:20:27.58" personId="{74C52296-DACD-417A-A997-F3939C4F68E4}" id="{AB5C95A2-7708-47A4-8430-A2CF640AB6CD}">
    <text>location moto 150 par jour , 2 motos</text>
  </threadedComment>
  <threadedComment ref="CE17" dT="2020-05-18T16:20:27.58" personId="{74C52296-DACD-417A-A997-F3939C4F68E4}" id="{41A93B69-5C34-4A00-A6F6-E0FD57FFA4BB}">
    <text>location moto 150 par jour , 2 motos</text>
  </threadedComment>
  <threadedComment ref="CF17" dT="2020-05-18T16:20:27.58" personId="{74C52296-DACD-417A-A997-F3939C4F68E4}" id="{67F4AAAA-99A3-4BCB-B976-6B88B1F139BC}">
    <text>location moto 150 par jour , 2 motos</text>
  </threadedComment>
  <threadedComment ref="CJ17" dT="2020-05-20T13:53:29.12" personId="{74C52296-DACD-417A-A997-F3939C4F68E4}" id="{2F799752-3429-4CC3-BD56-1B6CE0F53413}">
    <text>Phuong pedicure</text>
  </threadedComment>
  <threadedComment ref="CL17" dT="2020-05-04T00:25:49.21" personId="{74C52296-DACD-417A-A997-F3939C4F68E4}" id="{24F2A019-601A-4A63-97DD-C77EBA53CACA}">
    <text>pouboire portier demenagement</text>
  </threadedComment>
  <threadedComment ref="CM17" dT="2020-05-04T00:25:49.21" personId="{74C52296-DACD-417A-A997-F3939C4F68E4}" id="{52436A38-F526-4FF5-B87F-AE3A248F03E9}">
    <text>pouboire femme de menage</text>
  </threadedComment>
  <threadedComment ref="EU17" dT="2020-07-26T11:15:15.49" personId="{74C52296-DACD-417A-A997-F3939C4F68E4}" id="{BAF78AEB-2600-4025-A7E6-E87E51858883}">
    <text>tip de femme de menage</text>
  </threadedComment>
  <threadedComment ref="FC17" dT="2020-07-31T18:48:39.45" personId="{74C52296-DACD-417A-A997-F3939C4F68E4}" id="{C816D702-9C8A-44E0-A69B-F46B0B36812A}">
    <text>CHAMBRE POUR DOUCHE POUR HOA</text>
  </threadedComment>
  <threadedComment ref="FN17" dT="2020-08-10T18:47:02.88" personId="{74C52296-DACD-417A-A997-F3939C4F68E4}" id="{D509278E-AB75-4BC5-9EF4-D1FD290ADAC1}">
    <text>coiffeur barbe et cheveux</text>
  </threadedComment>
  <threadedComment ref="GP17" dT="2020-09-07T11:51:51.48" personId="{74C52296-DACD-417A-A997-F3939C4F68E4}" id="{057A3B5B-47DB-4341-8E4C-A3BB3D2CDFC2}">
    <text>kam 3</text>
  </threadedComment>
  <threadedComment ref="HF17" dT="2020-09-22T16:05:36.50" personId="{74C52296-DACD-417A-A997-F3939C4F68E4}" id="{A11B46AF-2946-4E4B-9BAE-7D26CB364719}">
    <text>massage 4 mains 30 mn Thu et Huong</text>
  </threadedComment>
  <threadedComment ref="AD18" dT="2020-03-28T16:17:06.53" personId="{74C52296-DACD-417A-A997-F3939C4F68E4}" id="{46F8E214-DA02-4E7C-A7F0-871A05C2BCC5}">
    <text>aide Phuong</text>
  </threadedComment>
  <threadedComment ref="AF18" dT="2020-03-28T16:14:57.38" personId="{74C52296-DACD-417A-A997-F3939C4F68E4}" id="{818B7D5A-2062-41B6-8183-EB1FDD2C0354}">
    <text>massage Phuong pour Hoa et moi</text>
  </threadedComment>
  <threadedComment ref="AO18" dT="2020-04-06T20:45:46.27" personId="{74C52296-DACD-417A-A997-F3939C4F68E4}" id="{C45D802C-59AB-4132-A50C-7C964AAA5967}">
    <text>massage Phuong 4 mains</text>
  </threadedComment>
  <threadedComment ref="BJ18" dT="2020-05-04T00:09:30.74" personId="{74C52296-DACD-417A-A997-F3939C4F68E4}" id="{06B097A0-93A3-4A86-8015-F85C061B8116}">
    <text>Massage Phuong et Van</text>
  </threadedComment>
  <threadedComment ref="BX18" dT="2020-05-09T03:54:40.31" personId="{74C52296-DACD-417A-A997-F3939C4F68E4}" id="{4FE36B20-0BB6-4A49-9657-D182002E0090}">
    <text>massage VAN puis scene de Hoa</text>
  </threadedComment>
  <threadedComment ref="CB18" dT="2020-05-11T14:11:17.73" personId="{74C52296-DACD-417A-A997-F3939C4F68E4}" id="{FDD63CE8-2B0C-4731-BF50-0CEB1A3213F4}">
    <text>KAM 100 4 pills angle Dinh Liet</text>
  </threadedComment>
  <threadedComment ref="CR18" dT="2020-05-27T15:00:24.71" personId="{74C52296-DACD-417A-A997-F3939C4F68E4}" id="{1F9A4896-F383-4AE6-8EA7-EF0C46FFE55D}">
    <text>massage en couple, moi avec Van</text>
  </threadedComment>
  <threadedComment ref="CW18" dT="2020-06-08T10:45:44.58" personId="{74C52296-DACD-417A-A997-F3939C4F68E4}" id="{FB93AC26-283D-42BD-A187-674716B449EB}">
    <text>massage Thu</text>
  </threadedComment>
  <threadedComment ref="CZ18" dT="2020-05-11T14:11:17.73" personId="{74C52296-DACD-417A-A997-F3939C4F68E4}" id="{E2C0AEF0-0701-42BF-A03A-C6B7D74A1F79}">
    <text>KAM 100 4 pills angle Dinh Liet</text>
  </threadedComment>
  <threadedComment ref="DC18" dT="2020-06-08T10:45:44.58" personId="{74C52296-DACD-417A-A997-F3939C4F68E4}" id="{BF80DD84-23D9-49DB-A3AA-536FF7B85DB7}">
    <text>massage Van et Thu pour Hoa 30 mn</text>
  </threadedComment>
  <threadedComment ref="DG18" dT="2020-06-16T04:23:27.78" personId="{74C52296-DACD-417A-A997-F3939C4F68E4}" id="{2235BEA6-741D-4798-BF9D-88DE11E9EB9C}">
    <text>massage moyen</text>
  </threadedComment>
  <threadedComment ref="DH18" dT="2020-06-16T04:25:31.03" personId="{74C52296-DACD-417A-A997-F3939C4F68E4}" id="{4C0E8544-3CA1-4AA8-AFA2-530412E57697}">
    <text>massage top 200 + tip 100</text>
  </threadedComment>
  <threadedComment ref="DI18" dT="2020-06-16T04:25:31.03" personId="{74C52296-DACD-417A-A997-F3939C4F68E4}" id="{6A540680-5166-4B92-88A2-8F1E9A5730A7}">
    <text>massage tip  top 200 + tip 300 Houahooh !</text>
  </threadedComment>
  <threadedComment ref="DK18" dT="2020-06-16T04:46:01.78" personId="{74C52296-DACD-417A-A997-F3939C4F68E4}" id="{A6CDE1BF-5350-45FF-9256-5A9BBF86C542}">
    <text>coiffeur Dinh Liet</text>
  </threadedComment>
  <threadedComment ref="DO18" dT="2020-06-20T17:29:22.67" personId="{74C52296-DACD-417A-A997-F3939C4F68E4}" id="{9A5C5F95-A1B6-45E6-BA54-029CE6B0037F}">
    <text>massage a 2 pour moi Thu, pour Hoa Huong</text>
  </threadedComment>
  <threadedComment ref="DY18" dT="2020-06-30T12:42:08.33" personId="{74C52296-DACD-417A-A997-F3939C4F68E4}" id="{E0A7D739-0970-4B8C-B647-8B7FEFC06384}">
    <text>massage nullissime</text>
  </threadedComment>
  <threadedComment ref="EF18" dT="2020-05-11T14:11:17.73" personId="{74C52296-DACD-417A-A997-F3939C4F68E4}" id="{72CB7386-EF5B-4C97-B498-0AB4D097DAC0}">
    <text>KAM 100 4 pills pas bon</text>
  </threadedComment>
  <threadedComment ref="EK18" dT="2020-07-11T16:20:09.80" personId="{74C52296-DACD-417A-A997-F3939C4F68E4}" id="{0F2740D4-0076-4FA5-B6C8-CD64FE39CEF9}">
    <text>massage Huong</text>
  </threadedComment>
  <threadedComment ref="EM18" dT="2020-07-19T15:41:33.75" personId="{74C52296-DACD-417A-A997-F3939C4F68E4}" id="{5B3FC4A6-9A44-45E8-8BD8-1113A5AFB0AF}">
    <text>massage Luyen</text>
  </threadedComment>
  <threadedComment ref="EQ18" dT="2020-07-19T16:21:48.17" personId="{74C52296-DACD-417A-A997-F3939C4F68E4}" id="{35E25338-E47B-4940-AAC3-150FCAE0FE63}">
    <text>Massage Thu</text>
  </threadedComment>
  <threadedComment ref="EY18" dT="2020-07-31T17:38:25.60" personId="{74C52296-DACD-417A-A997-F3939C4F68E4}" id="{5A7EC9D4-E079-4D5A-9B94-552C51912769}">
    <text>massage Thu</text>
  </threadedComment>
  <threadedComment ref="FM18" dT="2020-08-10T18:42:52.42" personId="{74C52296-DACD-417A-A997-F3939C4F68E4}" id="{18CB1ACE-5006-44B8-98F1-2174BC1613C0}">
    <text>massage 4 mains Thu et Huong : drole et extraordinaire</text>
  </threadedComment>
  <threadedComment ref="GC18" dT="2020-08-26T15:49:58.60" personId="{74C52296-DACD-417A-A997-F3939C4F68E4}" id="{5886D45C-31BA-4942-8C3B-2E6B162F9B66}">
    <text>loc moto et tip</text>
  </threadedComment>
  <threadedComment ref="GE18" dT="2020-08-26T15:46:17.74" personId="{74C52296-DACD-417A-A997-F3939C4F68E4}" id="{398ADE25-266E-4081-80EC-2EFC6D2D5B88}">
    <text>massage 30 mn 4 mains Thu et Huong</text>
  </threadedComment>
  <threadedComment ref="AG19" dT="2020-03-28T16:20:17.63" personId="{74C52296-DACD-417A-A997-F3939C4F68E4}" id="{B98D4B66-6785-4ED2-B6BC-6C1A15069A91}">
    <text>pourboire agent immobilier</text>
  </threadedComment>
  <threadedComment ref="AH19" dT="2020-03-28T15:42:55.00" personId="{74C52296-DACD-417A-A997-F3939C4F68E4}" id="{4CAAC870-677F-4AAD-A987-102E59D081CD}">
    <text>concierge immeuble</text>
  </threadedComment>
  <threadedComment ref="DS19" dT="2020-06-25T05:15:52.18" personId="{74C52296-DACD-417A-A997-F3939C4F68E4}" id="{8EB4E144-35A2-4B9C-A4E6-27988BD9B1BD}">
    <text>2 jours une nuit a Ha Long Bay</text>
  </threadedComment>
  <threadedComment ref="DY19" dT="2020-06-30T12:30:35.49" personId="{74C52296-DACD-417A-A997-F3939C4F68E4}" id="{9FDC09F4-1929-4D10-96D0-33B58E20AC36}">
    <text>hotel de 5h du mat a 14h 200 et hotel du soir 400</text>
  </threadedComment>
  <threadedComment ref="GC19" dT="2020-08-26T15:34:03.05" personId="{74C52296-DACD-417A-A997-F3939C4F68E4}" id="{AB176A09-F579-4DC5-8B9A-FD998C86FB29}">
    <text>hotel 900 + charge annulation 200</text>
  </threadedComment>
  <threadedComment ref="Y20" dT="2020-03-22T16:22:25.55" personId="{74C52296-DACD-417A-A997-F3939C4F68E4}" id="{3C532729-E13C-4AA4-B4C8-DDE6156A29E2}">
    <text>location moto 3 jours</text>
  </threadedComment>
  <threadedComment ref="AB20" dT="2020-03-22T21:20:43.93" personId="{74C52296-DACD-417A-A997-F3939C4F68E4}" id="{A403AB61-09BC-4AA1-A467-8DE5A8436B88}">
    <text>massage a deux</text>
  </threadedComment>
  <threadedComment ref="CD20" dT="2020-05-18T16:23:00.96" personId="{74C52296-DACD-417A-A997-F3939C4F68E4}" id="{1DF6BE05-0EB8-444F-8377-3EDA914B7E0D}">
    <text>essence 12000 dongs par litre</text>
  </threadedComment>
  <threadedComment ref="CE20" dT="2020-05-10T15:45:46.73" personId="{74C52296-DACD-417A-A997-F3939C4F68E4}" id="{D2A18276-2965-4FCD-BB06-1A3BEEDEEF3E}">
    <text>limousine couchette pour Ha Giang aller retour</text>
  </threadedComment>
  <threadedComment ref="CF20" dT="2020-05-18T16:44:53.04" personId="{74C52296-DACD-417A-A997-F3939C4F68E4}" id="{07581A49-F954-4537-9BCE-E1D17E2F6FBB}">
    <text>essence</text>
  </threadedComment>
  <threadedComment ref="DG20" dT="2020-06-16T04:22:39.36" personId="{74C52296-DACD-417A-A997-F3939C4F68E4}" id="{54AFB5F7-E6C9-4BE5-8198-123EC4675D2F}">
    <text>limousine 220 moto locale 50</text>
  </threadedComment>
  <threadedComment ref="DI20" dT="2020-06-16T04:26:11.63" personId="{74C52296-DACD-417A-A997-F3939C4F68E4}" id="{87511CFF-99C5-4999-9B34-3C0A7D265AAD}">
    <text>location moto 100 + essence</text>
  </threadedComment>
  <threadedComment ref="DJ20" dT="2020-06-16T04:22:39.36" personId="{74C52296-DACD-417A-A997-F3939C4F68E4}" id="{5852F848-C3F1-4275-9BCE-EED26AB1635C}">
    <text>limousine 220 moto locale 50</text>
  </threadedComment>
  <threadedComment ref="DM20" dT="2020-06-20T17:17:29.02" personId="{74C52296-DACD-417A-A997-F3939C4F68E4}" id="{870D2962-DDE2-4286-A253-56DCC83D1AAF}">
    <text>aller 240 et 500 Tuan frere de Hoa</text>
  </threadedComment>
  <threadedComment ref="DY20" dT="2020-06-30T12:27:07.66" personId="{74C52296-DACD-417A-A997-F3939C4F68E4}" id="{14F3FA63-67BA-46E0-B205-5DB48E2791D1}">
    <text>bus payé par HOA</text>
  </threadedComment>
  <threadedComment ref="DZ20" dT="2020-06-30T12:40:04.56" personId="{74C52296-DACD-417A-A997-F3939C4F68E4}" id="{05C1FE86-2DE9-4630-B8F5-AEF038EC5571}">
    <text>scooter</text>
  </threadedComment>
  <threadedComment ref="EA20" dT="2020-06-30T12:40:04.56" personId="{74C52296-DACD-417A-A997-F3939C4F68E4}" id="{6D903F1C-631A-44A1-AFD5-1871BDDF4162}">
    <text>scooter</text>
  </threadedComment>
  <threadedComment ref="EO20" dT="2020-07-19T15:55:06.35" personId="{74C52296-DACD-417A-A997-F3939C4F68E4}" id="{16F6C248-2334-4A9A-846F-5A42F738519D}">
    <text>taxi moto Hoi An + taxi Hanoi +taxi</text>
  </threadedComment>
  <threadedComment ref="FA20" dT="2020-07-31T17:37:21.49" personId="{74C52296-DACD-417A-A997-F3939C4F68E4}" id="{A76A8454-9A65-43BF-95EE-7BFC76BC7D95}">
    <text>train de nuit</text>
  </threadedComment>
  <threadedComment ref="FB20" dT="2020-07-31T17:57:43.93" personId="{74C52296-DACD-417A-A997-F3939C4F68E4}" id="{35C9FAC5-F540-43A2-B0AA-6D545C22FA4A}">
    <text>150 moto par jour et essence</text>
  </threadedComment>
  <threadedComment ref="FC20" dT="2020-07-31T17:37:21.49" personId="{74C52296-DACD-417A-A997-F3939C4F68E4}" id="{7F4998FE-7390-4F60-AD9A-79D2AEFD1CF2}">
    <text>train de nuit</text>
  </threadedComment>
  <threadedComment ref="GC20" dT="2020-08-26T15:30:46.16" personId="{74C52296-DACD-417A-A997-F3939C4F68E4}" id="{1A9A198F-1A18-4D88-A51F-35B0E0D34FC5}">
    <text>A/R limousine</text>
  </threadedComment>
  <threadedComment ref="GV20" dT="2020-09-20T02:48:10.00" personId="{74C52296-DACD-417A-A997-F3939C4F68E4}" id="{6AA37B52-D7A9-478A-BCE8-18A7C670A751}">
    <text>A/R Thai Nguyen</text>
  </threadedComment>
  <threadedComment ref="GY20" dT="2020-09-20T02:55:03.66" personId="{74C52296-DACD-417A-A997-F3939C4F68E4}" id="{07341363-7B3C-46D7-96C2-9F9B7894986C}">
    <text>limousine cabine a 2, excellent</text>
  </threadedComment>
  <threadedComment ref="GZ20" dT="2020-09-20T03:03:37.65" personId="{74C52296-DACD-417A-A997-F3939C4F68E4}" id="{61EB3558-18C0-4F2D-90E4-4C52CB699744}">
    <text>essence 45 et loc 2 jours 300</text>
  </threadedComment>
  <threadedComment ref="HA20" dT="2020-09-20T03:03:37.65" personId="{74C52296-DACD-417A-A997-F3939C4F68E4}" id="{5D8B7BF9-1171-4138-BE89-2DFB98490B43}">
    <text>essence 50, et loc 1 jour 300 !!</text>
  </threadedComment>
  <threadedComment ref="HB20" dT="2020-09-20T02:55:03.66" personId="{74C52296-DACD-417A-A997-F3939C4F68E4}" id="{2174FAE1-B906-4E20-95C6-E6E5343422C6}">
    <text>limousine cabine a 2, excellent</text>
  </threadedComment>
  <threadedComment ref="HG20" dT="2020-09-24T08:02:02.34" personId="{74C52296-DACD-417A-A997-F3939C4F68E4}" id="{E7ED62C8-734A-43A9-8E56-F736A2911BF6}">
    <text>Taxi A/R Aeroport</text>
  </threadedComment>
  <threadedComment ref="E21" dT="2020-03-06T08:37:10.47" personId="{74C52296-DACD-417A-A997-F3939C4F68E4}" id="{9D9C29B5-AF17-4C64-8177-4BDA35DD6C02}">
    <text>visa aeroport 1250 UT 500</text>
  </threadedComment>
  <threadedComment ref="X21" dT="2020-03-14T13:42:11.17" personId="{74C52296-DACD-417A-A997-F3939C4F68E4}" id="{685ED2A9-238D-47C6-92E6-3BB37E08CA21}">
    <text>VOL PHU QUOC</text>
  </threadedComment>
  <threadedComment ref="AM21" dT="2020-05-04T01:07:56.25" personId="{74C52296-DACD-417A-A997-F3939C4F68E4}" id="{8A48C4D9-7BD9-4A97-A86F-6656268B1B60}">
    <text>plug INEXPLIQUE quote part Mars</text>
  </threadedComment>
  <threadedComment ref="BQ21" dT="2020-05-04T01:05:28.97" personId="{74C52296-DACD-417A-A997-F3939C4F68E4}" id="{798AE87E-F95E-4829-8B66-817DD4FA1DAE}">
    <text>plug INEXPLIQUE quote part Avril</text>
  </threadedComment>
  <threadedComment ref="BZ21" dT="2020-05-04T01:05:28.97" personId="{74C52296-DACD-417A-A997-F3939C4F68E4}" id="{90681CEA-BC47-4561-B5FA-1E672DAE282A}">
    <text>plug INEXPLIQUE quote part Avril</text>
  </threadedComment>
  <threadedComment ref="CI21" dT="2020-05-04T01:05:28.97" personId="{74C52296-DACD-417A-A997-F3939C4F68E4}" id="{3003300B-2BAC-4540-81A4-A96BFDA90C39}">
    <text>plug INEXPLIQUE 10 jours</text>
  </threadedComment>
  <threadedComment ref="CJ21" dT="2020-05-20T13:54:23.65" personId="{74C52296-DACD-417A-A997-F3939C4F68E4}" id="{E2DCDBBC-7A8B-45B6-AE94-FF3A7B189BE6}">
    <text>extension visa 3 mois</text>
  </threadedComment>
  <threadedComment ref="CN21" dT="2020-05-27T15:18:12.46" personId="{74C52296-DACD-417A-A997-F3939C4F68E4}" id="{96ADCDC1-3D6D-4AC6-8662-913F4598A0E9}">
    <text>montant de recadrage</text>
  </threadedComment>
  <threadedComment ref="CP21" dT="2020-05-27T15:18:12.46" personId="{74C52296-DACD-417A-A997-F3939C4F68E4}" id="{4273CA5C-25D3-4002-A656-0A2AAB1E14F7}">
    <text>montant de recadrage</text>
  </threadedComment>
  <threadedComment ref="DX21" dT="2020-05-27T15:18:12.46" personId="{74C52296-DACD-417A-A997-F3939C4F68E4}" id="{FBCC33EC-FA7C-4FB2-BF06-EC4A77F1973A}">
    <text>montant de recadrage</text>
  </threadedComment>
  <threadedComment ref="EL21" dT="2020-07-19T16:20:00.13" personId="{74C52296-DACD-417A-A997-F3939C4F68E4}" id="{12577716-184D-4B21-9567-E5B58533A9B7}">
    <text>vol A/R Hanoi Danang</text>
  </threadedComment>
  <threadedComment ref="GF21" dT="2020-08-31T15:11:30.82" personId="{74C52296-DACD-417A-A997-F3939C4F68E4}" id="{EE4F4FA7-A51D-445A-A320-91603F175E78}">
    <text>extension visa 1 mois</text>
  </threadedComment>
  <threadedComment ref="T22" dT="2020-03-13T08:25:09.46" personId="{74C52296-DACD-417A-A997-F3939C4F68E4}" id="{9C1F7B8C-2707-48A3-A61C-22EF56F2EF58}">
    <text>grille</text>
  </threadedComment>
  <threadedComment ref="AE22" dT="2020-03-24T02:47:01.35" personId="{74C52296-DACD-417A-A997-F3939C4F68E4}" id="{B52F1448-FF57-4972-AAA8-8F4CB0238E99}">
    <text>masques</text>
  </threadedComment>
  <threadedComment ref="AH22" dT="2020-03-28T15:36:18.13" personId="{74C52296-DACD-417A-A997-F3939C4F68E4}" id="{DA9ED95F-10B6-4F0E-AE1D-A358C31F93F5}">
    <text>tabourets plastique</text>
  </threadedComment>
  <threadedComment ref="AP22" dT="2020-04-06T20:47:06.99" personId="{74C52296-DACD-417A-A997-F3939C4F68E4}" id="{B7B25C62-B39B-4CD1-B4EB-30774167AAA1}">
    <text>socks</text>
  </threadedComment>
  <threadedComment ref="BI22" dT="2020-05-04T00:04:55.95" personId="{74C52296-DACD-417A-A997-F3939C4F68E4}" id="{C760CFE5-4FCF-4BE3-9B28-4FF35CBBC9C2}">
    <text>souris</text>
  </threadedComment>
  <threadedComment ref="BZ22" dT="2020-05-10T03:42:06.58" personId="{74C52296-DACD-417A-A997-F3939C4F68E4}" id="{F035B9A2-5BAA-492D-8324-91B23746B456}">
    <text>affaires de sport</text>
  </threadedComment>
  <threadedComment ref="CG22" dT="2020-05-18T17:31:10.03" personId="{74C52296-DACD-417A-A997-F3939C4F68E4}" id="{AD6ABAD5-6F27-4F0C-AC8E-0B4E9030DD21}">
    <text>reparation chaussures</text>
  </threadedComment>
  <threadedComment ref="CI22" dT="2020-05-18T17:32:36.80" personId="{74C52296-DACD-417A-A997-F3939C4F68E4}" id="{88C5EE04-772F-4485-8EA4-203CA32E24E4}">
    <text>reparation laptop suite a m'etre assis dessus !</text>
  </threadedComment>
  <threadedComment ref="DW22" dT="2020-06-30T12:19:44.72" personId="{74C52296-DACD-417A-A997-F3939C4F68E4}" id="{31B09722-508A-4BBA-B43B-A4FA2F86D886}">
    <text>commission change sur 2600 euros</text>
  </threadedComment>
  <threadedComment ref="EW22" dT="2020-07-26T11:15:47.21" personId="{74C52296-DACD-417A-A997-F3939C4F68E4}" id="{15D18BB3-4D8C-4943-BB00-CD54DD8F2424}">
    <text>masques</text>
  </threadedComment>
  <threadedComment ref="HE22" dT="2020-09-22T15:39:04.07" personId="{74C52296-DACD-417A-A997-F3939C4F68E4}" id="{4D288ACA-1963-4BCD-8941-CA4CD84894CD}">
    <text>KAM 1500 (10X4 pastilles); dentifrice (4) 260;</text>
  </threadedComment>
  <threadedComment ref="HF22" dT="2020-09-22T15:41:02.15" personId="{74C52296-DACD-417A-A997-F3939C4F68E4}" id="{1622E6AC-4FED-4D5D-B80D-E0F53290D729}">
    <text>shrimps secs 420, chalott 1kg 120</text>
  </threadedComment>
  <threadedComment ref="HG22" dT="2020-09-24T08:01:15.32" personId="{74C52296-DACD-417A-A997-F3939C4F68E4}" id="{20022E32-EB80-4388-BBAD-0433338E2920}">
    <text>2 cartouches supplémentaires de cigarettes</text>
  </threadedComment>
  <threadedComment ref="L23" dT="2020-03-06T08:43:05.65" personId="{74C52296-DACD-417A-A997-F3939C4F68E4}" id="{909D0D3F-B51C-4778-826A-4357CC143360}">
    <text>2 ceintures noires</text>
  </threadedComment>
  <threadedComment ref="M23" dT="2020-03-06T08:44:34.40" personId="{74C52296-DACD-417A-A997-F3939C4F68E4}" id="{A399C9CD-0D1A-4CF8-940F-21F866A3A0BA}">
    <text>acompte veste cuisine s/ 650</text>
  </threadedComment>
  <threadedComment ref="V23" dT="2020-03-22T16:12:22.99" personId="{74C52296-DACD-417A-A997-F3939C4F68E4}" id="{B9088731-3782-40FD-ACF0-641A4090F158}">
    <text>2 pantalons</text>
  </threadedComment>
  <threadedComment ref="AA23" dT="2020-03-22T16:21:22.14" personId="{74C52296-DACD-417A-A997-F3939C4F68E4}" id="{312AFCF2-AB96-4AD2-93FB-0192C5F64F23}">
    <text>poivre</text>
  </threadedComment>
  <threadedComment ref="AG23" dT="2020-03-28T16:12:28.50" personId="{74C52296-DACD-417A-A997-F3939C4F68E4}" id="{E49B4D8C-DA37-4E5C-A353-5CD51FC85D38}">
    <text>pantalons courts</text>
  </threadedComment>
  <threadedComment ref="BJ23" dT="2020-05-04T00:09:55.46" personId="{74C52296-DACD-417A-A997-F3939C4F68E4}" id="{A1766771-2775-4945-A7A6-CB951F8750E5}">
    <text>slips</text>
  </threadedComment>
  <threadedComment ref="ET23" dT="2020-07-26T11:05:20.22" personId="{74C52296-DACD-417A-A997-F3939C4F68E4}" id="{AF6A9AA0-E436-47AC-87D4-E4623A92D1A9}">
    <text>tissu chemise</text>
  </threadedComment>
  <threadedComment ref="EW23" dT="2020-07-26T11:16:10.42" personId="{74C52296-DACD-417A-A997-F3939C4F68E4}" id="{BE39D1BF-2C54-4D81-A537-4357C06370EF}">
    <text>facon chemise</text>
  </threadedComment>
  <threadedComment ref="FE23" dT="2020-07-31T19:00:11.23" personId="{74C52296-DACD-417A-A997-F3939C4F68E4}" id="{F5F24689-FCD8-4CE5-BDC4-3A5C8866BC89}">
    <text>2 chemises la rouge et la pourpre</text>
  </threadedComment>
  <threadedComment ref="HF23" dT="2020-09-22T15:42:36.77" personId="{74C52296-DACD-417A-A997-F3939C4F68E4}" id="{DFF46E57-1EDC-4BB1-949F-E84B83DF582C}">
    <text>réteecissement de 3 chemises</text>
  </threadedComment>
  <threadedComment ref="R24" dT="2020-03-13T08:10:44.21" personId="{74C52296-DACD-417A-A997-F3939C4F68E4}" id="{53194F2B-9AD5-469C-9CFB-CA9448BF6FD6}">
    <text>FLEURS HOA excuses</text>
  </threadedComment>
  <threadedComment ref="DE24" dT="2020-06-16T04:17:58.60" personId="{74C52296-DACD-417A-A997-F3939C4F68E4}" id="{CFB5E8FD-31D9-4A08-8D90-B5F996DF9C49}">
    <text>sac Hoa</text>
  </threadedComment>
  <threadedComment ref="DN24" dT="2020-06-20T17:25:01.57" personId="{74C52296-DACD-417A-A997-F3939C4F68E4}" id="{23F153E7-705A-43BD-8EA3-48B4B5A8349D}">
    <text>cadeau Tuyen banane Nike</text>
  </threadedComment>
  <threadedComment ref="FM24" dT="2020-08-10T18:58:29.19" personId="{74C52296-DACD-417A-A997-F3939C4F68E4}" id="{FCA07594-4F76-46D1-9C03-B51F4456F0FB}">
    <text>cadeaux multiples, voir detail sur Notes</text>
  </threadedComment>
  <threadedComment ref="FO24" dT="2020-08-10T18:49:07.45" personId="{74C52296-DACD-417A-A997-F3939C4F68E4}" id="{468E1293-7155-48C5-8858-5A95C667DE8F}">
    <text>6 cartouches de cigarette a receptionner</text>
  </threadedComment>
  <threadedComment ref="FZ24" dT="2020-08-26T15:50:44.93" personId="{74C52296-DACD-417A-A997-F3939C4F68E4}" id="{36D2C4C2-45E7-496F-A8F3-A6643E1A7774}">
    <text>medoc Hoa</text>
  </threadedComment>
  <threadedComment ref="GN24" dT="2020-09-07T11:47:07.53" personId="{74C52296-DACD-417A-A997-F3939C4F68E4}" id="{F1CE2D79-5E9B-4F00-AFE8-F5AB90DE55C5}">
    <text>cadeau maman 2000 et 500 anniv grand fils</text>
  </threadedComment>
  <threadedComment ref="GV24" dT="2020-09-14T11:01:01.68" personId="{74C52296-DACD-417A-A997-F3939C4F68E4}" id="{F22E37BA-FE8C-41E3-B9F0-1DFB346B802A}">
    <text>cadeau petite niece</text>
  </threadedComment>
  <threadedComment ref="HB24" dT="2020-09-20T03:12:15.66" personId="{74C52296-DACD-417A-A997-F3939C4F68E4}" id="{7E38B830-68B5-4F20-800D-1D0201D62441}">
    <text>gateaux pour les filles</text>
  </threadedComment>
  <threadedComment ref="HG24" dT="2020-09-24T07:59:14.95" personId="{74C52296-DACD-417A-A997-F3939C4F68E4}" id="{862CF1FF-9A77-43D5-975D-E46BAF926254}">
    <text>cadeau vases maman</text>
  </threadedComment>
  <threadedComment ref="E55" dT="2020-03-07T01:25:36.43" personId="{74C52296-DACD-417A-A997-F3939C4F68E4}" id="{ED40BE04-0C72-43A9-8DBE-80E31B3C3E3E}">
    <text>Renouleaud gare</text>
  </threadedComment>
  <threadedComment ref="E56" dT="2020-03-07T01:05:14.32" personId="{74C52296-DACD-417A-A997-F3939C4F68E4}" id="{747F6176-EA43-4C5A-B26E-0F6166E89CB0}">
    <text>Avion</text>
  </threadedComment>
  <threadedComment ref="ET56" dT="2020-08-01T17:42:06.50" personId="{74C52296-DACD-417A-A997-F3939C4F68E4}" id="{C734BF45-7AC3-4EC6-9A19-BBB3D85B144E}">
    <text>billet Air France acheté le 20 Mars</text>
  </threadedComment>
  <threadedComment ref="EU56" dT="2020-08-01T17:41:54.86" personId="{74C52296-DACD-417A-A997-F3939C4F68E4}" id="{B7C9A6C9-BF5B-493C-ADD3-CB4EDA1782F8}">
    <text>Complement Air France</text>
  </threadedComment>
  <threadedComment ref="FI56" dT="2020-11-11T18:26:33.20" personId="{9FE362C9-AD08-4727-B6F0-C4BA5F2B526D}" id="{03A8BD89-A96E-4F89-A487-E283D9E4DB8F}">
    <text>Billet Ouigo,finalement non utilisé grace au Billet de retour Vietnam Airlines</text>
  </threadedComment>
  <threadedComment ref="E59" dT="2019-12-05T09:02:12.32" personId="{74C52296-DACD-417A-A997-F3939C4F68E4}" id="{D1371AD6-0CF2-4D65-B6F3-2DC21937D794}">
    <text>CADEAUX HOA et UT</text>
  </threadedComment>
</ThreadedComments>
</file>

<file path=xl/threadedComments/threadedComment3.xml><?xml version="1.0" encoding="utf-8"?>
<ThreadedComments xmlns="http://schemas.microsoft.com/office/spreadsheetml/2018/threadedcomments" xmlns:x="http://schemas.openxmlformats.org/spreadsheetml/2006/main">
  <threadedComment ref="AD7" dT="2019-11-23T14:53:30.18" personId="{74C52296-DACD-417A-A997-F3939C4F68E4}" id="{8EB353CE-D36F-45A2-8EAE-5867C7427123}">
    <text>Ptit dej pres de la mer Hoi An</text>
  </threadedComment>
  <threadedComment ref="P8" dT="2019-11-08T19:42:06.80" personId="{74C52296-DACD-417A-A997-F3939C4F68E4}" id="{0D6B0FA7-AB0B-4DFD-B4CD-286E031DC60F}">
    <text>COREEN</text>
  </threadedComment>
  <threadedComment ref="AC8" dT="2019-11-23T14:44:28.39" personId="{74C52296-DACD-417A-A997-F3939C4F68E4}" id="{037CD725-2378-414A-8E4D-000182049147}">
    <text>Repas midi Da nang entre aeroport et hotel</text>
  </threadedComment>
  <threadedComment ref="AD8" dT="2019-11-23T14:59:38.31" personId="{74C52296-DACD-417A-A997-F3939C4F68E4}" id="{65049605-81FB-479A-BE45-6FBE2E99F244}">
    <text>repas sur le mem restau que Vo</text>
  </threadedComment>
  <threadedComment ref="AE8" dT="2019-11-23T15:19:04.19" personId="{74C52296-DACD-417A-A997-F3939C4F68E4}" id="{4C754831-A4B1-4EFF-897E-24968FBDC17D}">
    <text>Meme restau que la veille ou retrouve le chargeur. Extraordianire coincidence, puisque nous n'etions censés manger là. nous ys sommes allés sur les conseils de la fille du Spa</text>
  </threadedComment>
  <threadedComment ref="AH8" dT="2019-12-05T09:17:00.36" personId="{74C52296-DACD-417A-A997-F3939C4F68E4}" id="{461D78D5-5F17-4A9C-B120-A2C210D75469}">
    <text>Churascaria</text>
  </threadedComment>
  <threadedComment ref="AC9" dT="2019-11-23T14:43:30.19" personId="{74C52296-DACD-417A-A997-F3939C4F68E4}" id="{AB0EC41D-A75D-4E9B-92E8-CB61DD45BFC9}">
    <text>Repas du soir match de foot Vietnam Thailande</text>
  </threadedComment>
  <threadedComment ref="AD9" dT="2019-11-23T15:04:11.82" personId="{74C52296-DACD-417A-A997-F3939C4F68E4}" id="{1051A659-8084-45BF-87F9-62FE0ADD7959}">
    <text>Repas du soir sur bord du fleuve, soiree tendue</text>
  </threadedComment>
  <threadedComment ref="AR9" dT="2019-12-05T08:48:54.38" personId="{74C52296-DACD-417A-A997-F3939C4F68E4}" id="{52728AFF-B8E0-4B54-B163-F119258F50D7}">
    <text>Ban Mi aeroport</text>
  </threadedComment>
  <threadedComment ref="AR10" dT="2019-12-05T09:22:22.64" personId="{74C52296-DACD-417A-A997-F3939C4F68E4}" id="{0811506B-6283-4C56-9709-DD034A857D3F}">
    <text>ajustement tresorerie 400 par 3</text>
  </threadedComment>
  <threadedComment ref="X11" dT="2019-11-23T14:26:59.71" personId="{74C52296-DACD-417A-A997-F3939C4F68E4}" id="{3F4632F3-0141-423E-82A6-E917B7948413}">
    <text>600 maeché + 500 arriéré HOA</text>
  </threadedComment>
  <threadedComment ref="AD13" dT="2019-11-23T15:06:38.43" personId="{74C52296-DACD-417A-A997-F3939C4F68E4}" id="{38E5BDDD-512A-4EE6-80DA-E165C5E297C6}">
    <text>3 whiskies apres massage et happy water parce que furieux</text>
  </threadedComment>
  <threadedComment ref="AD13" dT="2019-11-23T15:15:21.53" personId="{74C52296-DACD-417A-A997-F3939C4F68E4}" id="{12DEDD50-E4F6-4DD8-8742-89089FDB023E}" parentId="{38E5BDDD-512A-4EE6-80DA-E165C5E297C6}">
    <text>pot delicieux sur le fleuve le midi 100</text>
  </threadedComment>
  <threadedComment ref="AE13" dT="2019-11-23T15:22:32.64" personId="{74C52296-DACD-417A-A997-F3939C4F68E4}" id="{28D0F119-BFB1-44D1-9766-90F91A0C378F}">
    <text>Pot avec Richard, un anglais, rencontré la veille aux toilettes, et son epouse 'Hoa'. Delicieux moment</text>
  </threadedComment>
  <threadedComment ref="AE13" dT="2019-11-23T16:28:51.90" personId="{74C52296-DACD-417A-A997-F3939C4F68E4}" id="{21B834C0-AFA7-437C-92F7-9335C936780B}" parentId="{28D0F119-BFB1-44D1-9766-90F91A0C378F}">
    <text>joignable sur Whatsapp</text>
  </threadedComment>
  <threadedComment ref="H14" dT="2019-11-08T19:12:21.80" personId="{74C52296-DACD-417A-A997-F3939C4F68E4}" id="{6DC83BA7-8426-4FD7-AD13-EE861EC237D9}">
    <text>DETERGENT</text>
  </threadedComment>
  <threadedComment ref="P14" dT="2019-11-08T19:42:37.28" personId="{74C52296-DACD-417A-A997-F3939C4F68E4}" id="{BE2A7A09-A87B-4B76-AC73-FB9AF4EA4E5D}">
    <text>essence Hoa</text>
  </threadedComment>
  <threadedComment ref="AE14" dT="2019-11-23T15:24:19.01" personId="{74C52296-DACD-417A-A997-F3939C4F68E4}" id="{09771E8F-3F15-4068-9109-26CE518AE65D}">
    <text>2 bieres de fin de soiree avec Hoa sur la place de l'hotel</text>
  </threadedComment>
  <threadedComment ref="AF16" dT="2019-11-23T15:28:00.64" personId="{74C52296-DACD-417A-A997-F3939C4F68E4}" id="{C4D5A7BD-A319-4422-BB26-FBCB4507DF7E}">
    <text>Grab 30 et 25 parce j'ai oublié de rendre les clés de la moto à Hoa. Elle me ramene ensuite</text>
  </threadedComment>
  <threadedComment ref="O17" dT="2019-11-08T19:35:52.88" personId="{74C52296-DACD-417A-A997-F3939C4F68E4}" id="{376C6345-A19E-4B21-B0DC-56A0EB231A4A}">
    <text>fruits et vodka</text>
  </threadedComment>
  <threadedComment ref="U17" dT="2019-11-13T12:37:43.74" personId="{74C52296-DACD-417A-A997-F3939C4F68E4}" id="{8D2E5587-A784-430F-9B11-CADE8970CE8D}">
    <text>location scoot 135 par jour 50 + 100 assurance</text>
  </threadedComment>
  <threadedComment ref="V17" dT="2019-11-13T12:37:43.74" personId="{74C52296-DACD-417A-A997-F3939C4F68E4}" id="{02301B53-DC03-44CB-A3F7-D34A99C73FDE}">
    <text>location scoot 135 par jour 50 + 100 assurance</text>
  </threadedComment>
  <threadedComment ref="W17" dT="2019-11-13T12:37:43.74" personId="{74C52296-DACD-417A-A997-F3939C4F68E4}" id="{72BE9F90-0175-4D16-B446-C68B92443A95}">
    <text>location scoot 135 par jour 50 + 100 assurance</text>
  </threadedComment>
  <threadedComment ref="AC17" dT="2019-11-23T14:31:22.16" personId="{74C52296-DACD-417A-A997-F3939C4F68E4}" id="{C421B601-DEF4-4874-8C1C-C1C52E1ECBE2}">
    <text>Vol Da Nang</text>
  </threadedComment>
  <threadedComment ref="AD17" dT="2019-11-23T14:51:55.86" personId="{74C52296-DACD-417A-A997-F3939C4F68E4}" id="{736573F3-A966-4964-9CCD-BEAE8CA2C35C}">
    <text>Location moto</text>
  </threadedComment>
  <threadedComment ref="AE17" dT="2019-11-23T14:52:49.53" personId="{74C52296-DACD-417A-A997-F3939C4F68E4}" id="{72AA3EAA-0DBD-4641-A142-C1CA457028EA}">
    <text>location moto + essence</text>
  </threadedComment>
  <threadedComment ref="AR17" dT="2019-12-05T09:22:22.64" personId="{74C52296-DACD-417A-A997-F3939C4F68E4}" id="{BD553734-8B15-4065-8779-263E25D3AA77}">
    <text>ajustement tresorerie 400 par 3</text>
  </threadedComment>
  <threadedComment ref="L18" dT="2019-11-08T19:30:33.49" personId="{74C52296-DACD-417A-A997-F3939C4F68E4}" id="{E65F0A1A-0177-4B56-AFAA-7B66C0B878DA}">
    <text>Quynh</text>
  </threadedComment>
  <threadedComment ref="U18" dT="2019-11-13T12:36:15.19" personId="{74C52296-DACD-417A-A997-F3939C4F68E4}" id="{D832FEFD-5856-4BC7-A299-E5EBD75C50AE}">
    <text>sieste du matin a Ha giang dans homestay de la gare</text>
  </threadedComment>
  <threadedComment ref="AD18" dT="2019-11-23T15:02:52.24" personId="{74C52296-DACD-417A-A997-F3939C4F68E4}" id="{563523CC-B1EE-4579-A711-9EFAE758B383}">
    <text>body massage 2 personnes + foot 1 personnes 600 +tip Paul 150 + Hoa 100</text>
  </threadedComment>
  <threadedComment ref="AE18" dT="2019-11-23T15:20:02.20" personId="{74C52296-DACD-417A-A997-F3939C4F68E4}" id="{329ED5B8-F03E-4146-8F46-EDA8F52B9825}">
    <text>Home stay pour une sieste de 1h30 !</text>
  </threadedComment>
  <threadedComment ref="F20" dT="2019-11-08T20:43:49.19" personId="{74C52296-DACD-417A-A997-F3939C4F68E4}" id="{E4F0D7C1-4C20-4320-A7BD-BA0AB678B56C}">
    <text>taxi aeroport</text>
  </threadedComment>
  <threadedComment ref="O20" dT="2019-11-08T20:43:23.15" personId="{74C52296-DACD-417A-A997-F3939C4F68E4}" id="{67995A6D-F72B-4BB2-9A26-881647F5EE2B}">
    <text>limousine</text>
  </threadedComment>
  <threadedComment ref="U20" dT="2019-11-13T12:37:43.74" personId="{74C52296-DACD-417A-A997-F3939C4F68E4}" id="{71DBC9BE-BB9A-4161-BDCE-EAEF3B04D74E}">
    <text>location scoot 135 par jour 50 + 100 assurance</text>
  </threadedComment>
  <threadedComment ref="V20" dT="2019-11-13T12:37:43.74" personId="{74C52296-DACD-417A-A997-F3939C4F68E4}" id="{7C6F47B1-A563-4FC9-901C-3BA182940DBD}">
    <text>location scoot 135 par jour 50 + 100 assurance</text>
  </threadedComment>
  <threadedComment ref="W20" dT="2019-11-13T12:37:43.74" personId="{74C52296-DACD-417A-A997-F3939C4F68E4}" id="{324F386D-7E62-4D8B-B8F0-9CD3AC42A94C}">
    <text>location scoot 135 par jour 50 + 100 assurance</text>
  </threadedComment>
  <threadedComment ref="AC20" dT="2019-11-23T14:48:08.38" personId="{74C52296-DACD-417A-A997-F3939C4F68E4}" id="{59B1BC1E-557F-49E9-AACB-1ECA4E45E09B}">
    <text>Aeropot Hanoi 300, airpot hotel da nang 200 plus atente, taxi soiree Hoi An 350 plus attente</text>
  </threadedComment>
  <threadedComment ref="F21" dT="2019-11-08T20:45:56.30" personId="{74C52296-DACD-417A-A997-F3939C4F68E4}" id="{6C2C4DCE-B7DA-4F80-AC63-7D840FFEB041}">
    <text>VISA AEROPORT + AGENCE UT</text>
  </threadedComment>
  <threadedComment ref="G22" dT="2019-11-08T19:11:00.33" personId="{74C52296-DACD-417A-A997-F3939C4F68E4}" id="{4AE31102-BCBF-4960-AFA2-E4DB5FD28425}">
    <text>couteau, bacs plastique, serviettes</text>
  </threadedComment>
  <threadedComment ref="I22" dT="2019-11-08T19:14:09.81" personId="{74C52296-DACD-417A-A997-F3939C4F68E4}" id="{87289908-E53E-4851-9FC8-5A882086024B}">
    <text>torchons</text>
  </threadedComment>
  <threadedComment ref="J22" dT="2019-11-08T19:16:38.20" personId="{74C52296-DACD-417A-A997-F3939C4F68E4}" id="{2BD70663-3165-43CE-8491-67905350840A}">
    <text>Ear phones</text>
  </threadedComment>
  <threadedComment ref="AO22" dT="2019-12-05T08:20:00.29" personId="{74C52296-DACD-417A-A997-F3939C4F68E4}" id="{96A138FA-BC48-4408-A35B-470A3AE844F5}">
    <text>6 couteaux 3 plateaux coupelles et chaussettes</text>
  </threadedComment>
  <threadedComment ref="AQ22" dT="2019-12-05T08:29:38.67" personId="{74C52296-DACD-417A-A997-F3939C4F68E4}" id="{E12EBF9C-C464-41E7-8C67-19C32BF2CDF7}">
    <text>valise 1600 coupelle 450</text>
  </threadedComment>
  <threadedComment ref="AQ22" dT="2019-12-05T08:34:05.74" personId="{74C52296-DACD-417A-A997-F3939C4F68E4}" id="{13A0EE6B-ADE2-472B-A26B-FCA20ED8D90C}" parentId="{E12EBF9C-C464-41E7-8C67-19C32BF2CDF7}">
    <text>+ citronelle et tamarin 50 230</text>
  </threadedComment>
  <threadedComment ref="AR22" dT="2019-12-05T08:42:21.56" personId="{74C52296-DACD-417A-A997-F3939C4F68E4}" id="{324C5754-2F28-4B6E-92B1-6362415E4B2D}">
    <text>6 dentifrice</text>
  </threadedComment>
  <threadedComment ref="H23" dT="2019-11-08T19:13:09.46" personId="{74C52296-DACD-417A-A997-F3939C4F68E4}" id="{35E40097-14CC-4008-BF9F-F3567B99B4DC}">
    <text>2T shirt et un short</text>
  </threadedComment>
  <threadedComment ref="L23" dT="2019-11-08T19:24:04.32" personId="{74C52296-DACD-417A-A997-F3939C4F68E4}" id="{C16FE0CA-F0EA-4673-8BD9-03BF9E450C15}">
    <text>ceinture</text>
  </threadedComment>
  <threadedComment ref="O23" dT="2019-11-08T19:35:13.39" personId="{74C52296-DACD-417A-A997-F3939C4F68E4}" id="{2175241E-C9C3-41DC-A9F8-7268D2817F8C}">
    <text>3 slips</text>
  </threadedComment>
  <threadedComment ref="AB23" dT="2019-11-23T14:37:11.54" personId="{74C52296-DACD-417A-A997-F3939C4F68E4}" id="{156B28F2-5837-40F4-8421-CAEFE1FB2292}">
    <text>2 slips</text>
  </threadedComment>
  <threadedComment ref="AN23" dT="2019-12-05T08:22:34.60" personId="{74C52296-DACD-417A-A997-F3939C4F68E4}" id="{12FA848F-9619-48BF-817B-0B5A2AE7482B}">
    <text>Pantalon Paul</text>
  </threadedComment>
  <threadedComment ref="AO23" dT="2019-12-05T08:22:52.75" personId="{74C52296-DACD-417A-A997-F3939C4F68E4}" id="{F70FF0F0-D6EC-4470-AD83-DB08B5854302}">
    <text>Tissu pour 2 chemises</text>
  </threadedComment>
  <threadedComment ref="AQ23" dT="2019-12-05T08:30:59.26" personId="{74C52296-DACD-417A-A997-F3939C4F68E4}" id="{18636209-36DD-4BBD-AAF9-F9AFAB70E322}">
    <text>coupe vent 900 et 220 2 thisxhirts</text>
  </threadedComment>
  <threadedComment ref="AR23" dT="2019-12-05T08:36:05.64" personId="{74C52296-DACD-417A-A997-F3939C4F68E4}" id="{8173BE7A-C203-46A9-9674-13FA7E326803}">
    <text>confection 2 chemises</text>
  </threadedComment>
  <threadedComment ref="AO24" dT="2019-12-05T08:23:14.77" personId="{74C52296-DACD-417A-A997-F3939C4F68E4}" id="{14515282-0B9A-43D0-ABCE-B71EC2CE6AC9}">
    <text>Carré soie Simone</text>
  </threadedComment>
  <threadedComment ref="AQ24" dT="2019-12-05T09:22:22.64" personId="{74C52296-DACD-417A-A997-F3939C4F68E4}" id="{CE4C5CBA-4D72-4F86-941E-31C5CACD0C0C}">
    <text>ajustement tresorerie 400 par 3</text>
  </threadedComment>
  <threadedComment ref="AR24" dT="2019-12-05T08:46:16.91" personId="{74C52296-DACD-417A-A997-F3939C4F68E4}" id="{82AEC575-E28F-4A34-9104-992BCB5BE64C}">
    <text>6 cartouches de cigarette, 100 € pour plaque cuisson Hoa</text>
  </threadedComment>
  <threadedComment ref="E59" dT="2019-12-05T09:02:12.32" personId="{74C52296-DACD-417A-A997-F3939C4F68E4}" id="{AC068297-C7BC-4EE9-9AD6-BD703CE0EE06}">
    <text>Parfum Hoa</text>
  </threadedComment>
</ThreadedComments>
</file>

<file path=xl/threadedComments/threadedComment4.xml><?xml version="1.0" encoding="utf-8"?>
<ThreadedComments xmlns="http://schemas.microsoft.com/office/spreadsheetml/2018/threadedcomments" xmlns:x="http://schemas.openxmlformats.org/spreadsheetml/2006/main">
  <threadedComment ref="AY7" dT="2019-08-16T16:18:37.35" personId="{74C52296-DACD-417A-A997-F3939C4F68E4}" id="{808E64B2-A581-4390-A484-FF4D70CA45F4}">
    <text>prix du vol defalqué de 400 € derniere minute</text>
  </threadedComment>
  <threadedComment ref="Z8" dT="2019-08-22T16:15:13.50" personId="{74C52296-DACD-417A-A997-F3939C4F68E4}" id="{BCB13A06-95D9-4C45-9065-A87487D2CAE2}">
    <text>que suis je dans le SPA</text>
  </threadedComment>
  <threadedComment ref="AA8" dT="2019-08-22T16:15:13.50" personId="{74C52296-DACD-417A-A997-F3939C4F68E4}" id="{22CBA745-9B25-4EB3-9A63-AE9B4C7DAED7}">
    <text>que suis je dans le SPA</text>
  </threadedComment>
  <threadedComment ref="AY9" dT="2019-08-16T15:54:32.83" personId="{74C52296-DACD-417A-A997-F3939C4F68E4}" id="{6CF1CB1D-A4E8-4AC4-B27B-31E951FA0363}">
    <text>annulation non realisée sur Hanoi Chic hotel + surcout avion derniere minutre</text>
  </threadedComment>
  <threadedComment ref="AJ15" dT="2019-08-26T14:47:43.56" personId="{74C52296-DACD-417A-A997-F3939C4F68E4}" id="{E745A6FA-FD32-4634-A4DB-B4FC512B7E10}">
    <text>ELECTRICITE</text>
  </threadedComment>
  <threadedComment ref="N16" dT="2019-08-22T16:11:27.56" personId="{74C52296-DACD-417A-A997-F3939C4F68E4}" id="{3987BDD7-BFCA-4F7D-881F-5798C663DE73}">
    <text>19 + pourboire</text>
  </threadedComment>
  <threadedComment ref="V16" dT="2019-08-22T16:11:27.56" personId="{74C52296-DACD-417A-A997-F3939C4F68E4}" id="{E34D1AD3-9230-4C49-8F44-54257C04B8C3}">
    <text>19 + pourboire</text>
  </threadedComment>
  <threadedComment ref="Y16" dT="2019-08-22T16:11:27.56" personId="{74C52296-DACD-417A-A997-F3939C4F68E4}" id="{F5891E71-3E70-4D0F-8E55-DB6A2D0D767D}">
    <text>19 + pourboire</text>
  </threadedComment>
  <threadedComment ref="Z16" dT="2019-08-22T16:34:36.57" personId="{74C52296-DACD-417A-A997-F3939C4F68E4}" id="{724BAA96-1C77-4554-8BD9-038FBD99FB10}">
    <text>80 essence scooter Hoa</text>
  </threadedComment>
  <threadedComment ref="AA16" dT="2019-08-22T16:11:27.56" personId="{74C52296-DACD-417A-A997-F3939C4F68E4}" id="{F62C1A50-ACBF-4F32-8FEC-95688A1D921B}">
    <text>19 + pourboire</text>
  </threadedComment>
  <threadedComment ref="AB16" dT="2019-08-22T16:11:27.56" personId="{74C52296-DACD-417A-A997-F3939C4F68E4}" id="{525F85A4-CF0F-4A2C-B8F1-69604E61D4AF}">
    <text>19 + pourboire</text>
  </threadedComment>
  <threadedComment ref="AC16" dT="2019-08-22T16:11:27.56" personId="{74C52296-DACD-417A-A997-F3939C4F68E4}" id="{22F7DEB9-4FAE-4CF3-8943-4D2E3EF11DD0}">
    <text>19 + pourboire</text>
  </threadedComment>
  <threadedComment ref="AD16" dT="2019-08-22T16:35:23.00" personId="{74C52296-DACD-417A-A997-F3939C4F68E4}" id="{D60559C7-6A53-49C8-9625-CB15145D2F0E}">
    <text>grab pour prendre la limousine</text>
  </threadedComment>
  <threadedComment ref="AF16" dT="2019-08-22T16:34:36.57" personId="{74C52296-DACD-417A-A997-F3939C4F68E4}" id="{13E6640A-40C2-407D-A8ED-578DBA1888E7}">
    <text>80 essence scooter Hoa</text>
  </threadedComment>
  <threadedComment ref="AK17" dT="2019-09-09T23:11:23.53" personId="{74C52296-DACD-417A-A997-F3939C4F68E4}" id="{DF4E6415-D1DE-4002-9F5C-828FEBBF9964}">
    <text>MONTANT DE CADRAGE 27€</text>
  </threadedComment>
  <threadedComment ref="E21" dT="2019-08-02T16:52:27.98" personId="{74C52296-DACD-417A-A997-F3939C4F68E4}" id="{685B966A-31C0-48FA-8A1F-B3CB901862E6}">
    <text>frais de change des 18000 € (3584) et agence pour visa 7700</text>
  </threadedComment>
  <threadedComment ref="F21" dT="2019-08-02T15:56:50.18" personId="{74C52296-DACD-417A-A997-F3939C4F68E4}" id="{EED73391-E092-445E-910F-37CB28B9B866}">
    <text>Visa Paul</text>
  </threadedComment>
  <threadedComment ref="AC22" dT="2019-08-22T16:13:23.24" personId="{74C52296-DACD-417A-A997-F3939C4F68E4}" id="{EA4B6AA8-259D-418B-AF11-B820719CC37A}">
    <text>coiffeur + tip</text>
  </threadedComment>
  <threadedComment ref="AF22" dT="2019-08-22T16:40:49.13" personId="{74C52296-DACD-417A-A997-F3939C4F68E4}" id="{5A8ACE53-CD00-4A09-A94B-D0BE1851083E}">
    <text>slip excellent</text>
  </threadedComment>
  <threadedComment ref="AH22" dT="2019-08-24T15:16:00.83" personId="{74C52296-DACD-417A-A997-F3939C4F68E4}" id="{4BA79049-B281-46B6-8969-CE3A271C892F}">
    <text>Kam 10 tablets de 4 +50 de slip</text>
  </threadedComment>
  <threadedComment ref="AI22" dT="2019-08-26T14:36:47.62" personId="{74C52296-DACD-417A-A997-F3939C4F68E4}" id="{D0C1CD2D-5385-4D45-AA52-E620ACE0CF11}">
    <text>CHEMISE SOIE BLEUE</text>
  </threadedComment>
  <threadedComment ref="AJ22" dT="2019-08-26T14:39:50.99" personId="{74C52296-DACD-417A-A997-F3939C4F68E4}" id="{50CD546E-C4D6-4D2E-8FCC-EEF5FCFD7576}">
    <text>3 COUTEAUX</text>
  </threadedComment>
  <threadedComment ref="AF24" dT="2019-08-22T16:41:53.62" personId="{74C52296-DACD-417A-A997-F3939C4F68E4}" id="{B3AF54C0-454C-460D-A5A9-096F8DF90A0E}">
    <text>3 cartouches de cigarettes</text>
  </threadedComment>
  <threadedComment ref="AH24" dT="2019-08-24T15:11:26.58" personId="{74C52296-DACD-417A-A997-F3939C4F68E4}" id="{8264FB6D-2721-4B40-A4EF-5DEE52A94E1C}">
    <text>robe de chambre Chito 300 Caro 200 maman 200 Margaux 100</text>
  </threadedComment>
  <threadedComment ref="AI24" dT="2019-08-26T14:38:20.77" personId="{74C52296-DACD-417A-A997-F3939C4F68E4}" id="{2FA5681D-4C7B-44FE-9AEE-230C673DDB85}">
    <text>Chemise noire soie Thierry 750 poncho Maga 250 Poncho Laura 250</text>
  </threadedComment>
  <threadedComment ref="AJ24" dT="2019-08-26T14:40:21.66" personId="{74C52296-DACD-417A-A997-F3939C4F68E4}" id="{082EAA57-F6D2-446C-B209-76697158747B}">
    <text>Robe Hoa</text>
  </threadedComment>
  <threadedComment ref="E50" dT="2019-08-27T17:28:02.65" personId="{74C52296-DACD-417A-A997-F3939C4F68E4}" id="{EA330B3B-A419-4185-90BC-E72E1D132514}">
    <text>erreur de reservation</text>
  </threadedComment>
  <threadedComment ref="E56" dT="2019-08-27T17:27:38.94" personId="{74C52296-DACD-417A-A997-F3939C4F68E4}" id="{EEE1F88F-69F8-45B8-B834-3E1807366FF7}">
    <text>avion</text>
  </threadedComment>
  <threadedComment ref="F56" dT="2019-08-02T15:56:50.18" personId="{74C52296-DACD-417A-A997-F3939C4F68E4}" id="{317E3E69-4B7F-491D-BFD7-D2029CBFEE29}">
    <text>Visa Paul</text>
  </threadedComment>
  <threadedComment ref="G56" dT="2019-09-09T22:39:57.57" personId="{74C52296-DACD-417A-A997-F3939C4F68E4}" id="{CB49896A-F518-46BB-9206-3A7398EAD2D0}">
    <text>frais de transfert des 18000€</text>
  </threadedComment>
</ThreadedComments>
</file>

<file path=xl/threadedComments/threadedComment5.xml><?xml version="1.0" encoding="utf-8"?>
<ThreadedComments xmlns="http://schemas.microsoft.com/office/spreadsheetml/2018/threadedcomments" xmlns:x="http://schemas.openxmlformats.org/spreadsheetml/2006/main">
  <threadedComment ref="X7" dT="2019-04-21T12:21:17.68" personId="{74C52296-DACD-417A-A997-F3939C4F68E4}" id="{759788C4-3A48-450B-BC96-A50D35514A8B}">
    <text>Pho extraordinaire 30 m de queue</text>
  </threadedComment>
  <threadedComment ref="F8" dT="2019-04-09T17:21:55.91" personId="{74C52296-DACD-417A-A997-F3939C4F68E4}" id="{F91C72B6-0DB8-447A-8FC7-6ADBF670BC91}">
    <text>420 CHA CA HOA</text>
  </threadedComment>
  <threadedComment ref="I8" dT="2019-04-09T17:22:40.25" personId="{74C52296-DACD-417A-A997-F3939C4F68E4}" id="{D26805CB-869B-4503-ADAC-3B8B290578D3}">
    <text>CHA CA HOA 420</text>
  </threadedComment>
  <threadedComment ref="K8" dT="2019-04-09T17:29:22.90" personId="{74C52296-DACD-417A-A997-F3939C4F68E4}" id="{76D6BE04-FAD6-4983-9ABD-9861E49BBFBD}">
    <text>SALMONIDES</text>
  </threadedComment>
  <threadedComment ref="M8" dT="2019-04-11T01:16:03.18" personId="{74C52296-DACD-417A-A997-F3939C4F68E4}" id="{51F9BFD7-AE8D-4C7C-9FB1-1DA46CD3BFC6}">
    <text>RRESTAURANT FRUIT DE MER</text>
  </threadedComment>
  <threadedComment ref="N8" dT="2019-04-15T01:52:28.25" personId="{74C52296-DACD-417A-A997-F3939C4F68E4}" id="{4C743AFB-F638-406C-8675-D628697209A7}">
    <text>diner ptit boiboui sympa, toast desagreable</text>
  </threadedComment>
  <threadedComment ref="O8" dT="2019-04-15T01:49:01.58" personId="{74C52296-DACD-417A-A997-F3939C4F68E4}" id="{2025573D-CF68-441D-8238-3CEAA0346B58}">
    <text>diner avec amie de Hoa, episode de l'allemand. moment douloureux</text>
  </threadedComment>
  <threadedComment ref="Q8" dT="2019-04-15T02:01:39.88" personId="{74C52296-DACD-417A-A997-F3939C4F68E4}" id="{6B1FD3D9-3E0F-428D-91C7-EDC30FA63422}">
    <text>dont repas indien</text>
  </threadedComment>
  <threadedComment ref="S8" dT="2019-04-21T11:59:58.52" personId="{74C52296-DACD-417A-A997-F3939C4F68E4}" id="{029F3023-E49D-430E-A75D-2D2E6C508950}">
    <text>FDM</text>
  </threadedComment>
  <threadedComment ref="U8" dT="2019-04-21T12:05:04.23" personId="{74C52296-DACD-417A-A997-F3939C4F68E4}" id="{626331A3-4201-4914-9B30-0817F3CC69BE}">
    <text>restau japonais copines de Hoa</text>
  </threadedComment>
  <threadedComment ref="X8" dT="2019-04-21T12:21:48.42" personId="{74C52296-DACD-417A-A997-F3939C4F68E4}" id="{7478BBD3-5455-4C7D-BA48-8CC90D11231E}">
    <text>Restaurant fruit de mer avec Hoa</text>
  </threadedComment>
  <threadedComment ref="K9" dT="2019-04-09T17:29:56.74" personId="{74C52296-DACD-417A-A997-F3939C4F68E4}" id="{65AC22B2-BDC7-405A-9909-5D9C1DAB4A95}">
    <text>fruits de mer</text>
  </threadedComment>
  <threadedComment ref="AN10" dT="2019-05-15T08:34:41.30" personId="{74C52296-DACD-417A-A997-F3939C4F68E4}" id="{D2766FCA-AC66-48B4-BE88-B821AF28A9DC}">
    <text>ECART D4INVENTAIRE</text>
  </threadedComment>
  <threadedComment ref="G12" dT="2019-04-09T18:16:39.25" personId="{74C52296-DACD-417A-A997-F3939C4F68E4}" id="{9D6B4289-918B-4BE7-8481-E8EFC783B0C3}">
    <text>laundry</text>
  </threadedComment>
  <threadedComment ref="K12" dT="2019-04-09T18:37:58.39" personId="{74C52296-DACD-417A-A997-F3939C4F68E4}" id="{7D302F78-B6C1-4FEA-8576-B3E83CFCC176}">
    <text>dt 250 de pressing</text>
  </threadedComment>
  <threadedComment ref="V13" dT="2019-04-21T12:07:21.68" personId="{74C52296-DACD-417A-A997-F3939C4F68E4}" id="{8A8C604F-D864-4BB8-BA8D-619E6898DE75}">
    <text>FLAMINGO</text>
  </threadedComment>
  <threadedComment ref="P14" dT="2019-04-15T02:04:34.74" personId="{74C52296-DACD-417A-A997-F3939C4F68E4}" id="{87C78A5F-B65B-4022-A792-3E492C67D27D}">
    <text>Aller a Tam Coc</text>
  </threadedComment>
  <threadedComment ref="O15" dT="2019-04-15T01:57:35.21" personId="{74C52296-DACD-417A-A997-F3939C4F68E4}" id="{8854C8F3-B9CE-45D2-928F-AB4FE012D99B}">
    <text>250 location moto, 200 temple 500 statues</text>
  </threadedComment>
  <threadedComment ref="P15" dT="2019-04-15T02:01:00.56" personId="{74C52296-DACD-417A-A997-F3939C4F68E4}" id="{A5BC49F2-1CC2-48EA-B120-775339A95B71}">
    <text>MOTO</text>
  </threadedComment>
  <threadedComment ref="K16" dT="2019-04-09T17:51:35.16" personId="{74C52296-DACD-417A-A997-F3939C4F68E4}" id="{E90E0100-7172-47F6-AEB5-A8FB846BF5F7}">
    <text>PEDICURE</text>
  </threadedComment>
  <threadedComment ref="U16" dT="2019-04-21T12:12:53.16" personId="{74C52296-DACD-417A-A997-F3939C4F68E4}" id="{F851928C-79C6-4EFE-B028-3D271D168387}">
    <text>massage body</text>
  </threadedComment>
  <threadedComment ref="N18" dT="2019-04-11T01:17:17.60" personId="{74C52296-DACD-417A-A997-F3939C4F68E4}" id="{9845CE82-DA78-425B-8948-48AE62FE9254}">
    <text>limousine Ninh binh</text>
  </threadedComment>
  <threadedComment ref="O18" dT="2019-04-15T02:04:14.77" personId="{74C52296-DACD-417A-A997-F3939C4F68E4}" id="{930B4202-2E8E-48E4-A014-6B3637396527}">
    <text>Aller retour Ninh Binh</text>
  </threadedComment>
  <threadedComment ref="P18" dT="2019-04-15T02:04:34.74" personId="{74C52296-DACD-417A-A997-F3939C4F68E4}" id="{EBAA2DF7-867E-449C-BF32-448AB5192A7F}">
    <text>Aller a Tam Coc</text>
  </threadedComment>
  <threadedComment ref="J20" dT="2019-04-09T17:26:36.54" personId="{74C52296-DACD-417A-A997-F3939C4F68E4}" id="{339C8910-A06E-4A98-AAD6-73A5B934B3CD}">
    <text>PORTE IPHONE SCOOTER</text>
  </threadedComment>
  <threadedComment ref="K20" dT="2019-04-09T17:27:42.85" personId="{74C52296-DACD-417A-A997-F3939C4F68E4}" id="{1605D169-42E9-4441-9898-D85C89139C56}">
    <text>TELEPHONIE</text>
  </threadedComment>
  <threadedComment ref="L20" dT="2019-04-09T17:38:12.87" personId="{74C52296-DACD-417A-A997-F3939C4F68E4}" id="{8BC0BD50-C49C-45DB-958A-6E98A289156A}">
    <text>2 pantalons 2 chemises (Hoa) banane</text>
  </threadedComment>
  <threadedComment ref="M20" dT="2019-04-11T01:16:45.54" personId="{74C52296-DACD-417A-A997-F3939C4F68E4}" id="{E416D4A1-328E-4907-A987-546F1546A647}">
    <text>2 chemises et valise Hoa</text>
  </threadedComment>
  <threadedComment ref="V20" dT="2019-04-21T12:03:59.72" personId="{74C52296-DACD-417A-A997-F3939C4F68E4}" id="{651E467C-F365-4AC8-8C59-C343377856C5}">
    <text>CROCS</text>
  </threadedComment>
  <threadedComment ref="W20" dT="2019-04-21T12:11:59.28" personId="{74C52296-DACD-417A-A997-F3939C4F68E4}" id="{00E9C4EF-D016-4CFF-B05D-D8DA385FAC67}">
    <text>Nuoc 200 et plastic pour nems 150</text>
  </threadedComment>
  <threadedComment ref="S21" dT="2019-04-21T12:01:14.10" personId="{74C52296-DACD-417A-A997-F3939C4F68E4}" id="{86A5602B-83C0-48FF-AEE5-3DE1F1F16BEB}">
    <text>ACOMPTE " CHEMISES</text>
  </threadedComment>
  <threadedComment ref="U21" dT="2019-04-21T12:10:18.17" personId="{74C52296-DACD-417A-A997-F3939C4F68E4}" id="{415C04B0-9E0C-49CB-9102-AE2CB98D9EFE}">
    <text>solde 3 chemises (1500 +500) et 15 $ de lettres</text>
  </threadedComment>
  <threadedComment ref="X21" dT="2019-04-22T14:05:39.51" personId="{74C52296-DACD-417A-A997-F3939C4F68E4}" id="{61DE1C37-E8F8-44F2-9797-6FF0B121CF1B}">
    <text>2 chemisess soie Paul</text>
  </threadedComment>
  <threadedComment ref="N22" dT="2019-04-22T14:04:54.11" personId="{74C52296-DACD-417A-A997-F3939C4F68E4}" id="{D950EB31-B042-4762-BD05-C8A875B399EE}">
    <text>valise Paul puis Hoa</text>
  </threadedComment>
  <threadedComment ref="S22" dT="2019-04-21T12:01:48.87" personId="{74C52296-DACD-417A-A997-F3939C4F68E4}" id="{04F5C6D9-D204-40F8-8BD5-DF52BE0A674D}">
    <text>CADEAU THIERRY + CADEAU MAMAN</text>
  </threadedComment>
  <threadedComment ref="H40" dT="2019-02-21T12:18:56.56" personId="{1B721D0F-5888-42AB-B691-C1F354DE0D1B}" id="{6B4581C1-131F-414A-A1EC-FC70B385ADD4}">
    <text>Vol vers Danang</text>
  </threadedComment>
  <threadedComment ref="I46" dT="2019-04-22T14:22:10.99" personId="{74C52296-DACD-417A-A997-F3939C4F68E4}" id="{BBD0BF74-DF99-41D9-AAB0-E05BC1FD976F}">
    <text>non utilisation Airbnb</text>
  </threadedComment>
  <threadedComment ref="L46" dT="2019-04-11T01:24:40.85" personId="{74C52296-DACD-417A-A997-F3939C4F68E4}" id="{83E926DB-8206-44B7-BC4D-86AF8009220B}">
    <text>Tam Coc annulé</text>
  </threadedComment>
  <threadedComment ref="F52" dT="2019-04-22T14:01:11.23" personId="{74C52296-DACD-417A-A997-F3939C4F68E4}" id="{D6509951-6EC5-4042-8A06-02F3BAEBFE12}">
    <text>bus entre les 2 aeroports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5"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5" Type="http://schemas.microsoft.com/office/2017/10/relationships/threadedComment" Target="../threadedComments/threadedComment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 Id="rId5"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6"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4"/>
  <sheetViews>
    <sheetView topLeftCell="A5" zoomScaleNormal="100" workbookViewId="0">
      <selection activeCell="AJ28" sqref="AJ28"/>
    </sheetView>
  </sheetViews>
  <sheetFormatPr baseColWidth="10" defaultRowHeight="14.4" outlineLevelRow="1" outlineLevelCol="1"/>
  <cols>
    <col min="1" max="1" width="4.21875" customWidth="1"/>
    <col min="2" max="2" width="9.21875" style="2" bestFit="1" customWidth="1"/>
    <col min="3" max="3" width="7.33203125" style="2" customWidth="1"/>
    <col min="4" max="4" width="7.6640625" style="2" customWidth="1"/>
    <col min="5" max="5" width="10.5546875" style="2" customWidth="1"/>
    <col min="6" max="8" width="9.33203125" style="2" customWidth="1"/>
    <col min="9" max="9" width="8.88671875" style="18" hidden="1" customWidth="1" outlineLevel="1"/>
    <col min="10" max="10" width="16.33203125" style="2" hidden="1" customWidth="1" outlineLevel="1"/>
    <col min="11" max="11" width="3.88671875" style="2" hidden="1" customWidth="1" outlineLevel="1"/>
    <col min="12" max="13" width="11.44140625" style="2" hidden="1" customWidth="1" outlineLevel="1"/>
    <col min="14" max="14" width="7.44140625" style="2" hidden="1" customWidth="1" outlineLevel="1" collapsed="1"/>
    <col min="15" max="18" width="7.44140625" style="2" hidden="1" customWidth="1" outlineLevel="1"/>
    <col min="19" max="20" width="9.44140625" style="2" hidden="1" customWidth="1" outlineLevel="1"/>
    <col min="21" max="21" width="13.6640625" style="2" hidden="1" customWidth="1" outlineLevel="1"/>
    <col min="22" max="22" width="9.88671875" style="2" hidden="1" customWidth="1" outlineLevel="1" collapsed="1"/>
    <col min="23" max="23" width="15" style="2" hidden="1" customWidth="1" outlineLevel="1"/>
    <col min="24" max="24" width="11.5546875" style="2" hidden="1" customWidth="1" outlineLevel="1"/>
    <col min="25" max="25" width="11.5546875" style="2" customWidth="1" collapsed="1"/>
    <col min="26" max="26" width="13.33203125" style="2" hidden="1" customWidth="1" outlineLevel="1"/>
    <col min="27" max="27" width="8.77734375" style="2" customWidth="1" collapsed="1"/>
    <col min="28" max="29" width="5.5546875" style="2" customWidth="1"/>
    <col min="30" max="30" width="13.21875" style="2" customWidth="1"/>
    <col min="31" max="32" width="6.33203125" customWidth="1"/>
    <col min="33" max="33" width="5.21875" customWidth="1"/>
    <col min="34" max="34" width="5.6640625" customWidth="1"/>
    <col min="35" max="35" width="11.5546875" customWidth="1"/>
  </cols>
  <sheetData>
    <row r="1" spans="1:46" hidden="1" outlineLevel="1">
      <c r="AN1" s="2">
        <v>1</v>
      </c>
      <c r="AO1" s="2">
        <v>2</v>
      </c>
      <c r="AP1" s="2">
        <v>3</v>
      </c>
      <c r="AQ1" s="2">
        <v>4</v>
      </c>
      <c r="AR1" s="2">
        <v>5</v>
      </c>
      <c r="AS1" s="2">
        <v>6</v>
      </c>
      <c r="AT1" s="2">
        <v>7</v>
      </c>
    </row>
    <row r="2" spans="1:46" hidden="1" outlineLevel="1">
      <c r="AN2" s="2" t="s">
        <v>823</v>
      </c>
      <c r="AO2" s="2" t="s">
        <v>1207</v>
      </c>
      <c r="AP2" s="2" t="s">
        <v>1208</v>
      </c>
      <c r="AQ2" s="2" t="s">
        <v>1209</v>
      </c>
      <c r="AR2" s="2" t="s">
        <v>1210</v>
      </c>
      <c r="AS2" s="2" t="s">
        <v>1211</v>
      </c>
      <c r="AT2" s="2" t="s">
        <v>1212</v>
      </c>
    </row>
    <row r="3" spans="1:46" hidden="1" outlineLevel="1">
      <c r="I3" s="2"/>
      <c r="AN3" s="2" t="s">
        <v>1213</v>
      </c>
      <c r="AO3" s="2" t="s">
        <v>1214</v>
      </c>
      <c r="AP3" s="2" t="s">
        <v>1215</v>
      </c>
      <c r="AQ3" s="2" t="s">
        <v>1216</v>
      </c>
      <c r="AR3" s="2" t="s">
        <v>1217</v>
      </c>
      <c r="AS3" s="2" t="s">
        <v>1218</v>
      </c>
      <c r="AT3" s="2" t="s">
        <v>1219</v>
      </c>
    </row>
    <row r="4" spans="1:46" hidden="1" outlineLevel="1">
      <c r="I4" s="2"/>
    </row>
    <row r="5" spans="1:46" collapsed="1">
      <c r="I5" s="2"/>
    </row>
    <row r="6" spans="1:46">
      <c r="I6" s="2"/>
    </row>
    <row r="7" spans="1:46">
      <c r="I7" s="2"/>
    </row>
    <row r="8" spans="1:46">
      <c r="B8" s="2" t="s">
        <v>1220</v>
      </c>
      <c r="C8" s="4" t="str">
        <f>[1]tableau!A8</f>
        <v>Date</v>
      </c>
      <c r="D8" s="4" t="s">
        <v>796</v>
      </c>
      <c r="E8" s="4" t="s">
        <v>1221</v>
      </c>
      <c r="F8" s="4" t="s">
        <v>1222</v>
      </c>
      <c r="G8" s="4" t="s">
        <v>1223</v>
      </c>
      <c r="H8" s="4" t="s">
        <v>1224</v>
      </c>
      <c r="I8" s="18" t="s">
        <v>1225</v>
      </c>
      <c r="J8" s="4" t="s">
        <v>1226</v>
      </c>
      <c r="K8" s="4" t="s">
        <v>1227</v>
      </c>
      <c r="L8" s="4" t="s">
        <v>1228</v>
      </c>
      <c r="M8" s="4" t="s">
        <v>1229</v>
      </c>
      <c r="N8" s="4" t="s">
        <v>1230</v>
      </c>
      <c r="O8" s="4" t="s">
        <v>1220</v>
      </c>
      <c r="P8" s="4" t="s">
        <v>796</v>
      </c>
      <c r="Q8" s="4" t="s">
        <v>1231</v>
      </c>
      <c r="R8" s="4" t="s">
        <v>1232</v>
      </c>
      <c r="S8" s="4" t="s">
        <v>1233</v>
      </c>
      <c r="T8" s="4" t="s">
        <v>1234</v>
      </c>
      <c r="U8" s="4" t="s">
        <v>1235</v>
      </c>
      <c r="V8" s="4" t="s">
        <v>1236</v>
      </c>
      <c r="W8" s="4" t="s">
        <v>1237</v>
      </c>
      <c r="X8" s="4" t="s">
        <v>1238</v>
      </c>
      <c r="Y8" s="4"/>
      <c r="Z8" s="4" t="s">
        <v>1239</v>
      </c>
      <c r="AA8" s="4" t="s">
        <v>1240</v>
      </c>
      <c r="AB8" s="4" t="s">
        <v>1241</v>
      </c>
      <c r="AC8" s="4" t="s">
        <v>1242</v>
      </c>
      <c r="AE8" s="327">
        <v>11</v>
      </c>
      <c r="AF8" s="327">
        <v>12</v>
      </c>
      <c r="AG8" s="327">
        <v>13</v>
      </c>
      <c r="AH8" s="327">
        <v>14</v>
      </c>
      <c r="AI8" s="327">
        <v>15</v>
      </c>
      <c r="AJ8" s="327">
        <v>16</v>
      </c>
      <c r="AK8" s="327">
        <v>4</v>
      </c>
    </row>
    <row r="9" spans="1:46">
      <c r="B9"/>
      <c r="C9"/>
      <c r="D9"/>
      <c r="E9"/>
      <c r="F9"/>
      <c r="G9"/>
      <c r="H9"/>
      <c r="I9" s="517"/>
      <c r="J9"/>
      <c r="K9"/>
      <c r="L9"/>
      <c r="M9"/>
      <c r="N9"/>
      <c r="O9"/>
      <c r="P9"/>
      <c r="Q9"/>
      <c r="R9"/>
      <c r="S9"/>
      <c r="T9"/>
      <c r="U9"/>
      <c r="V9"/>
      <c r="W9"/>
      <c r="X9"/>
      <c r="Y9"/>
      <c r="Z9"/>
      <c r="AA9"/>
      <c r="AB9"/>
      <c r="AC9"/>
      <c r="AD9"/>
    </row>
    <row r="10" spans="1:46">
      <c r="B10"/>
      <c r="C10"/>
      <c r="D10"/>
      <c r="E10"/>
      <c r="F10"/>
      <c r="G10"/>
      <c r="H10"/>
      <c r="I10" s="517"/>
      <c r="J10"/>
      <c r="K10"/>
      <c r="L10"/>
      <c r="M10"/>
      <c r="N10"/>
      <c r="O10"/>
      <c r="P10"/>
      <c r="Q10"/>
      <c r="R10"/>
      <c r="S10"/>
      <c r="T10"/>
      <c r="U10"/>
      <c r="V10"/>
      <c r="W10"/>
      <c r="X10"/>
      <c r="Y10"/>
      <c r="AA10"/>
      <c r="AB10"/>
      <c r="AC10"/>
      <c r="AD10"/>
    </row>
    <row r="11" spans="1:46">
      <c r="B11"/>
      <c r="C11"/>
      <c r="D11"/>
      <c r="E11"/>
      <c r="F11"/>
      <c r="G11"/>
      <c r="H11"/>
      <c r="I11" s="517"/>
      <c r="J11"/>
      <c r="K11"/>
      <c r="L11"/>
      <c r="M11"/>
      <c r="N11"/>
      <c r="O11"/>
      <c r="P11"/>
      <c r="Q11"/>
      <c r="R11"/>
      <c r="S11"/>
      <c r="T11"/>
      <c r="U11"/>
      <c r="V11"/>
      <c r="W11"/>
      <c r="X11"/>
      <c r="Y11"/>
      <c r="AA11"/>
      <c r="AB11"/>
      <c r="AC11"/>
      <c r="AD11"/>
    </row>
    <row r="12" spans="1:46" s="518" customFormat="1">
      <c r="B12" s="426">
        <v>701</v>
      </c>
      <c r="C12" s="426" t="s">
        <v>257</v>
      </c>
      <c r="D12" s="426" t="s">
        <v>796</v>
      </c>
      <c r="E12" s="426" t="s">
        <v>1221</v>
      </c>
      <c r="F12" s="426" t="s">
        <v>1243</v>
      </c>
      <c r="G12" s="426" t="s">
        <v>1244</v>
      </c>
      <c r="H12" s="426" t="s">
        <v>1245</v>
      </c>
      <c r="I12" s="519"/>
      <c r="J12" s="426"/>
      <c r="K12" s="426"/>
      <c r="L12" s="426"/>
      <c r="M12" s="426"/>
      <c r="N12" s="426"/>
      <c r="O12" s="426"/>
      <c r="P12" s="426"/>
      <c r="Q12" s="426"/>
      <c r="R12" s="426"/>
      <c r="S12" s="426"/>
      <c r="T12" s="426"/>
      <c r="U12" s="426"/>
      <c r="V12" s="426"/>
      <c r="W12" s="426"/>
      <c r="X12" s="426"/>
      <c r="Y12" s="426" t="s">
        <v>1246</v>
      </c>
      <c r="Z12" s="426" t="s">
        <v>1247</v>
      </c>
      <c r="AA12" s="426"/>
      <c r="AB12" s="4">
        <v>3.8</v>
      </c>
      <c r="AC12" s="426"/>
      <c r="AD12">
        <v>43200</v>
      </c>
      <c r="AE12" s="518" t="s">
        <v>1248</v>
      </c>
      <c r="AF12" s="518" t="s">
        <v>1249</v>
      </c>
      <c r="AG12" s="518" t="s">
        <v>1250</v>
      </c>
      <c r="AH12" s="518" t="s">
        <v>1251</v>
      </c>
      <c r="AI12" s="426"/>
      <c r="AK12" s="518" t="s">
        <v>257</v>
      </c>
    </row>
    <row r="13" spans="1:46" ht="28.8">
      <c r="B13" s="328">
        <v>701</v>
      </c>
      <c r="C13" s="328" t="s">
        <v>1252</v>
      </c>
      <c r="D13" s="328" t="s">
        <v>1253</v>
      </c>
      <c r="E13" s="328" t="s">
        <v>1254</v>
      </c>
      <c r="F13" s="328" t="s">
        <v>1255</v>
      </c>
      <c r="G13" s="328" t="s">
        <v>1244</v>
      </c>
      <c r="H13" s="328" t="s">
        <v>1256</v>
      </c>
      <c r="I13" s="17"/>
      <c r="J13" s="17"/>
      <c r="K13" s="17"/>
      <c r="L13" s="17"/>
      <c r="M13" s="17"/>
      <c r="N13" s="17"/>
      <c r="O13" s="17"/>
      <c r="P13" s="17"/>
      <c r="Q13" s="17"/>
      <c r="R13" s="17"/>
      <c r="S13" s="17"/>
      <c r="T13" s="17"/>
      <c r="U13" s="17"/>
      <c r="V13" s="17"/>
      <c r="W13" s="17"/>
      <c r="X13" s="17"/>
      <c r="Y13" s="328" t="s">
        <v>1257</v>
      </c>
      <c r="Z13" s="328" t="s">
        <v>1258</v>
      </c>
      <c r="AA13" s="17"/>
      <c r="AE13" s="3" t="s">
        <v>1248</v>
      </c>
      <c r="AF13" s="3" t="s">
        <v>1249</v>
      </c>
      <c r="AG13" s="3" t="s">
        <v>1250</v>
      </c>
      <c r="AH13" s="3" t="s">
        <v>1251</v>
      </c>
    </row>
    <row r="14" spans="1:46">
      <c r="B14" s="2" t="str">
        <f t="shared" ref="B14:B26" si="0">HLOOKUP(WEEKDAY(C14,2),$AN$1:$AT$3,3)</f>
        <v>Thứ Ba</v>
      </c>
      <c r="C14" s="520">
        <v>45083</v>
      </c>
      <c r="D14" s="521" t="s">
        <v>1141</v>
      </c>
      <c r="E14" s="522">
        <v>45693</v>
      </c>
      <c r="F14"/>
      <c r="G14"/>
      <c r="H14"/>
      <c r="I14" s="517"/>
      <c r="J14"/>
      <c r="K14"/>
      <c r="L14"/>
      <c r="M14"/>
      <c r="N14"/>
      <c r="O14"/>
      <c r="P14"/>
      <c r="Q14"/>
      <c r="R14"/>
      <c r="S14"/>
      <c r="T14"/>
      <c r="U14"/>
      <c r="V14"/>
      <c r="W14"/>
      <c r="X14"/>
      <c r="Y14"/>
      <c r="Z14"/>
      <c r="AA14"/>
      <c r="AB14"/>
      <c r="AC14"/>
      <c r="AD14"/>
      <c r="AK14" t="s">
        <v>796</v>
      </c>
    </row>
    <row r="15" spans="1:46">
      <c r="A15" t="str">
        <f>HLOOKUP(WEEKDAY(C15,2),$AN$1:$AT$3,2)</f>
        <v>ven</v>
      </c>
      <c r="B15" s="523" t="str">
        <f t="shared" si="0"/>
        <v>Thứ Sáu</v>
      </c>
      <c r="C15" s="524">
        <v>45114</v>
      </c>
      <c r="D15" s="525" t="s">
        <v>1140</v>
      </c>
      <c r="E15" s="526">
        <v>46452</v>
      </c>
      <c r="F15" s="527">
        <f t="shared" ref="F15:F26" si="1">U15</f>
        <v>45369</v>
      </c>
      <c r="G15" s="527">
        <f t="shared" ref="G15:G26" si="2">E15-E14</f>
        <v>759</v>
      </c>
      <c r="H15" s="528">
        <f t="shared" ref="H15:H26" si="3">G15/(F15/60)</f>
        <v>1.0037690934338426</v>
      </c>
      <c r="I15" s="529" t="str">
        <f t="shared" ref="I15:I26" si="4">CONCATENATE(YEAR(C15),N15)</f>
        <v>202307</v>
      </c>
      <c r="J15" s="530">
        <f t="shared" ref="J15:J26" si="5">C15+VALUE(LEFT(D15,2))/24+VALUE(RIGHT(D15,2))/(24*60)</f>
        <v>45114.506249999999</v>
      </c>
      <c r="K15" s="523"/>
      <c r="L15" s="523" t="str">
        <f t="shared" ref="L15:L26" si="6">CONCATENATE(M15," ",WEEKNUM(C15))</f>
        <v>2023 27</v>
      </c>
      <c r="M15" s="523">
        <f t="shared" ref="M15:M26" si="7">YEAR(C15)</f>
        <v>2023</v>
      </c>
      <c r="N15" s="523" t="str">
        <f t="shared" ref="N15:N26" si="8">IF(MONTH(C15)&lt;10,CONCATENATE("0",MONTH(C15)),MONTH(C15))</f>
        <v>07</v>
      </c>
      <c r="O15" s="523" t="str">
        <f t="shared" ref="O15:O26" si="9">IF(DAY(C15)&lt;10,CONCATENATE("0",DAY(C15)),DAY(C15))</f>
        <v>07</v>
      </c>
      <c r="P15" s="523" t="str">
        <f t="shared" ref="P15:P26" si="10">LEFT(D15,2)</f>
        <v>12</v>
      </c>
      <c r="Q15" s="523" t="str">
        <f t="shared" ref="Q15:Q26" si="11">RIGHT(D15,2)</f>
        <v>09</v>
      </c>
      <c r="R15" s="523">
        <f t="shared" ref="R15:R26" si="12">IF(O15=O14,P15-P14, (24-P14)+P15+24*(O15-O14-1))</f>
        <v>180</v>
      </c>
      <c r="S15" s="523">
        <f t="shared" ref="S15:S26" si="13">Q15-Q14</f>
        <v>9</v>
      </c>
      <c r="T15" s="531" t="str">
        <f t="shared" ref="T15:T26" si="14">CONCATENATE(P15,":",Q15,"")</f>
        <v>12:09</v>
      </c>
      <c r="U15" s="532">
        <f t="shared" ref="U15:U26" si="15">(C15-C14)*60*24+(HOUR(T15)-HOUR(T14))*60+MINUTE(T15)-MINUTE(T14)</f>
        <v>45369</v>
      </c>
      <c r="V15" s="523" t="s">
        <v>1259</v>
      </c>
      <c r="W15" s="321">
        <f t="shared" ref="W15:W26" si="16">H15*24*360</f>
        <v>8672.5649672683994</v>
      </c>
      <c r="X15" s="321">
        <f t="shared" ref="X15:X26" si="17">C15-C14</f>
        <v>31</v>
      </c>
      <c r="Y15" s="321">
        <f>H15*24*30</f>
        <v>722.71374727236662</v>
      </c>
      <c r="Z15" s="533">
        <f>G15*F15*$AB$12/$AD$12</f>
        <v>3029.0108749999999</v>
      </c>
      <c r="AA15" s="523">
        <f t="shared" ref="AA15:AA26" si="18">G15*$AB$12</f>
        <v>2884.2</v>
      </c>
      <c r="AB15" s="534" t="s">
        <v>1260</v>
      </c>
      <c r="AC15" s="534"/>
      <c r="AD15" s="534" t="s">
        <v>1261</v>
      </c>
      <c r="AF15" t="s">
        <v>1261</v>
      </c>
      <c r="AK15" t="s">
        <v>1221</v>
      </c>
    </row>
    <row r="16" spans="1:46">
      <c r="A16" t="str">
        <f t="shared" ref="A16:A26" si="19">HLOOKUP(WEEKDAY(C16,2),$AN$1:$AT$3,2)</f>
        <v>lun</v>
      </c>
      <c r="B16" s="523" t="str">
        <f t="shared" si="0"/>
        <v>Thứ Hai</v>
      </c>
      <c r="C16" s="524">
        <v>45117</v>
      </c>
      <c r="D16" s="525" t="s">
        <v>1146</v>
      </c>
      <c r="E16" s="526">
        <v>46731</v>
      </c>
      <c r="F16" s="527">
        <f t="shared" si="1"/>
        <v>4892</v>
      </c>
      <c r="G16" s="527">
        <f t="shared" si="2"/>
        <v>279</v>
      </c>
      <c r="H16" s="528">
        <f t="shared" si="3"/>
        <v>3.4219133278822569</v>
      </c>
      <c r="I16" s="529" t="str">
        <f t="shared" si="4"/>
        <v>202307</v>
      </c>
      <c r="J16" s="530">
        <f t="shared" si="5"/>
        <v>45117.90347222222</v>
      </c>
      <c r="K16" s="523"/>
      <c r="L16" s="523" t="str">
        <f t="shared" si="6"/>
        <v>2023 28</v>
      </c>
      <c r="M16" s="523">
        <f t="shared" si="7"/>
        <v>2023</v>
      </c>
      <c r="N16" s="523" t="str">
        <f t="shared" si="8"/>
        <v>07</v>
      </c>
      <c r="O16" s="523">
        <f t="shared" si="9"/>
        <v>10</v>
      </c>
      <c r="P16" s="523" t="str">
        <f t="shared" si="10"/>
        <v>21</v>
      </c>
      <c r="Q16" s="523" t="str">
        <f t="shared" si="11"/>
        <v>41</v>
      </c>
      <c r="R16" s="523">
        <f t="shared" si="12"/>
        <v>81</v>
      </c>
      <c r="S16" s="523">
        <f t="shared" si="13"/>
        <v>32</v>
      </c>
      <c r="T16" s="531" t="str">
        <f t="shared" si="14"/>
        <v>21:41</v>
      </c>
      <c r="U16" s="532">
        <f t="shared" si="15"/>
        <v>4892</v>
      </c>
      <c r="V16" s="523" t="s">
        <v>1259</v>
      </c>
      <c r="W16" s="321">
        <f t="shared" si="16"/>
        <v>29565.331152902701</v>
      </c>
      <c r="X16" s="321">
        <f t="shared" si="17"/>
        <v>3</v>
      </c>
      <c r="Y16" s="321">
        <f t="shared" ref="Y16:Y39" si="20">H16*24*30</f>
        <v>2463.7775960752251</v>
      </c>
      <c r="Z16" s="533">
        <f t="shared" ref="Z16:Z26" si="21">G16*$AD$12*$AB$12/F16</f>
        <v>9362.3548650858538</v>
      </c>
      <c r="AA16" s="523">
        <f t="shared" si="18"/>
        <v>1060.2</v>
      </c>
      <c r="AB16" s="534" t="s">
        <v>1262</v>
      </c>
      <c r="AC16" s="534"/>
      <c r="AD16" s="534" t="s">
        <v>1263</v>
      </c>
      <c r="AF16" t="s">
        <v>1263</v>
      </c>
      <c r="AK16" t="s">
        <v>1243</v>
      </c>
    </row>
    <row r="17" spans="1:37" outlineLevel="1">
      <c r="A17" t="str">
        <f t="shared" si="19"/>
        <v>mar</v>
      </c>
      <c r="B17" s="2" t="str">
        <f t="shared" si="0"/>
        <v>Thứ Ba</v>
      </c>
      <c r="C17" s="535">
        <v>45118</v>
      </c>
      <c r="D17" s="536" t="s">
        <v>1147</v>
      </c>
      <c r="E17" s="466">
        <v>46744</v>
      </c>
      <c r="F17" s="2">
        <f t="shared" si="1"/>
        <v>648</v>
      </c>
      <c r="G17" s="2">
        <f t="shared" si="2"/>
        <v>13</v>
      </c>
      <c r="H17" s="104">
        <f t="shared" si="3"/>
        <v>1.2037037037037037</v>
      </c>
      <c r="I17" s="18" t="str">
        <f t="shared" si="4"/>
        <v>202307</v>
      </c>
      <c r="J17" s="537">
        <f t="shared" si="5"/>
        <v>45118.353472222225</v>
      </c>
      <c r="L17" s="2" t="str">
        <f t="shared" si="6"/>
        <v>2023 28</v>
      </c>
      <c r="M17" s="2">
        <f t="shared" si="7"/>
        <v>2023</v>
      </c>
      <c r="N17" s="2" t="str">
        <f t="shared" si="8"/>
        <v>07</v>
      </c>
      <c r="O17" s="2">
        <f t="shared" si="9"/>
        <v>11</v>
      </c>
      <c r="P17" s="2" t="str">
        <f t="shared" si="10"/>
        <v>08</v>
      </c>
      <c r="Q17" s="2" t="str">
        <f t="shared" si="11"/>
        <v>29</v>
      </c>
      <c r="R17" s="2">
        <f t="shared" si="12"/>
        <v>11</v>
      </c>
      <c r="S17" s="2">
        <f t="shared" si="13"/>
        <v>-12</v>
      </c>
      <c r="T17" s="538" t="str">
        <f t="shared" si="14"/>
        <v>08:29</v>
      </c>
      <c r="U17" s="412">
        <f t="shared" si="15"/>
        <v>648</v>
      </c>
      <c r="V17" s="2" t="s">
        <v>1259</v>
      </c>
      <c r="W17" s="142">
        <f t="shared" si="16"/>
        <v>10400</v>
      </c>
      <c r="X17" s="142">
        <f t="shared" si="17"/>
        <v>1</v>
      </c>
      <c r="Y17" s="142">
        <f t="shared" si="20"/>
        <v>866.66666666666663</v>
      </c>
      <c r="Z17" s="29">
        <f t="shared" si="21"/>
        <v>3293.3333333333335</v>
      </c>
      <c r="AA17" s="2">
        <f t="shared" si="18"/>
        <v>49.4</v>
      </c>
      <c r="AB17" t="s">
        <v>1264</v>
      </c>
      <c r="AC17"/>
      <c r="AD17" t="s">
        <v>1259</v>
      </c>
      <c r="AK17" t="s">
        <v>1244</v>
      </c>
    </row>
    <row r="18" spans="1:37">
      <c r="A18" t="str">
        <f t="shared" si="19"/>
        <v>mar</v>
      </c>
      <c r="B18" s="2" t="str">
        <f t="shared" si="0"/>
        <v>Thứ Ba</v>
      </c>
      <c r="C18" s="535">
        <v>45118</v>
      </c>
      <c r="D18" s="536" t="s">
        <v>1265</v>
      </c>
      <c r="E18" s="466">
        <v>46747</v>
      </c>
      <c r="F18" s="2">
        <f t="shared" si="1"/>
        <v>62</v>
      </c>
      <c r="G18" s="2">
        <f t="shared" si="2"/>
        <v>3</v>
      </c>
      <c r="H18" s="104">
        <f t="shared" si="3"/>
        <v>2.9032258064516125</v>
      </c>
      <c r="I18" s="18" t="str">
        <f t="shared" si="4"/>
        <v>202307</v>
      </c>
      <c r="J18" s="537">
        <f t="shared" si="5"/>
        <v>45118.396527777775</v>
      </c>
      <c r="L18" s="2" t="str">
        <f t="shared" si="6"/>
        <v>2023 28</v>
      </c>
      <c r="M18" s="2">
        <f t="shared" si="7"/>
        <v>2023</v>
      </c>
      <c r="N18" s="2" t="str">
        <f t="shared" si="8"/>
        <v>07</v>
      </c>
      <c r="O18" s="2">
        <f t="shared" si="9"/>
        <v>11</v>
      </c>
      <c r="P18" s="2" t="str">
        <f t="shared" si="10"/>
        <v>09</v>
      </c>
      <c r="Q18" s="2" t="str">
        <f t="shared" si="11"/>
        <v>31</v>
      </c>
      <c r="R18" s="2">
        <f t="shared" si="12"/>
        <v>1</v>
      </c>
      <c r="S18" s="2">
        <f t="shared" si="13"/>
        <v>2</v>
      </c>
      <c r="T18" s="538" t="str">
        <f t="shared" si="14"/>
        <v>09:31</v>
      </c>
      <c r="U18" s="412">
        <f t="shared" si="15"/>
        <v>62</v>
      </c>
      <c r="V18" s="2" t="s">
        <v>1259</v>
      </c>
      <c r="W18" s="142">
        <f t="shared" si="16"/>
        <v>25083.870967741932</v>
      </c>
      <c r="X18" s="142">
        <f t="shared" si="17"/>
        <v>0</v>
      </c>
      <c r="Y18" s="142">
        <f t="shared" si="20"/>
        <v>2090.322580645161</v>
      </c>
      <c r="Z18" s="29">
        <f t="shared" si="21"/>
        <v>7943.2258064516127</v>
      </c>
      <c r="AA18" s="2">
        <f t="shared" si="18"/>
        <v>11.399999999999999</v>
      </c>
      <c r="AB18"/>
      <c r="AC18"/>
      <c r="AD18"/>
      <c r="AK18" t="s">
        <v>1245</v>
      </c>
    </row>
    <row r="19" spans="1:37">
      <c r="A19" t="str">
        <f t="shared" si="19"/>
        <v>jeu</v>
      </c>
      <c r="B19" s="523" t="str">
        <f t="shared" si="0"/>
        <v>Thứ Năm</v>
      </c>
      <c r="C19" s="524">
        <v>45120</v>
      </c>
      <c r="D19" s="525" t="s">
        <v>1266</v>
      </c>
      <c r="E19" s="526">
        <v>46781</v>
      </c>
      <c r="F19" s="527">
        <f t="shared" si="1"/>
        <v>3236</v>
      </c>
      <c r="G19" s="527">
        <f t="shared" si="2"/>
        <v>34</v>
      </c>
      <c r="H19" s="528">
        <f t="shared" si="3"/>
        <v>0.63040791100123617</v>
      </c>
      <c r="I19" s="529" t="str">
        <f t="shared" si="4"/>
        <v>202307</v>
      </c>
      <c r="J19" s="530">
        <f t="shared" si="5"/>
        <v>45120.643750000003</v>
      </c>
      <c r="K19" s="523"/>
      <c r="L19" s="523" t="str">
        <f t="shared" si="6"/>
        <v>2023 28</v>
      </c>
      <c r="M19" s="523">
        <f t="shared" si="7"/>
        <v>2023</v>
      </c>
      <c r="N19" s="523" t="str">
        <f t="shared" si="8"/>
        <v>07</v>
      </c>
      <c r="O19" s="523">
        <f t="shared" si="9"/>
        <v>13</v>
      </c>
      <c r="P19" s="523" t="str">
        <f t="shared" si="10"/>
        <v>15</v>
      </c>
      <c r="Q19" s="523" t="str">
        <f t="shared" si="11"/>
        <v>27</v>
      </c>
      <c r="R19" s="523">
        <f t="shared" si="12"/>
        <v>54</v>
      </c>
      <c r="S19" s="523">
        <f t="shared" si="13"/>
        <v>-4</v>
      </c>
      <c r="T19" s="531" t="str">
        <f t="shared" si="14"/>
        <v>15:27</v>
      </c>
      <c r="U19" s="532">
        <f t="shared" si="15"/>
        <v>3236</v>
      </c>
      <c r="V19" s="523" t="s">
        <v>1259</v>
      </c>
      <c r="W19" s="321">
        <f t="shared" si="16"/>
        <v>5446.7243510506805</v>
      </c>
      <c r="X19" s="321">
        <f t="shared" si="17"/>
        <v>2</v>
      </c>
      <c r="Y19" s="321">
        <f t="shared" si="20"/>
        <v>453.89369592089002</v>
      </c>
      <c r="Z19" s="533">
        <f t="shared" si="21"/>
        <v>1724.7960444993819</v>
      </c>
      <c r="AA19" s="523">
        <f t="shared" si="18"/>
        <v>129.19999999999999</v>
      </c>
      <c r="AB19" s="534" t="s">
        <v>1267</v>
      </c>
      <c r="AC19" s="534"/>
      <c r="AD19" s="534" t="s">
        <v>1268</v>
      </c>
      <c r="AE19" t="s">
        <v>1269</v>
      </c>
      <c r="AF19" t="s">
        <v>1269</v>
      </c>
      <c r="AG19" t="s">
        <v>1270</v>
      </c>
      <c r="AH19" t="s">
        <v>1270</v>
      </c>
      <c r="AK19" t="s">
        <v>1246</v>
      </c>
    </row>
    <row r="20" spans="1:37">
      <c r="A20" t="str">
        <f t="shared" si="19"/>
        <v>jeu</v>
      </c>
      <c r="B20" s="2" t="str">
        <f t="shared" si="0"/>
        <v>Thứ Năm</v>
      </c>
      <c r="C20" s="535">
        <v>45120</v>
      </c>
      <c r="D20" s="536" t="s">
        <v>1271</v>
      </c>
      <c r="E20" s="466">
        <v>46788</v>
      </c>
      <c r="F20" s="2">
        <f t="shared" si="1"/>
        <v>393</v>
      </c>
      <c r="G20" s="2">
        <f t="shared" si="2"/>
        <v>7</v>
      </c>
      <c r="H20" s="104">
        <f t="shared" si="3"/>
        <v>1.0687022900763359</v>
      </c>
      <c r="I20" s="18" t="str">
        <f t="shared" si="4"/>
        <v>202307</v>
      </c>
      <c r="J20" s="537">
        <f t="shared" si="5"/>
        <v>45120.916666666664</v>
      </c>
      <c r="L20" s="2" t="str">
        <f t="shared" si="6"/>
        <v>2023 28</v>
      </c>
      <c r="M20" s="2">
        <f t="shared" si="7"/>
        <v>2023</v>
      </c>
      <c r="N20" s="2" t="str">
        <f t="shared" si="8"/>
        <v>07</v>
      </c>
      <c r="O20" s="2">
        <f t="shared" si="9"/>
        <v>13</v>
      </c>
      <c r="P20" s="2" t="str">
        <f t="shared" si="10"/>
        <v>22</v>
      </c>
      <c r="Q20" s="2" t="str">
        <f t="shared" si="11"/>
        <v>00</v>
      </c>
      <c r="R20" s="2">
        <f t="shared" si="12"/>
        <v>7</v>
      </c>
      <c r="S20" s="2">
        <f t="shared" si="13"/>
        <v>-27</v>
      </c>
      <c r="T20" s="538" t="str">
        <f t="shared" si="14"/>
        <v>22:00</v>
      </c>
      <c r="U20" s="412">
        <f t="shared" si="15"/>
        <v>393</v>
      </c>
      <c r="V20" s="2" t="s">
        <v>1259</v>
      </c>
      <c r="W20" s="142">
        <f t="shared" si="16"/>
        <v>9233.5877862595426</v>
      </c>
      <c r="X20" s="142">
        <f t="shared" si="17"/>
        <v>0</v>
      </c>
      <c r="Y20" s="142">
        <f t="shared" si="20"/>
        <v>769.46564885496184</v>
      </c>
      <c r="Z20" s="29">
        <f t="shared" si="21"/>
        <v>2923.969465648855</v>
      </c>
      <c r="AA20" s="2">
        <f t="shared" si="18"/>
        <v>26.599999999999998</v>
      </c>
      <c r="AB20"/>
      <c r="AC20"/>
      <c r="AD20"/>
      <c r="AE20" t="s">
        <v>1269</v>
      </c>
      <c r="AF20" t="s">
        <v>1270</v>
      </c>
      <c r="AG20" t="s">
        <v>1269</v>
      </c>
      <c r="AH20" t="s">
        <v>1270</v>
      </c>
      <c r="AK20" t="s">
        <v>1247</v>
      </c>
    </row>
    <row r="21" spans="1:37">
      <c r="A21" t="str">
        <f t="shared" si="19"/>
        <v>ven</v>
      </c>
      <c r="B21" s="2" t="str">
        <f t="shared" si="0"/>
        <v>Thứ Sáu</v>
      </c>
      <c r="C21" s="535">
        <v>45121</v>
      </c>
      <c r="D21" s="536" t="s">
        <v>1272</v>
      </c>
      <c r="E21" s="466">
        <v>46806</v>
      </c>
      <c r="F21" s="2">
        <f t="shared" si="1"/>
        <v>808</v>
      </c>
      <c r="G21" s="2">
        <f t="shared" si="2"/>
        <v>18</v>
      </c>
      <c r="H21" s="104">
        <f t="shared" si="3"/>
        <v>1.3366336633663367</v>
      </c>
      <c r="I21" s="18" t="str">
        <f t="shared" si="4"/>
        <v>202307</v>
      </c>
      <c r="J21" s="537">
        <f t="shared" si="5"/>
        <v>45121.477777777778</v>
      </c>
      <c r="L21" s="2" t="str">
        <f t="shared" si="6"/>
        <v>2023 28</v>
      </c>
      <c r="M21" s="2">
        <f t="shared" si="7"/>
        <v>2023</v>
      </c>
      <c r="N21" s="2" t="str">
        <f t="shared" si="8"/>
        <v>07</v>
      </c>
      <c r="O21" s="2">
        <f t="shared" si="9"/>
        <v>14</v>
      </c>
      <c r="P21" s="2" t="str">
        <f t="shared" si="10"/>
        <v>11</v>
      </c>
      <c r="Q21" s="2" t="str">
        <f t="shared" si="11"/>
        <v>28</v>
      </c>
      <c r="R21" s="2">
        <f t="shared" si="12"/>
        <v>13</v>
      </c>
      <c r="S21" s="2">
        <f t="shared" si="13"/>
        <v>28</v>
      </c>
      <c r="T21" s="538" t="str">
        <f t="shared" si="14"/>
        <v>11:28</v>
      </c>
      <c r="U21" s="412">
        <f t="shared" si="15"/>
        <v>808</v>
      </c>
      <c r="V21" s="2" t="s">
        <v>1259</v>
      </c>
      <c r="W21" s="142">
        <f t="shared" si="16"/>
        <v>11548.514851485148</v>
      </c>
      <c r="X21" s="142">
        <f t="shared" si="17"/>
        <v>1</v>
      </c>
      <c r="Y21" s="142">
        <f t="shared" si="20"/>
        <v>962.37623762376234</v>
      </c>
      <c r="Z21" s="29">
        <f t="shared" si="21"/>
        <v>3657.029702970297</v>
      </c>
      <c r="AA21" s="2">
        <f t="shared" si="18"/>
        <v>68.399999999999991</v>
      </c>
      <c r="AB21" t="s">
        <v>1264</v>
      </c>
      <c r="AC21"/>
      <c r="AD21" t="s">
        <v>1259</v>
      </c>
      <c r="AE21" t="s">
        <v>1269</v>
      </c>
      <c r="AF21" t="s">
        <v>1270</v>
      </c>
      <c r="AG21" t="s">
        <v>1269</v>
      </c>
      <c r="AH21" t="s">
        <v>1270</v>
      </c>
    </row>
    <row r="22" spans="1:37">
      <c r="A22" t="str">
        <f t="shared" si="19"/>
        <v>sam</v>
      </c>
      <c r="B22" s="2" t="str">
        <f t="shared" si="0"/>
        <v>Thứ Bảy</v>
      </c>
      <c r="C22" s="535">
        <v>45122</v>
      </c>
      <c r="D22" s="536" t="s">
        <v>1273</v>
      </c>
      <c r="E22" s="466">
        <v>46860</v>
      </c>
      <c r="F22" s="2">
        <f t="shared" si="1"/>
        <v>2063</v>
      </c>
      <c r="G22" s="2">
        <f t="shared" si="2"/>
        <v>54</v>
      </c>
      <c r="H22" s="104">
        <f t="shared" si="3"/>
        <v>1.5705283567619972</v>
      </c>
      <c r="I22" s="18" t="str">
        <f t="shared" si="4"/>
        <v>202307</v>
      </c>
      <c r="J22" s="537">
        <f t="shared" si="5"/>
        <v>45122.910416666666</v>
      </c>
      <c r="L22" s="2" t="str">
        <f t="shared" si="6"/>
        <v>2023 28</v>
      </c>
      <c r="M22" s="2">
        <f t="shared" si="7"/>
        <v>2023</v>
      </c>
      <c r="N22" s="2" t="str">
        <f t="shared" si="8"/>
        <v>07</v>
      </c>
      <c r="O22" s="2">
        <f t="shared" si="9"/>
        <v>15</v>
      </c>
      <c r="P22" s="2" t="str">
        <f t="shared" si="10"/>
        <v>21</v>
      </c>
      <c r="Q22" s="2" t="str">
        <f t="shared" si="11"/>
        <v>51</v>
      </c>
      <c r="R22" s="2">
        <f t="shared" si="12"/>
        <v>34</v>
      </c>
      <c r="S22" s="2">
        <f t="shared" si="13"/>
        <v>23</v>
      </c>
      <c r="T22" s="538" t="str">
        <f t="shared" si="14"/>
        <v>21:51</v>
      </c>
      <c r="U22" s="412">
        <f t="shared" si="15"/>
        <v>2063</v>
      </c>
      <c r="V22" s="2" t="s">
        <v>1259</v>
      </c>
      <c r="W22" s="142">
        <f t="shared" si="16"/>
        <v>13569.365002423656</v>
      </c>
      <c r="X22" s="142">
        <f t="shared" si="17"/>
        <v>1</v>
      </c>
      <c r="Y22" s="142">
        <f t="shared" si="20"/>
        <v>1130.780416868638</v>
      </c>
      <c r="Z22" s="29">
        <f t="shared" si="21"/>
        <v>4296.9655841008243</v>
      </c>
      <c r="AA22" s="2">
        <f t="shared" si="18"/>
        <v>205.2</v>
      </c>
      <c r="AB22"/>
      <c r="AC22"/>
      <c r="AD22"/>
      <c r="AE22" t="s">
        <v>1269</v>
      </c>
      <c r="AF22" t="s">
        <v>1269</v>
      </c>
    </row>
    <row r="23" spans="1:37">
      <c r="A23" t="str">
        <f t="shared" si="19"/>
        <v>mar</v>
      </c>
      <c r="B23" s="2" t="str">
        <f t="shared" si="0"/>
        <v>Thứ Ba</v>
      </c>
      <c r="C23" s="5">
        <v>45125</v>
      </c>
      <c r="D23" s="2" t="s">
        <v>1274</v>
      </c>
      <c r="E23" s="466">
        <v>46924</v>
      </c>
      <c r="F23" s="2">
        <f t="shared" si="1"/>
        <v>3099</v>
      </c>
      <c r="G23" s="2">
        <f t="shared" si="2"/>
        <v>64</v>
      </c>
      <c r="H23" s="104">
        <f t="shared" si="3"/>
        <v>1.239109390125847</v>
      </c>
      <c r="I23" s="18" t="str">
        <f t="shared" si="4"/>
        <v>202307</v>
      </c>
      <c r="J23" s="537">
        <f t="shared" si="5"/>
        <v>45125.0625</v>
      </c>
      <c r="L23" s="2" t="str">
        <f t="shared" si="6"/>
        <v>2023 29</v>
      </c>
      <c r="M23" s="2">
        <f t="shared" si="7"/>
        <v>2023</v>
      </c>
      <c r="N23" s="2" t="str">
        <f t="shared" si="8"/>
        <v>07</v>
      </c>
      <c r="O23" s="2">
        <f t="shared" si="9"/>
        <v>18</v>
      </c>
      <c r="P23" s="2" t="str">
        <f t="shared" si="10"/>
        <v>01</v>
      </c>
      <c r="Q23" s="2" t="str">
        <f t="shared" si="11"/>
        <v>30</v>
      </c>
      <c r="R23" s="2">
        <f t="shared" si="12"/>
        <v>52</v>
      </c>
      <c r="S23" s="2">
        <f t="shared" si="13"/>
        <v>-21</v>
      </c>
      <c r="T23" s="538" t="str">
        <f t="shared" si="14"/>
        <v>01:30</v>
      </c>
      <c r="U23" s="412">
        <f t="shared" si="15"/>
        <v>3099</v>
      </c>
      <c r="V23" s="2" t="s">
        <v>1259</v>
      </c>
      <c r="W23" s="142">
        <f t="shared" si="16"/>
        <v>10705.905130687317</v>
      </c>
      <c r="X23" s="142">
        <f t="shared" si="17"/>
        <v>3</v>
      </c>
      <c r="Y23" s="142">
        <f t="shared" si="20"/>
        <v>892.15876089060976</v>
      </c>
      <c r="Z23" s="29">
        <f t="shared" si="21"/>
        <v>3390.2032913843177</v>
      </c>
      <c r="AA23" s="2">
        <f t="shared" si="18"/>
        <v>243.2</v>
      </c>
      <c r="AB23"/>
      <c r="AC23"/>
      <c r="AD23"/>
      <c r="AE23" t="s">
        <v>1269</v>
      </c>
      <c r="AF23" t="s">
        <v>1269</v>
      </c>
    </row>
    <row r="24" spans="1:37">
      <c r="A24" t="str">
        <f t="shared" si="19"/>
        <v>mer</v>
      </c>
      <c r="B24" s="2" t="str">
        <f t="shared" si="0"/>
        <v>Thứ Tư</v>
      </c>
      <c r="C24" s="5">
        <v>45126</v>
      </c>
      <c r="D24" s="2" t="s">
        <v>1275</v>
      </c>
      <c r="E24" s="466">
        <v>46963</v>
      </c>
      <c r="F24" s="2">
        <f t="shared" si="1"/>
        <v>2656</v>
      </c>
      <c r="G24" s="2">
        <f t="shared" si="2"/>
        <v>39</v>
      </c>
      <c r="H24" s="104">
        <f t="shared" si="3"/>
        <v>0.88102409638554213</v>
      </c>
      <c r="I24" s="18" t="str">
        <f t="shared" si="4"/>
        <v>202307</v>
      </c>
      <c r="J24" s="537">
        <f t="shared" si="5"/>
        <v>45126.906944444447</v>
      </c>
      <c r="L24" s="2" t="str">
        <f t="shared" si="6"/>
        <v>2023 29</v>
      </c>
      <c r="M24" s="2">
        <f t="shared" si="7"/>
        <v>2023</v>
      </c>
      <c r="N24" s="2" t="str">
        <f t="shared" si="8"/>
        <v>07</v>
      </c>
      <c r="O24" s="2">
        <f t="shared" si="9"/>
        <v>19</v>
      </c>
      <c r="P24" s="2" t="str">
        <f t="shared" si="10"/>
        <v>21</v>
      </c>
      <c r="Q24" s="2" t="str">
        <f t="shared" si="11"/>
        <v>46</v>
      </c>
      <c r="R24" s="2">
        <f t="shared" si="12"/>
        <v>44</v>
      </c>
      <c r="S24" s="2">
        <f t="shared" si="13"/>
        <v>16</v>
      </c>
      <c r="T24" s="538" t="str">
        <f t="shared" si="14"/>
        <v>21:46</v>
      </c>
      <c r="U24" s="412">
        <f t="shared" si="15"/>
        <v>2656</v>
      </c>
      <c r="V24" s="2" t="s">
        <v>1259</v>
      </c>
      <c r="W24" s="142">
        <f t="shared" si="16"/>
        <v>7612.0481927710834</v>
      </c>
      <c r="X24" s="142">
        <f t="shared" si="17"/>
        <v>1</v>
      </c>
      <c r="Y24" s="142">
        <f t="shared" si="20"/>
        <v>634.33734939759029</v>
      </c>
      <c r="Z24" s="29">
        <f t="shared" si="21"/>
        <v>2410.4819277108436</v>
      </c>
      <c r="AA24" s="2">
        <f t="shared" si="18"/>
        <v>148.19999999999999</v>
      </c>
      <c r="AB24"/>
      <c r="AC24"/>
      <c r="AD24"/>
      <c r="AE24" t="s">
        <v>1269</v>
      </c>
      <c r="AF24" t="s">
        <v>1269</v>
      </c>
      <c r="AG24" s="9" t="s">
        <v>1276</v>
      </c>
      <c r="AH24" s="9"/>
    </row>
    <row r="25" spans="1:37">
      <c r="A25" t="str">
        <f t="shared" si="19"/>
        <v>jeu</v>
      </c>
      <c r="B25" s="2" t="str">
        <f t="shared" si="0"/>
        <v>Thứ Năm</v>
      </c>
      <c r="C25" s="5">
        <v>45127</v>
      </c>
      <c r="D25" s="2" t="s">
        <v>1277</v>
      </c>
      <c r="E25" s="466">
        <v>46980</v>
      </c>
      <c r="F25" s="2">
        <f t="shared" si="1"/>
        <v>1506</v>
      </c>
      <c r="G25" s="2">
        <f t="shared" si="2"/>
        <v>17</v>
      </c>
      <c r="H25" s="104">
        <f t="shared" si="3"/>
        <v>0.67729083665338641</v>
      </c>
      <c r="I25" s="18" t="str">
        <f t="shared" si="4"/>
        <v>202307</v>
      </c>
      <c r="J25" s="537">
        <f t="shared" si="5"/>
        <v>45127.952777777777</v>
      </c>
      <c r="L25" s="2" t="str">
        <f t="shared" si="6"/>
        <v>2023 29</v>
      </c>
      <c r="M25" s="2">
        <f t="shared" si="7"/>
        <v>2023</v>
      </c>
      <c r="N25" s="2" t="str">
        <f t="shared" si="8"/>
        <v>07</v>
      </c>
      <c r="O25" s="2">
        <f t="shared" si="9"/>
        <v>20</v>
      </c>
      <c r="P25" s="2" t="str">
        <f t="shared" si="10"/>
        <v>22</v>
      </c>
      <c r="Q25" s="2" t="str">
        <f t="shared" si="11"/>
        <v>52</v>
      </c>
      <c r="R25" s="2">
        <f t="shared" si="12"/>
        <v>25</v>
      </c>
      <c r="S25" s="2">
        <f t="shared" si="13"/>
        <v>6</v>
      </c>
      <c r="T25" s="538" t="str">
        <f t="shared" si="14"/>
        <v>22:52</v>
      </c>
      <c r="U25" s="412">
        <f t="shared" si="15"/>
        <v>1506</v>
      </c>
      <c r="V25" s="2" t="s">
        <v>1259</v>
      </c>
      <c r="W25" s="142">
        <f t="shared" si="16"/>
        <v>5851.7928286852584</v>
      </c>
      <c r="X25" s="142">
        <f t="shared" si="17"/>
        <v>1</v>
      </c>
      <c r="Y25" s="142">
        <f t="shared" si="20"/>
        <v>487.64940239043824</v>
      </c>
      <c r="Z25" s="29">
        <f t="shared" si="21"/>
        <v>1853.0677290836654</v>
      </c>
      <c r="AA25" s="2">
        <f t="shared" si="18"/>
        <v>64.599999999999994</v>
      </c>
      <c r="AB25"/>
      <c r="AC25"/>
      <c r="AD25"/>
      <c r="AE25" t="s">
        <v>1269</v>
      </c>
      <c r="AF25" t="s">
        <v>1269</v>
      </c>
      <c r="AG25" s="9" t="s">
        <v>1276</v>
      </c>
      <c r="AH25" s="9"/>
    </row>
    <row r="26" spans="1:37">
      <c r="A26" t="str">
        <f t="shared" si="19"/>
        <v>sam</v>
      </c>
      <c r="B26" s="2" t="str">
        <f t="shared" si="0"/>
        <v>Thứ Bảy</v>
      </c>
      <c r="C26" s="5">
        <v>45129</v>
      </c>
      <c r="D26" s="2" t="s">
        <v>1286</v>
      </c>
      <c r="E26" s="466">
        <v>47016</v>
      </c>
      <c r="F26" s="2">
        <f t="shared" si="1"/>
        <v>2135</v>
      </c>
      <c r="G26" s="2">
        <f t="shared" si="2"/>
        <v>36</v>
      </c>
      <c r="H26" s="104">
        <f t="shared" si="3"/>
        <v>1.0117096018735363</v>
      </c>
      <c r="I26" s="18" t="str">
        <f t="shared" si="4"/>
        <v>202307</v>
      </c>
      <c r="J26" s="537">
        <f t="shared" si="5"/>
        <v>45129.435416666667</v>
      </c>
      <c r="L26" s="2" t="str">
        <f t="shared" si="6"/>
        <v>2023 29</v>
      </c>
      <c r="M26" s="2">
        <f t="shared" si="7"/>
        <v>2023</v>
      </c>
      <c r="N26" s="2" t="str">
        <f t="shared" si="8"/>
        <v>07</v>
      </c>
      <c r="O26" s="2">
        <f t="shared" si="9"/>
        <v>22</v>
      </c>
      <c r="P26" s="2" t="str">
        <f t="shared" si="10"/>
        <v>10</v>
      </c>
      <c r="Q26" s="2" t="str">
        <f t="shared" si="11"/>
        <v>27</v>
      </c>
      <c r="R26" s="2">
        <f t="shared" si="12"/>
        <v>36</v>
      </c>
      <c r="S26" s="2">
        <f t="shared" si="13"/>
        <v>-25</v>
      </c>
      <c r="T26" s="538" t="str">
        <f t="shared" si="14"/>
        <v>10:27</v>
      </c>
      <c r="U26" s="412">
        <f t="shared" si="15"/>
        <v>2135</v>
      </c>
      <c r="V26" s="2" t="s">
        <v>1259</v>
      </c>
      <c r="W26" s="142">
        <f t="shared" si="16"/>
        <v>8741.1709601873536</v>
      </c>
      <c r="X26" s="142">
        <f t="shared" si="17"/>
        <v>2</v>
      </c>
      <c r="Y26" s="142">
        <f t="shared" si="20"/>
        <v>728.43091334894609</v>
      </c>
      <c r="Z26" s="29">
        <f t="shared" si="21"/>
        <v>2768.0374707259953</v>
      </c>
      <c r="AA26" s="2">
        <f t="shared" si="18"/>
        <v>136.79999999999998</v>
      </c>
      <c r="AB26"/>
      <c r="AC26"/>
      <c r="AD26"/>
      <c r="AE26" t="s">
        <v>1269</v>
      </c>
      <c r="AF26" t="s">
        <v>1269</v>
      </c>
      <c r="AG26" s="9" t="s">
        <v>1276</v>
      </c>
      <c r="AH26" s="9"/>
    </row>
    <row r="27" spans="1:37">
      <c r="C27" s="535"/>
      <c r="D27" s="536"/>
      <c r="E27" s="466"/>
      <c r="H27" s="104"/>
      <c r="J27" s="537"/>
      <c r="T27" s="538"/>
      <c r="U27" s="412"/>
      <c r="W27" s="142"/>
      <c r="X27" s="142"/>
      <c r="Y27" s="142"/>
      <c r="Z27" s="29"/>
      <c r="AA27"/>
      <c r="AB27"/>
      <c r="AC27"/>
      <c r="AD27"/>
    </row>
    <row r="28" spans="1:37">
      <c r="A28" s="94"/>
      <c r="B28" s="100"/>
      <c r="C28" s="539"/>
      <c r="D28" s="540" t="s">
        <v>213</v>
      </c>
      <c r="E28" s="540" t="s">
        <v>213</v>
      </c>
      <c r="F28" s="100">
        <f>SUM(F$15:F27)</f>
        <v>66867</v>
      </c>
      <c r="G28" s="100">
        <f>SUM(G$15:G27)</f>
        <v>1323</v>
      </c>
      <c r="H28" s="541">
        <f t="shared" ref="H28" si="22">G28/(F28/60)</f>
        <v>1.1871326663376554</v>
      </c>
      <c r="I28" s="542" t="str">
        <f t="shared" ref="I28" si="23">CONCATENATE(YEAR(C28),N28)</f>
        <v>190001</v>
      </c>
      <c r="J28" s="543" t="e">
        <f t="shared" ref="J28" si="24">C28+VALUE(LEFT(D28,2))/24+VALUE(RIGHT(D28,2))/(24*60)</f>
        <v>#VALUE!</v>
      </c>
      <c r="K28" s="100"/>
      <c r="L28" s="100" t="str">
        <f t="shared" ref="L28" si="25">CONCATENATE(M28," ",WEEKNUM(C28))</f>
        <v>1900 0</v>
      </c>
      <c r="M28" s="100">
        <f t="shared" ref="M28" si="26">YEAR(C28)</f>
        <v>1900</v>
      </c>
      <c r="N28" s="100" t="str">
        <f t="shared" ref="N28" si="27">IF(MONTH(C28)&lt;10,CONCATENATE("0",MONTH(C28)),MONTH(C28))</f>
        <v>01</v>
      </c>
      <c r="O28" s="100" t="str">
        <f t="shared" ref="O28" si="28">IF(DAY(C28)&lt;10,CONCATENATE("0",DAY(C28)),DAY(C28))</f>
        <v>00</v>
      </c>
      <c r="P28" s="100" t="str">
        <f t="shared" ref="P28" si="29">LEFT(D28,2)</f>
        <v>to</v>
      </c>
      <c r="Q28" s="100" t="str">
        <f t="shared" ref="Q28" si="30">RIGHT(D28,2)</f>
        <v>al</v>
      </c>
      <c r="R28" s="100" t="e">
        <f t="shared" ref="R28" si="31">IF(O28=O27,P28-P27, (24-P27)+P28+24*(O28-O27-1))</f>
        <v>#VALUE!</v>
      </c>
      <c r="S28" s="100" t="e">
        <f t="shared" ref="S28" si="32">Q28-Q27</f>
        <v>#VALUE!</v>
      </c>
      <c r="T28" s="544" t="str">
        <f t="shared" ref="T28" si="33">CONCATENATE(P28,":",Q28,"")</f>
        <v>to:al</v>
      </c>
      <c r="U28" s="545" t="e">
        <f t="shared" ref="U28" si="34">(C28-C27)*60*24+(HOUR(T28)-HOUR(T27))*60+MINUTE(T28)-MINUTE(T27)</f>
        <v>#VALUE!</v>
      </c>
      <c r="V28" s="100" t="s">
        <v>1259</v>
      </c>
      <c r="W28" s="309">
        <f t="shared" ref="W28" si="35">H28*24*360</f>
        <v>10256.826237157342</v>
      </c>
      <c r="X28" s="309">
        <f t="shared" ref="X28" si="36">C28-C27</f>
        <v>0</v>
      </c>
      <c r="Y28" s="309">
        <f t="shared" ref="Y28" si="37">H28*24*30</f>
        <v>854.73551976311182</v>
      </c>
      <c r="Z28" s="56">
        <f>G28*$AD$12*$AB$12/F28</f>
        <v>3247.9949750998248</v>
      </c>
      <c r="AA28" s="56">
        <f>G28*$AB$12</f>
        <v>5027.3999999999996</v>
      </c>
      <c r="AB28"/>
      <c r="AC28"/>
      <c r="AD28" s="540" t="s">
        <v>213</v>
      </c>
    </row>
    <row r="29" spans="1:37">
      <c r="C29" s="535"/>
      <c r="D29" s="546" t="s">
        <v>1278</v>
      </c>
      <c r="E29" s="547" t="s">
        <v>1279</v>
      </c>
      <c r="F29" s="548">
        <f>SUM(F20:F27)</f>
        <v>12660</v>
      </c>
      <c r="G29" s="548">
        <f>SUM(G20:G27)</f>
        <v>235</v>
      </c>
      <c r="H29" s="549">
        <f>G29/(F29/60)</f>
        <v>1.113744075829384</v>
      </c>
      <c r="I29" s="550" t="str">
        <f>CONCATENATE(YEAR(C30),N29)</f>
        <v>190001</v>
      </c>
      <c r="J29" s="551" t="e">
        <f>C30+VALUE(LEFT(#REF!,2))/24+VALUE(RIGHT(#REF!,2))/(24*60)</f>
        <v>#REF!</v>
      </c>
      <c r="K29" s="548"/>
      <c r="L29" s="548" t="str">
        <f>CONCATENATE(M29," ",WEEKNUM(C30))</f>
        <v>1900 0</v>
      </c>
      <c r="M29" s="548">
        <f>YEAR(C30)</f>
        <v>1900</v>
      </c>
      <c r="N29" s="548" t="str">
        <f>IF(MONTH(C30)&lt;10,CONCATENATE("0",MONTH(C30)),MONTH(C30))</f>
        <v>01</v>
      </c>
      <c r="O29" s="548" t="str">
        <f>IF(DAY(C30)&lt;10,CONCATENATE("0",DAY(C30)),DAY(C30))</f>
        <v>00</v>
      </c>
      <c r="P29" s="548" t="e">
        <f>LEFT(#REF!,2)</f>
        <v>#REF!</v>
      </c>
      <c r="Q29" s="548" t="e">
        <f>RIGHT(#REF!,2)</f>
        <v>#REF!</v>
      </c>
      <c r="R29" s="548" t="e">
        <f>IF(O29=O31,P29-P31, (24-P31)+P29+24*(O29-O31-1))</f>
        <v>#REF!</v>
      </c>
      <c r="S29" s="548" t="e">
        <f>Q29-Q31</f>
        <v>#REF!</v>
      </c>
      <c r="T29" s="552" t="e">
        <f>CONCATENATE(P29,":",Q29,"")</f>
        <v>#REF!</v>
      </c>
      <c r="U29" s="553" t="e">
        <f>(C30-C29)*60*24+(HOUR(T29)-HOUR(T31))*60+MINUTE(T29)-MINUTE(T31)</f>
        <v>#REF!</v>
      </c>
      <c r="V29" s="548" t="s">
        <v>1259</v>
      </c>
      <c r="W29" s="554">
        <f>H29*24*360</f>
        <v>9622.7488151658763</v>
      </c>
      <c r="X29" s="554">
        <f>C30-C29</f>
        <v>0</v>
      </c>
      <c r="Y29" s="554">
        <f>H29*24*30</f>
        <v>801.89573459715643</v>
      </c>
      <c r="Z29" s="555">
        <f>G29*$AD$12*$AB$12/F29</f>
        <v>3047.2037914691941</v>
      </c>
      <c r="AA29" s="555">
        <f>G29*$AB$12</f>
        <v>893</v>
      </c>
      <c r="AB29"/>
      <c r="AC29"/>
      <c r="AD29" s="547" t="s">
        <v>1279</v>
      </c>
    </row>
    <row r="30" spans="1:37">
      <c r="D30" s="546" t="s">
        <v>1278</v>
      </c>
      <c r="E30" s="466" t="s">
        <v>1280</v>
      </c>
      <c r="F30" s="2">
        <f>F15</f>
        <v>45369</v>
      </c>
      <c r="G30" s="2">
        <f t="shared" ref="G30:Z30" si="38">G15</f>
        <v>759</v>
      </c>
      <c r="H30" s="104">
        <f t="shared" si="38"/>
        <v>1.0037690934338426</v>
      </c>
      <c r="I30" s="18" t="str">
        <f t="shared" si="38"/>
        <v>202307</v>
      </c>
      <c r="J30" s="537">
        <f t="shared" si="38"/>
        <v>45114.506249999999</v>
      </c>
      <c r="K30" s="2">
        <f t="shared" si="38"/>
        <v>0</v>
      </c>
      <c r="L30" s="2" t="str">
        <f t="shared" si="38"/>
        <v>2023 27</v>
      </c>
      <c r="M30" s="2">
        <f t="shared" si="38"/>
        <v>2023</v>
      </c>
      <c r="N30" s="2" t="str">
        <f t="shared" si="38"/>
        <v>07</v>
      </c>
      <c r="O30" s="2" t="str">
        <f t="shared" si="38"/>
        <v>07</v>
      </c>
      <c r="P30" s="2" t="str">
        <f t="shared" si="38"/>
        <v>12</v>
      </c>
      <c r="Q30" s="2" t="str">
        <f t="shared" si="38"/>
        <v>09</v>
      </c>
      <c r="R30" s="2">
        <f t="shared" si="38"/>
        <v>180</v>
      </c>
      <c r="S30" s="2">
        <f t="shared" si="38"/>
        <v>9</v>
      </c>
      <c r="T30" s="538" t="str">
        <f t="shared" si="38"/>
        <v>12:09</v>
      </c>
      <c r="U30" s="412">
        <f t="shared" si="38"/>
        <v>45369</v>
      </c>
      <c r="V30" s="2" t="str">
        <f t="shared" si="38"/>
        <v>nuit</v>
      </c>
      <c r="W30" s="142">
        <f t="shared" si="38"/>
        <v>8672.5649672683994</v>
      </c>
      <c r="X30" s="142">
        <f t="shared" si="38"/>
        <v>31</v>
      </c>
      <c r="Y30" s="142">
        <f t="shared" si="38"/>
        <v>722.71374727236662</v>
      </c>
      <c r="Z30" s="29">
        <f t="shared" si="38"/>
        <v>3029.0108749999999</v>
      </c>
      <c r="AA30" s="29">
        <f>G30*$AB$12</f>
        <v>2884.2</v>
      </c>
      <c r="AB30"/>
      <c r="AC30"/>
      <c r="AD30" s="466" t="s">
        <v>1280</v>
      </c>
    </row>
    <row r="31" spans="1:37">
      <c r="D31" s="566" t="s">
        <v>1278</v>
      </c>
      <c r="E31" s="567" t="s">
        <v>1281</v>
      </c>
      <c r="F31" s="568">
        <f>SUM(F$16:F27)</f>
        <v>21498</v>
      </c>
      <c r="G31" s="568">
        <f>SUM(G$16:G27)</f>
        <v>564</v>
      </c>
      <c r="H31" s="569">
        <f>G31/(F31/60)</f>
        <v>1.574099916271281</v>
      </c>
      <c r="I31" s="570" t="str">
        <f>CONCATENATE(YEAR(C29),N31)</f>
        <v>190001</v>
      </c>
      <c r="J31" s="571">
        <f>C29+VALUE(LEFT(D29,2))/24+VALUE(RIGHT(D29,2))/(24*60)</f>
        <v>2.9173611111111111</v>
      </c>
      <c r="K31" s="568"/>
      <c r="L31" s="568" t="str">
        <f>CONCATENATE(M31," ",WEEKNUM(C29))</f>
        <v>1900 0</v>
      </c>
      <c r="M31" s="568">
        <f>YEAR(C29)</f>
        <v>1900</v>
      </c>
      <c r="N31" s="568" t="str">
        <f>IF(MONTH(C29)&lt;10,CONCATENATE("0",MONTH(C29)),MONTH(C29))</f>
        <v>01</v>
      </c>
      <c r="O31" s="568" t="str">
        <f>IF(DAY(C29)&lt;10,CONCATENATE("0",DAY(C29)),DAY(C29))</f>
        <v>00</v>
      </c>
      <c r="P31" s="568" t="str">
        <f>LEFT(D29,2)</f>
        <v>70</v>
      </c>
      <c r="Q31" s="568" t="str">
        <f>RIGHT(D29,2)</f>
        <v>01</v>
      </c>
      <c r="R31" s="568" t="e">
        <f>IF(O31=O28,P31-P28, (24-P28)+P31+24*(O31-O28-1))</f>
        <v>#VALUE!</v>
      </c>
      <c r="S31" s="568" t="e">
        <f>Q31-Q28</f>
        <v>#VALUE!</v>
      </c>
      <c r="T31" s="572" t="str">
        <f>CONCATENATE(P31,":",Q31,"")</f>
        <v>70:01</v>
      </c>
      <c r="U31" s="573" t="e">
        <f>(C29-C28)*60*24+(HOUR(T31)-HOUR(T28))*60+MINUTE(T31)-MINUTE(T28)</f>
        <v>#VALUE!</v>
      </c>
      <c r="V31" s="568" t="s">
        <v>1259</v>
      </c>
      <c r="W31" s="574">
        <f>H31*24*360</f>
        <v>13600.223276583867</v>
      </c>
      <c r="X31" s="574">
        <f>C29-C28</f>
        <v>0</v>
      </c>
      <c r="Y31" s="574">
        <f>H31*24*30</f>
        <v>1133.3519397153223</v>
      </c>
      <c r="Z31" s="575">
        <f>G31*$AD$12*$AB$12/F31</f>
        <v>4306.7373709182248</v>
      </c>
      <c r="AA31" s="575">
        <f>G31*$AB$12</f>
        <v>2143.1999999999998</v>
      </c>
      <c r="AD31" s="466" t="s">
        <v>1281</v>
      </c>
      <c r="AE31" s="2"/>
      <c r="AF31" s="2"/>
    </row>
    <row r="32" spans="1:37">
      <c r="D32" s="546" t="s">
        <v>1282</v>
      </c>
      <c r="E32" s="466"/>
      <c r="H32" s="104"/>
      <c r="J32" s="537"/>
      <c r="T32" s="538"/>
      <c r="U32" s="412"/>
      <c r="W32" s="142"/>
      <c r="X32" s="142"/>
      <c r="Y32" s="142"/>
      <c r="Z32" s="29"/>
      <c r="AA32" s="29"/>
      <c r="AD32" s="466"/>
      <c r="AE32" s="2"/>
      <c r="AF32" s="2"/>
    </row>
    <row r="33" spans="1:37">
      <c r="B33" s="4">
        <v>402</v>
      </c>
      <c r="Z33"/>
      <c r="AA33"/>
      <c r="AB33"/>
      <c r="AC33"/>
      <c r="AD33"/>
    </row>
    <row r="34" spans="1:37">
      <c r="A34" t="str">
        <f t="shared" ref="A34:A39" si="39">HLOOKUP(WEEKDAY(C34,2),$AN$1:$AT$3,2)</f>
        <v>jeu</v>
      </c>
      <c r="B34" s="523" t="str">
        <f t="shared" ref="B34:B39" si="40">HLOOKUP(WEEKDAY(C34,2),$AN$1:$AT$3,3)</f>
        <v>Thứ Năm</v>
      </c>
      <c r="C34" s="524">
        <v>45120</v>
      </c>
      <c r="D34" s="525" t="s">
        <v>1283</v>
      </c>
      <c r="E34" s="526">
        <v>73227</v>
      </c>
      <c r="F34" s="556">
        <f t="shared" ref="F34:F39" si="41">U34</f>
        <v>64974121</v>
      </c>
      <c r="G34" s="556">
        <f t="shared" ref="G34:G39" si="42">E34-E33</f>
        <v>73227</v>
      </c>
      <c r="H34" s="557">
        <f t="shared" ref="H34:H39" si="43">G34/(F34/60)</f>
        <v>6.7621076397478316E-2</v>
      </c>
      <c r="I34" s="558" t="str">
        <f t="shared" ref="I34:I39" si="44">CONCATENATE(YEAR(C34),N34)</f>
        <v>202307</v>
      </c>
      <c r="J34" s="559">
        <f t="shared" ref="J34:J39" si="45">C34+VALUE(LEFT(D34,2))/24+VALUE(RIGHT(D34,2))/(24*60)</f>
        <v>45120.917361111111</v>
      </c>
      <c r="K34" s="560"/>
      <c r="L34" s="560" t="str">
        <f t="shared" ref="L34:L39" si="46">CONCATENATE(M34," ",WEEKNUM(C34))</f>
        <v>2023 28</v>
      </c>
      <c r="M34" s="560">
        <f t="shared" ref="M34:M39" si="47">YEAR(C34)</f>
        <v>2023</v>
      </c>
      <c r="N34" s="560" t="str">
        <f t="shared" ref="N34:N39" si="48">IF(MONTH(C34)&lt;10,CONCATENATE("0",MONTH(C34)),MONTH(C34))</f>
        <v>07</v>
      </c>
      <c r="O34" s="560">
        <f t="shared" ref="O34:O39" si="49">IF(DAY(C34)&lt;10,CONCATENATE("0",DAY(C34)),DAY(C34))</f>
        <v>13</v>
      </c>
      <c r="P34" s="560" t="str">
        <f t="shared" ref="P34:P39" si="50">LEFT(D34,2)</f>
        <v>22</v>
      </c>
      <c r="Q34" s="560" t="str">
        <f t="shared" ref="Q34:Q39" si="51">RIGHT(D34,2)</f>
        <v>01</v>
      </c>
      <c r="R34" s="560">
        <f t="shared" ref="R34:R39" si="52">IF(O34=O33,P34-P33, (24-P33)+P34+24*(O34-O33-1))</f>
        <v>334</v>
      </c>
      <c r="S34" s="560">
        <f t="shared" ref="S34:S39" si="53">Q34-Q33</f>
        <v>1</v>
      </c>
      <c r="T34" s="561" t="str">
        <f t="shared" ref="T34:T39" si="54">CONCATENATE(P34,":",Q34,"")</f>
        <v>22:01</v>
      </c>
      <c r="U34" s="562">
        <f t="shared" ref="U34:U39" si="55">(C34-C33)*60*24+(HOUR(T34)-HOUR(T33))*60+MINUTE(T34)-MINUTE(T33)</f>
        <v>64974121</v>
      </c>
      <c r="V34" s="560" t="s">
        <v>1259</v>
      </c>
      <c r="W34" s="563">
        <f t="shared" ref="W34:W39" si="56">H34*24*360</f>
        <v>584.24610007421256</v>
      </c>
      <c r="X34" s="563">
        <f t="shared" ref="X34:X39" si="57">C34-C33</f>
        <v>45120</v>
      </c>
      <c r="Y34" s="563">
        <f t="shared" si="20"/>
        <v>48.687175006184383</v>
      </c>
      <c r="Z34" s="564">
        <f>G34*$AD$12*$AB$12/F34</f>
        <v>185.01126502350067</v>
      </c>
      <c r="AA34"/>
      <c r="AB34"/>
      <c r="AC34"/>
      <c r="AD34"/>
    </row>
    <row r="35" spans="1:37">
      <c r="A35" t="str">
        <f t="shared" si="39"/>
        <v>ven</v>
      </c>
      <c r="B35" s="523" t="str">
        <f t="shared" si="40"/>
        <v>Thứ Sáu</v>
      </c>
      <c r="C35" s="524">
        <v>45121</v>
      </c>
      <c r="D35" s="525" t="s">
        <v>1272</v>
      </c>
      <c r="E35" s="526">
        <v>73232</v>
      </c>
      <c r="F35" s="527">
        <f t="shared" si="41"/>
        <v>807</v>
      </c>
      <c r="G35" s="527">
        <f t="shared" si="42"/>
        <v>5</v>
      </c>
      <c r="H35" s="528">
        <f t="shared" si="43"/>
        <v>0.37174721189591081</v>
      </c>
      <c r="I35" s="529" t="str">
        <f t="shared" si="44"/>
        <v>202307</v>
      </c>
      <c r="J35" s="530">
        <f t="shared" si="45"/>
        <v>45121.477777777778</v>
      </c>
      <c r="K35" s="523"/>
      <c r="L35" s="523" t="str">
        <f t="shared" si="46"/>
        <v>2023 28</v>
      </c>
      <c r="M35" s="523">
        <f t="shared" si="47"/>
        <v>2023</v>
      </c>
      <c r="N35" s="523" t="str">
        <f t="shared" si="48"/>
        <v>07</v>
      </c>
      <c r="O35" s="523">
        <f t="shared" si="49"/>
        <v>14</v>
      </c>
      <c r="P35" s="523" t="str">
        <f t="shared" si="50"/>
        <v>11</v>
      </c>
      <c r="Q35" s="523" t="str">
        <f t="shared" si="51"/>
        <v>28</v>
      </c>
      <c r="R35" s="523">
        <f t="shared" si="52"/>
        <v>13</v>
      </c>
      <c r="S35" s="523">
        <f t="shared" si="53"/>
        <v>27</v>
      </c>
      <c r="T35" s="531" t="str">
        <f t="shared" si="54"/>
        <v>11:28</v>
      </c>
      <c r="U35" s="532">
        <f t="shared" si="55"/>
        <v>807</v>
      </c>
      <c r="V35" s="523" t="s">
        <v>1259</v>
      </c>
      <c r="W35" s="321">
        <f t="shared" si="56"/>
        <v>3211.8959107806691</v>
      </c>
      <c r="X35" s="321">
        <f t="shared" si="57"/>
        <v>1</v>
      </c>
      <c r="Y35" s="321">
        <f t="shared" si="20"/>
        <v>267.65799256505579</v>
      </c>
      <c r="Z35" s="533">
        <f>G35*$AD$12*$AB$12/F35</f>
        <v>1017.1003717472119</v>
      </c>
      <c r="AA35" s="2">
        <f>G35*$AB$12</f>
        <v>19</v>
      </c>
      <c r="AB35"/>
      <c r="AC35"/>
      <c r="AD35"/>
    </row>
    <row r="36" spans="1:37">
      <c r="A36" t="str">
        <f t="shared" si="39"/>
        <v>sam</v>
      </c>
      <c r="B36" s="2" t="str">
        <f t="shared" si="40"/>
        <v>Thứ Bảy</v>
      </c>
      <c r="C36" s="535">
        <v>45122</v>
      </c>
      <c r="D36" s="536" t="s">
        <v>1273</v>
      </c>
      <c r="E36" s="466">
        <v>73266</v>
      </c>
      <c r="F36" s="2">
        <f t="shared" si="41"/>
        <v>2063</v>
      </c>
      <c r="G36" s="2">
        <f t="shared" si="42"/>
        <v>34</v>
      </c>
      <c r="H36" s="104">
        <f t="shared" si="43"/>
        <v>0.98885118759088708</v>
      </c>
      <c r="I36" s="18" t="str">
        <f t="shared" si="44"/>
        <v>202307</v>
      </c>
      <c r="J36" s="537">
        <f t="shared" si="45"/>
        <v>45122.910416666666</v>
      </c>
      <c r="L36" s="2" t="str">
        <f t="shared" si="46"/>
        <v>2023 28</v>
      </c>
      <c r="M36" s="2">
        <f t="shared" si="47"/>
        <v>2023</v>
      </c>
      <c r="N36" s="2" t="str">
        <f t="shared" si="48"/>
        <v>07</v>
      </c>
      <c r="O36" s="2">
        <f t="shared" si="49"/>
        <v>15</v>
      </c>
      <c r="P36" s="2" t="str">
        <f t="shared" si="50"/>
        <v>21</v>
      </c>
      <c r="Q36" s="2" t="str">
        <f t="shared" si="51"/>
        <v>51</v>
      </c>
      <c r="R36" s="2">
        <f t="shared" si="52"/>
        <v>34</v>
      </c>
      <c r="S36" s="2">
        <f t="shared" si="53"/>
        <v>23</v>
      </c>
      <c r="T36" s="538" t="str">
        <f t="shared" si="54"/>
        <v>21:51</v>
      </c>
      <c r="U36" s="412">
        <f t="shared" si="55"/>
        <v>2063</v>
      </c>
      <c r="V36" s="2" t="s">
        <v>1259</v>
      </c>
      <c r="W36" s="142">
        <f t="shared" si="56"/>
        <v>8543.6742607852648</v>
      </c>
      <c r="X36" s="142">
        <f t="shared" si="57"/>
        <v>1</v>
      </c>
      <c r="Y36" s="142">
        <f t="shared" si="20"/>
        <v>711.97285506543869</v>
      </c>
      <c r="Z36" s="29">
        <f>G36*$AD$12*$AB$12/F36</f>
        <v>2705.4968492486669</v>
      </c>
      <c r="AA36" s="2">
        <f>G36*$AB$12</f>
        <v>129.19999999999999</v>
      </c>
      <c r="AB36"/>
      <c r="AC36"/>
    </row>
    <row r="37" spans="1:37">
      <c r="A37" t="str">
        <f t="shared" si="39"/>
        <v>mar</v>
      </c>
      <c r="B37" s="2" t="str">
        <f t="shared" si="40"/>
        <v>Thứ Ba</v>
      </c>
      <c r="C37" s="5">
        <v>45125</v>
      </c>
      <c r="D37" s="2" t="s">
        <v>1284</v>
      </c>
      <c r="E37" s="2">
        <v>73308</v>
      </c>
      <c r="F37" s="2">
        <f t="shared" si="41"/>
        <v>3113</v>
      </c>
      <c r="G37" s="2">
        <f t="shared" si="42"/>
        <v>42</v>
      </c>
      <c r="H37" s="104">
        <f t="shared" si="43"/>
        <v>0.8095085126887247</v>
      </c>
      <c r="I37" s="18" t="str">
        <f t="shared" si="44"/>
        <v>202307</v>
      </c>
      <c r="J37" s="537">
        <f t="shared" si="45"/>
        <v>45125.072222222218</v>
      </c>
      <c r="L37" s="2" t="str">
        <f t="shared" si="46"/>
        <v>2023 29</v>
      </c>
      <c r="M37" s="2">
        <f t="shared" si="47"/>
        <v>2023</v>
      </c>
      <c r="N37" s="2" t="str">
        <f t="shared" si="48"/>
        <v>07</v>
      </c>
      <c r="O37" s="2">
        <f t="shared" si="49"/>
        <v>18</v>
      </c>
      <c r="P37" s="2" t="str">
        <f t="shared" si="50"/>
        <v>01</v>
      </c>
      <c r="Q37" s="2" t="str">
        <f t="shared" si="51"/>
        <v>44</v>
      </c>
      <c r="R37" s="2">
        <f t="shared" si="52"/>
        <v>52</v>
      </c>
      <c r="S37" s="2">
        <f t="shared" si="53"/>
        <v>-7</v>
      </c>
      <c r="T37" s="538" t="str">
        <f t="shared" si="54"/>
        <v>01:44</v>
      </c>
      <c r="U37" s="412">
        <f t="shared" si="55"/>
        <v>3113</v>
      </c>
      <c r="V37" s="2" t="s">
        <v>1259</v>
      </c>
      <c r="W37" s="142">
        <f t="shared" si="56"/>
        <v>6994.1535496305823</v>
      </c>
      <c r="X37" s="142">
        <f t="shared" si="57"/>
        <v>3</v>
      </c>
      <c r="Y37" s="142">
        <f t="shared" si="20"/>
        <v>582.84612913588182</v>
      </c>
      <c r="Z37" s="29">
        <f t="shared" ref="Z37:Z39" si="58">G37*$AD$12*$AB$12/F37</f>
        <v>2214.8152907163508</v>
      </c>
      <c r="AA37" s="2">
        <f>G37*$AB$12</f>
        <v>159.6</v>
      </c>
    </row>
    <row r="38" spans="1:37">
      <c r="A38" t="str">
        <f t="shared" si="39"/>
        <v>mer</v>
      </c>
      <c r="B38" s="2" t="str">
        <f t="shared" si="40"/>
        <v>Thứ Tư</v>
      </c>
      <c r="C38" s="5">
        <v>45126</v>
      </c>
      <c r="D38" s="2" t="s">
        <v>1275</v>
      </c>
      <c r="E38" s="466">
        <v>73324</v>
      </c>
      <c r="F38" s="2">
        <f t="shared" si="41"/>
        <v>2642</v>
      </c>
      <c r="G38" s="2">
        <f t="shared" si="42"/>
        <v>16</v>
      </c>
      <c r="H38" s="104">
        <f t="shared" si="43"/>
        <v>0.36336109008327028</v>
      </c>
      <c r="I38" s="18" t="str">
        <f t="shared" si="44"/>
        <v>202307</v>
      </c>
      <c r="J38" s="537">
        <f t="shared" si="45"/>
        <v>45126.906944444447</v>
      </c>
      <c r="L38" s="2" t="str">
        <f t="shared" si="46"/>
        <v>2023 29</v>
      </c>
      <c r="M38" s="2">
        <f t="shared" si="47"/>
        <v>2023</v>
      </c>
      <c r="N38" s="2" t="str">
        <f t="shared" si="48"/>
        <v>07</v>
      </c>
      <c r="O38" s="2">
        <f t="shared" si="49"/>
        <v>19</v>
      </c>
      <c r="P38" s="2" t="str">
        <f t="shared" si="50"/>
        <v>21</v>
      </c>
      <c r="Q38" s="2" t="str">
        <f t="shared" si="51"/>
        <v>46</v>
      </c>
      <c r="R38" s="2">
        <f t="shared" si="52"/>
        <v>44</v>
      </c>
      <c r="S38" s="2">
        <f t="shared" si="53"/>
        <v>2</v>
      </c>
      <c r="T38" s="538" t="str">
        <f t="shared" si="54"/>
        <v>21:46</v>
      </c>
      <c r="U38" s="412">
        <f t="shared" si="55"/>
        <v>2642</v>
      </c>
      <c r="V38" s="2" t="s">
        <v>1259</v>
      </c>
      <c r="W38" s="142">
        <f t="shared" si="56"/>
        <v>3139.4398183194553</v>
      </c>
      <c r="X38" s="142">
        <f t="shared" si="57"/>
        <v>1</v>
      </c>
      <c r="Y38" s="142">
        <f t="shared" si="20"/>
        <v>261.61998485995463</v>
      </c>
      <c r="Z38" s="29">
        <f t="shared" si="58"/>
        <v>994.15594246782746</v>
      </c>
      <c r="AA38" s="2">
        <f>G38*$AB$12</f>
        <v>60.8</v>
      </c>
      <c r="AD38"/>
    </row>
    <row r="39" spans="1:37">
      <c r="A39" t="str">
        <f t="shared" si="39"/>
        <v>jeu</v>
      </c>
      <c r="B39" s="2" t="str">
        <f t="shared" si="40"/>
        <v>Thứ Năm</v>
      </c>
      <c r="C39" s="5">
        <v>45127</v>
      </c>
      <c r="D39" s="2" t="s">
        <v>1277</v>
      </c>
      <c r="E39" s="466">
        <v>73329</v>
      </c>
      <c r="F39" s="2">
        <f t="shared" si="41"/>
        <v>1506</v>
      </c>
      <c r="G39" s="2">
        <f t="shared" si="42"/>
        <v>5</v>
      </c>
      <c r="H39" s="104">
        <f t="shared" si="43"/>
        <v>0.19920318725099601</v>
      </c>
      <c r="I39" s="18" t="str">
        <f t="shared" si="44"/>
        <v>202307</v>
      </c>
      <c r="J39" s="537">
        <f t="shared" si="45"/>
        <v>45127.952777777777</v>
      </c>
      <c r="L39" s="2" t="str">
        <f t="shared" si="46"/>
        <v>2023 29</v>
      </c>
      <c r="M39" s="2">
        <f t="shared" si="47"/>
        <v>2023</v>
      </c>
      <c r="N39" s="2" t="str">
        <f t="shared" si="48"/>
        <v>07</v>
      </c>
      <c r="O39" s="2">
        <f t="shared" si="49"/>
        <v>20</v>
      </c>
      <c r="P39" s="2" t="str">
        <f t="shared" si="50"/>
        <v>22</v>
      </c>
      <c r="Q39" s="2" t="str">
        <f t="shared" si="51"/>
        <v>52</v>
      </c>
      <c r="R39" s="2">
        <f t="shared" si="52"/>
        <v>25</v>
      </c>
      <c r="S39" s="2">
        <f t="shared" si="53"/>
        <v>6</v>
      </c>
      <c r="T39" s="538" t="str">
        <f t="shared" si="54"/>
        <v>22:52</v>
      </c>
      <c r="U39" s="412">
        <f t="shared" si="55"/>
        <v>1506</v>
      </c>
      <c r="V39" s="2" t="s">
        <v>1259</v>
      </c>
      <c r="W39" s="142">
        <f t="shared" si="56"/>
        <v>1721.1155378486053</v>
      </c>
      <c r="X39" s="142">
        <f t="shared" si="57"/>
        <v>1</v>
      </c>
      <c r="Y39" s="142">
        <f t="shared" si="20"/>
        <v>143.42629482071712</v>
      </c>
      <c r="Z39" s="29">
        <f t="shared" si="58"/>
        <v>545.0199203187251</v>
      </c>
      <c r="AA39" s="2">
        <f t="shared" ref="AA39" si="59">G39*$AB$12</f>
        <v>19</v>
      </c>
      <c r="AD39"/>
    </row>
    <row r="40" spans="1:37">
      <c r="I40" s="18" t="s">
        <v>1257</v>
      </c>
      <c r="J40" s="2" t="s">
        <v>1258</v>
      </c>
      <c r="AD40"/>
    </row>
    <row r="41" spans="1:37">
      <c r="D41" s="565" t="s">
        <v>1285</v>
      </c>
      <c r="E41" s="547" t="s">
        <v>1279</v>
      </c>
      <c r="F41" s="548">
        <f>SUM(F$35:F40)</f>
        <v>10131</v>
      </c>
      <c r="G41" s="548">
        <f>SUM(G$35:G40)</f>
        <v>102</v>
      </c>
      <c r="H41" s="549">
        <f t="shared" ref="H41" si="60">G41/(F41/60)</f>
        <v>0.60408646727864967</v>
      </c>
      <c r="I41" s="550" t="str">
        <f t="shared" ref="I41" si="61">CONCATENATE(YEAR(C41),N41)</f>
        <v>190001</v>
      </c>
      <c r="J41" s="551" t="e">
        <f>C41+VALUE(LEFT(#REF!,2))/24+VALUE(RIGHT(#REF!,2))/(24*60)</f>
        <v>#REF!</v>
      </c>
      <c r="K41" s="548"/>
      <c r="L41" s="548" t="str">
        <f t="shared" ref="L41" si="62">CONCATENATE(M41," ",WEEKNUM(C41))</f>
        <v>1900 0</v>
      </c>
      <c r="M41" s="548">
        <f t="shared" ref="M41" si="63">YEAR(C41)</f>
        <v>1900</v>
      </c>
      <c r="N41" s="548" t="str">
        <f t="shared" ref="N41" si="64">IF(MONTH(C41)&lt;10,CONCATENATE("0",MONTH(C41)),MONTH(C41))</f>
        <v>01</v>
      </c>
      <c r="O41" s="548" t="str">
        <f t="shared" ref="O41" si="65">IF(DAY(C41)&lt;10,CONCATENATE("0",DAY(C41)),DAY(C41))</f>
        <v>00</v>
      </c>
      <c r="P41" s="548" t="e">
        <f>LEFT(#REF!,2)</f>
        <v>#REF!</v>
      </c>
      <c r="Q41" s="548" t="e">
        <f>RIGHT(#REF!,2)</f>
        <v>#REF!</v>
      </c>
      <c r="R41" s="548" t="e">
        <f t="shared" ref="R41" si="66">IF(O41=O40,P41-P40, (24-P40)+P41+24*(O41-O40-1))</f>
        <v>#REF!</v>
      </c>
      <c r="S41" s="548" t="e">
        <f t="shared" ref="S41" si="67">Q41-Q40</f>
        <v>#REF!</v>
      </c>
      <c r="T41" s="552" t="e">
        <f t="shared" ref="T41" si="68">CONCATENATE(P41,":",Q41,"")</f>
        <v>#REF!</v>
      </c>
      <c r="U41" s="553" t="e">
        <f t="shared" ref="U41" si="69">(C41-C40)*60*24+(HOUR(T41)-HOUR(T40))*60+MINUTE(T41)-MINUTE(T40)</f>
        <v>#REF!</v>
      </c>
      <c r="V41" s="548" t="s">
        <v>1259</v>
      </c>
      <c r="W41" s="554">
        <f t="shared" ref="W41" si="70">H41*24*360</f>
        <v>5219.3070772875335</v>
      </c>
      <c r="X41" s="554">
        <f t="shared" ref="X41" si="71">C41-C40</f>
        <v>0</v>
      </c>
      <c r="Y41" s="554">
        <f t="shared" ref="Y41" si="72">H41*24*30</f>
        <v>434.94225644062777</v>
      </c>
      <c r="Z41" s="555">
        <f>G41*$AD$12*$AB$12/F41</f>
        <v>1652.7805744743855</v>
      </c>
      <c r="AA41" s="555">
        <f t="shared" ref="AA41" si="73">G41*$AB$12</f>
        <v>387.59999999999997</v>
      </c>
      <c r="AD41" s="547" t="s">
        <v>1279</v>
      </c>
    </row>
    <row r="42" spans="1:37">
      <c r="AD42"/>
    </row>
    <row r="43" spans="1:37">
      <c r="AD43"/>
    </row>
    <row r="44" spans="1:37">
      <c r="AK44" t="s">
        <v>1246</v>
      </c>
    </row>
    <row r="45" spans="1:37">
      <c r="AK45" t="s">
        <v>1247</v>
      </c>
    </row>
    <row r="47" spans="1:37">
      <c r="D47" s="2" t="s">
        <v>1252</v>
      </c>
      <c r="E47" s="2" t="s">
        <v>1253</v>
      </c>
      <c r="F47" s="2" t="s">
        <v>1254</v>
      </c>
      <c r="G47" s="2" t="s">
        <v>1255</v>
      </c>
      <c r="H47" s="2" t="s">
        <v>1256</v>
      </c>
    </row>
    <row r="48" spans="1:37">
      <c r="C48" s="2" t="s">
        <v>1252</v>
      </c>
    </row>
    <row r="49" spans="3:3">
      <c r="C49" s="2" t="s">
        <v>1253</v>
      </c>
    </row>
    <row r="50" spans="3:3">
      <c r="C50" s="2" t="s">
        <v>1254</v>
      </c>
    </row>
    <row r="51" spans="3:3">
      <c r="C51" s="2" t="s">
        <v>1255</v>
      </c>
    </row>
    <row r="52" spans="3:3">
      <c r="C52" s="2" t="s">
        <v>1256</v>
      </c>
    </row>
    <row r="53" spans="3:3">
      <c r="C53" s="2" t="s">
        <v>1257</v>
      </c>
    </row>
    <row r="54" spans="3:3">
      <c r="C54" s="2" t="s">
        <v>1258</v>
      </c>
    </row>
  </sheetData>
  <autoFilter ref="B8:AQ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DU1170"/>
  <sheetViews>
    <sheetView topLeftCell="A37" zoomScale="85" zoomScaleNormal="85" workbookViewId="0">
      <selection activeCell="A18" sqref="A18"/>
    </sheetView>
  </sheetViews>
  <sheetFormatPr baseColWidth="10" defaultRowHeight="15.6" outlineLevelRow="1"/>
  <cols>
    <col min="2" max="2" width="3.6640625" customWidth="1"/>
    <col min="3" max="3" width="12.33203125" customWidth="1"/>
    <col min="4" max="4" width="3.5546875" customWidth="1"/>
    <col min="5" max="5" width="38.33203125" style="450" customWidth="1"/>
    <col min="6" max="6" width="27.44140625" style="450" customWidth="1"/>
    <col min="7" max="7" width="20.44140625" style="450" customWidth="1"/>
    <col min="9" max="9" width="6" style="182" customWidth="1"/>
    <col min="10" max="10" width="12.33203125" customWidth="1"/>
    <col min="11" max="11" width="5.5546875" customWidth="1"/>
    <col min="12" max="12" width="13.109375" style="2" customWidth="1"/>
    <col min="13" max="13" width="34.44140625" customWidth="1"/>
    <col min="14" max="14" width="31.88671875" customWidth="1"/>
    <col min="15" max="15" width="41.109375" customWidth="1"/>
    <col min="16" max="16" width="25.88671875" customWidth="1"/>
    <col min="17" max="17" width="35" customWidth="1"/>
    <col min="18" max="20" width="15.88671875" customWidth="1"/>
    <col min="22" max="22" width="9.33203125" customWidth="1"/>
    <col min="23" max="23" width="9.6640625" style="2" customWidth="1"/>
  </cols>
  <sheetData>
    <row r="1" spans="1:125">
      <c r="Z1" t="s">
        <v>912</v>
      </c>
      <c r="AA1" t="s">
        <v>913</v>
      </c>
      <c r="AB1" t="s">
        <v>914</v>
      </c>
      <c r="AC1" t="s">
        <v>866</v>
      </c>
      <c r="AD1" t="s">
        <v>867</v>
      </c>
      <c r="AE1" t="s">
        <v>915</v>
      </c>
      <c r="AF1" t="s">
        <v>916</v>
      </c>
      <c r="AG1" t="s">
        <v>917</v>
      </c>
      <c r="AH1" t="s">
        <v>918</v>
      </c>
      <c r="AI1" t="s">
        <v>868</v>
      </c>
      <c r="AJ1" t="s">
        <v>911</v>
      </c>
      <c r="AK1" t="s">
        <v>869</v>
      </c>
      <c r="AL1" t="s">
        <v>919</v>
      </c>
      <c r="AM1" t="s">
        <v>920</v>
      </c>
      <c r="AN1" t="s">
        <v>921</v>
      </c>
      <c r="AO1" t="s">
        <v>870</v>
      </c>
      <c r="AP1" t="s">
        <v>922</v>
      </c>
      <c r="AQ1" t="s">
        <v>923</v>
      </c>
      <c r="AR1" t="s">
        <v>871</v>
      </c>
      <c r="AS1" t="s">
        <v>924</v>
      </c>
      <c r="AT1" t="s">
        <v>872</v>
      </c>
      <c r="AU1" t="s">
        <v>925</v>
      </c>
      <c r="AV1" t="s">
        <v>926</v>
      </c>
      <c r="AW1" t="s">
        <v>873</v>
      </c>
      <c r="AX1" t="s">
        <v>874</v>
      </c>
      <c r="AY1" t="s">
        <v>875</v>
      </c>
      <c r="AZ1" t="s">
        <v>927</v>
      </c>
      <c r="BA1" t="s">
        <v>928</v>
      </c>
      <c r="BB1" t="s">
        <v>876</v>
      </c>
      <c r="BC1" t="s">
        <v>877</v>
      </c>
      <c r="BD1" t="s">
        <v>877</v>
      </c>
      <c r="BE1" t="s">
        <v>877</v>
      </c>
      <c r="BF1" t="s">
        <v>929</v>
      </c>
      <c r="BG1" t="s">
        <v>930</v>
      </c>
      <c r="BH1" t="s">
        <v>878</v>
      </c>
      <c r="BI1" t="s">
        <v>931</v>
      </c>
      <c r="BJ1" t="s">
        <v>879</v>
      </c>
      <c r="BK1" t="s">
        <v>932</v>
      </c>
      <c r="BL1" t="s">
        <v>933</v>
      </c>
      <c r="BM1" t="s">
        <v>934</v>
      </c>
      <c r="BN1" t="s">
        <v>935</v>
      </c>
      <c r="BO1" t="s">
        <v>936</v>
      </c>
      <c r="BP1" t="s">
        <v>880</v>
      </c>
      <c r="BQ1" t="s">
        <v>937</v>
      </c>
      <c r="BR1" t="s">
        <v>938</v>
      </c>
      <c r="BS1" t="s">
        <v>939</v>
      </c>
      <c r="BT1" t="s">
        <v>940</v>
      </c>
      <c r="BU1" t="s">
        <v>881</v>
      </c>
      <c r="BV1" t="s">
        <v>941</v>
      </c>
      <c r="BW1" t="s">
        <v>882</v>
      </c>
      <c r="BX1" t="s">
        <v>942</v>
      </c>
      <c r="BY1" t="s">
        <v>883</v>
      </c>
      <c r="BZ1" t="s">
        <v>943</v>
      </c>
      <c r="CA1" t="s">
        <v>944</v>
      </c>
      <c r="CB1" t="s">
        <v>884</v>
      </c>
      <c r="CC1" t="s">
        <v>945</v>
      </c>
      <c r="CD1" t="s">
        <v>885</v>
      </c>
      <c r="CE1" t="s">
        <v>886</v>
      </c>
      <c r="CF1" t="s">
        <v>946</v>
      </c>
      <c r="CG1" t="s">
        <v>887</v>
      </c>
      <c r="CH1" t="s">
        <v>888</v>
      </c>
      <c r="CI1" t="s">
        <v>889</v>
      </c>
      <c r="CJ1" t="s">
        <v>890</v>
      </c>
      <c r="CK1" t="s">
        <v>947</v>
      </c>
      <c r="CL1" t="s">
        <v>891</v>
      </c>
      <c r="CM1" t="s">
        <v>892</v>
      </c>
      <c r="CN1" t="s">
        <v>893</v>
      </c>
      <c r="CO1" t="s">
        <v>948</v>
      </c>
      <c r="CP1" t="s">
        <v>894</v>
      </c>
      <c r="CQ1" t="s">
        <v>949</v>
      </c>
      <c r="CR1" t="s">
        <v>895</v>
      </c>
      <c r="CS1" t="s">
        <v>950</v>
      </c>
      <c r="CT1" t="s">
        <v>896</v>
      </c>
      <c r="CU1" t="s">
        <v>897</v>
      </c>
      <c r="CV1" t="s">
        <v>951</v>
      </c>
      <c r="CW1" t="s">
        <v>952</v>
      </c>
      <c r="CX1" t="s">
        <v>898</v>
      </c>
      <c r="CY1" t="s">
        <v>953</v>
      </c>
      <c r="CZ1" t="s">
        <v>899</v>
      </c>
      <c r="DA1" t="s">
        <v>954</v>
      </c>
      <c r="DB1" t="s">
        <v>900</v>
      </c>
      <c r="DC1" t="s">
        <v>955</v>
      </c>
      <c r="DD1" t="s">
        <v>901</v>
      </c>
      <c r="DE1" t="s">
        <v>902</v>
      </c>
      <c r="DF1" t="s">
        <v>956</v>
      </c>
      <c r="DG1" t="s">
        <v>957</v>
      </c>
      <c r="DH1" t="s">
        <v>958</v>
      </c>
      <c r="DI1" t="s">
        <v>959</v>
      </c>
      <c r="DJ1" t="s">
        <v>960</v>
      </c>
      <c r="DK1" t="s">
        <v>903</v>
      </c>
      <c r="DL1" t="s">
        <v>904</v>
      </c>
      <c r="DM1" t="s">
        <v>905</v>
      </c>
      <c r="DN1" t="s">
        <v>961</v>
      </c>
      <c r="DO1" t="s">
        <v>906</v>
      </c>
      <c r="DP1" t="s">
        <v>962</v>
      </c>
      <c r="DQ1" t="s">
        <v>907</v>
      </c>
      <c r="DR1" t="s">
        <v>908</v>
      </c>
      <c r="DS1" t="s">
        <v>909</v>
      </c>
    </row>
    <row r="2" spans="1:125">
      <c r="Y2" s="9" t="s">
        <v>910</v>
      </c>
      <c r="Z2" s="2" t="s">
        <v>963</v>
      </c>
      <c r="AA2" s="2" t="s">
        <v>963</v>
      </c>
      <c r="AB2" s="2" t="s">
        <v>963</v>
      </c>
      <c r="AC2" s="2">
        <v>1</v>
      </c>
      <c r="AD2" s="2">
        <v>1</v>
      </c>
      <c r="AE2" s="2" t="s">
        <v>963</v>
      </c>
      <c r="AF2" s="2" t="s">
        <v>963</v>
      </c>
      <c r="AG2" s="2" t="s">
        <v>963</v>
      </c>
      <c r="AH2" s="2" t="s">
        <v>963</v>
      </c>
      <c r="AI2" s="2">
        <v>1</v>
      </c>
      <c r="AJ2" s="2" t="s">
        <v>963</v>
      </c>
      <c r="AK2" s="2">
        <v>1</v>
      </c>
      <c r="AL2" s="2" t="s">
        <v>963</v>
      </c>
      <c r="AM2" s="2" t="s">
        <v>963</v>
      </c>
      <c r="AN2" s="2" t="s">
        <v>963</v>
      </c>
      <c r="AO2" s="2">
        <v>1</v>
      </c>
      <c r="AP2" s="2" t="s">
        <v>963</v>
      </c>
      <c r="AQ2" s="2" t="s">
        <v>963</v>
      </c>
      <c r="AR2" s="2" t="s">
        <v>963</v>
      </c>
      <c r="AS2" s="2" t="s">
        <v>963</v>
      </c>
      <c r="AT2" s="2">
        <v>1</v>
      </c>
      <c r="AU2" s="2" t="s">
        <v>963</v>
      </c>
      <c r="AV2" s="2">
        <v>1</v>
      </c>
      <c r="AW2" s="2" t="s">
        <v>963</v>
      </c>
      <c r="AX2" s="2" t="s">
        <v>963</v>
      </c>
      <c r="AY2" s="2">
        <v>1</v>
      </c>
      <c r="AZ2" s="2">
        <v>1</v>
      </c>
      <c r="BA2" s="2">
        <v>1</v>
      </c>
      <c r="BB2" s="2" t="s">
        <v>963</v>
      </c>
      <c r="BC2" s="2" t="s">
        <v>963</v>
      </c>
      <c r="BD2" s="2">
        <v>1</v>
      </c>
      <c r="BE2" s="2">
        <v>1</v>
      </c>
      <c r="BF2" s="2">
        <v>1</v>
      </c>
      <c r="BG2" s="2">
        <v>1</v>
      </c>
      <c r="BH2" s="2" t="s">
        <v>963</v>
      </c>
      <c r="BI2" s="2" t="s">
        <v>963</v>
      </c>
      <c r="BJ2" s="2">
        <v>1</v>
      </c>
      <c r="BK2" s="2" t="s">
        <v>963</v>
      </c>
      <c r="BL2" s="2">
        <v>1</v>
      </c>
      <c r="BM2" s="2" t="s">
        <v>963</v>
      </c>
      <c r="BN2" s="2" t="s">
        <v>963</v>
      </c>
      <c r="BO2" s="2" t="s">
        <v>963</v>
      </c>
      <c r="BP2" s="2" t="s">
        <v>963</v>
      </c>
      <c r="BQ2" s="2" t="s">
        <v>963</v>
      </c>
      <c r="BR2" s="2">
        <v>1</v>
      </c>
      <c r="BS2" s="2" t="s">
        <v>963</v>
      </c>
      <c r="BT2" s="2" t="s">
        <v>963</v>
      </c>
      <c r="BU2" s="2" t="s">
        <v>963</v>
      </c>
      <c r="BV2" s="2" t="s">
        <v>963</v>
      </c>
      <c r="BW2" s="2">
        <v>1</v>
      </c>
      <c r="BX2" s="2" t="s">
        <v>963</v>
      </c>
      <c r="BY2" s="2">
        <v>1</v>
      </c>
      <c r="BZ2" s="2" t="s">
        <v>963</v>
      </c>
      <c r="CA2" s="2">
        <v>1</v>
      </c>
      <c r="CB2" s="2" t="s">
        <v>963</v>
      </c>
      <c r="CC2" s="2" t="s">
        <v>963</v>
      </c>
      <c r="CD2" s="2">
        <v>1</v>
      </c>
      <c r="CE2" s="2" t="s">
        <v>963</v>
      </c>
      <c r="CF2" s="2">
        <v>1</v>
      </c>
      <c r="CG2" s="2">
        <v>1</v>
      </c>
      <c r="CH2" s="2" t="s">
        <v>963</v>
      </c>
      <c r="CI2" s="2">
        <v>1</v>
      </c>
      <c r="CJ2" s="2">
        <v>1</v>
      </c>
      <c r="CK2" s="2">
        <v>1</v>
      </c>
      <c r="CL2" s="2">
        <v>1</v>
      </c>
      <c r="CM2" s="2" t="s">
        <v>963</v>
      </c>
      <c r="CN2" s="2">
        <v>1</v>
      </c>
      <c r="CO2" s="2">
        <v>1</v>
      </c>
      <c r="CP2" s="2">
        <v>1</v>
      </c>
      <c r="CQ2" s="2" t="s">
        <v>963</v>
      </c>
      <c r="CR2" s="2">
        <v>1</v>
      </c>
      <c r="CS2" s="2" t="s">
        <v>963</v>
      </c>
      <c r="CT2" s="2">
        <v>1</v>
      </c>
      <c r="CU2" s="2" t="s">
        <v>963</v>
      </c>
      <c r="CV2" s="2">
        <v>1</v>
      </c>
      <c r="CW2" s="2">
        <v>1</v>
      </c>
      <c r="CX2" s="2" t="s">
        <v>963</v>
      </c>
      <c r="CY2" s="2" t="s">
        <v>963</v>
      </c>
      <c r="CZ2" s="2">
        <v>1</v>
      </c>
      <c r="DA2" s="2" t="s">
        <v>963</v>
      </c>
      <c r="DB2" s="2">
        <v>1</v>
      </c>
      <c r="DC2" s="2" t="s">
        <v>963</v>
      </c>
      <c r="DD2" s="2">
        <v>2</v>
      </c>
      <c r="DE2" s="2" t="s">
        <v>963</v>
      </c>
      <c r="DF2" s="2">
        <v>1</v>
      </c>
      <c r="DG2" s="2">
        <v>2</v>
      </c>
      <c r="DH2" s="2" t="s">
        <v>963</v>
      </c>
      <c r="DI2" s="2" t="s">
        <v>963</v>
      </c>
      <c r="DJ2" s="2" t="s">
        <v>963</v>
      </c>
      <c r="DK2" s="2" t="s">
        <v>963</v>
      </c>
      <c r="DL2" s="2" t="s">
        <v>963</v>
      </c>
      <c r="DM2" s="2">
        <v>1</v>
      </c>
      <c r="DN2" s="2">
        <v>1</v>
      </c>
      <c r="DO2" s="2">
        <v>1</v>
      </c>
      <c r="DP2" s="2" t="s">
        <v>963</v>
      </c>
      <c r="DQ2" s="2">
        <v>1</v>
      </c>
      <c r="DR2" s="2" t="s">
        <v>963</v>
      </c>
      <c r="DS2" s="2">
        <v>1</v>
      </c>
      <c r="DT2" s="2">
        <v>1</v>
      </c>
      <c r="DU2" s="2">
        <v>1</v>
      </c>
    </row>
    <row r="3" spans="1:125">
      <c r="I3" s="182">
        <f>SUM(I47:I1170)</f>
        <v>1</v>
      </c>
      <c r="Y3" t="s">
        <v>647</v>
      </c>
      <c r="AD3">
        <v>40</v>
      </c>
      <c r="AE3">
        <v>27</v>
      </c>
      <c r="AF3">
        <v>60</v>
      </c>
      <c r="AG3">
        <v>30</v>
      </c>
      <c r="AH3">
        <v>0</v>
      </c>
      <c r="AI3">
        <v>0</v>
      </c>
      <c r="AJ3">
        <v>96</v>
      </c>
      <c r="AL3">
        <v>105</v>
      </c>
      <c r="AM3">
        <v>85</v>
      </c>
      <c r="AN3">
        <v>25</v>
      </c>
      <c r="AO3">
        <v>85</v>
      </c>
      <c r="AQ3">
        <v>45</v>
      </c>
      <c r="AS3">
        <v>115</v>
      </c>
      <c r="AT3">
        <v>30</v>
      </c>
      <c r="AU3">
        <v>30</v>
      </c>
      <c r="AV3">
        <v>25</v>
      </c>
      <c r="AW3">
        <v>165</v>
      </c>
      <c r="AX3">
        <v>30</v>
      </c>
      <c r="AZ3">
        <v>40</v>
      </c>
      <c r="BA3">
        <v>30</v>
      </c>
      <c r="BB3">
        <v>150</v>
      </c>
      <c r="BC3">
        <v>35</v>
      </c>
      <c r="BD3">
        <v>70</v>
      </c>
      <c r="BE3">
        <v>40</v>
      </c>
      <c r="BF3">
        <v>50</v>
      </c>
      <c r="BG3">
        <v>55</v>
      </c>
      <c r="BH3">
        <v>55</v>
      </c>
      <c r="BI3">
        <v>24</v>
      </c>
      <c r="BJ3">
        <v>24</v>
      </c>
      <c r="BK3">
        <v>100</v>
      </c>
      <c r="BM3">
        <v>165</v>
      </c>
      <c r="BN3">
        <v>90</v>
      </c>
      <c r="BO3">
        <v>90</v>
      </c>
      <c r="BP3">
        <v>40</v>
      </c>
      <c r="BQ3">
        <v>90</v>
      </c>
      <c r="BR3">
        <v>40</v>
      </c>
      <c r="BS3">
        <v>0</v>
      </c>
      <c r="BT3">
        <v>130</v>
      </c>
      <c r="BU3">
        <v>40</v>
      </c>
      <c r="BV3">
        <v>80</v>
      </c>
      <c r="BW3">
        <v>40</v>
      </c>
      <c r="BX3">
        <v>70</v>
      </c>
      <c r="BZ3">
        <v>50</v>
      </c>
      <c r="CA3">
        <v>40</v>
      </c>
      <c r="CB3">
        <v>25</v>
      </c>
      <c r="CC3">
        <v>75</v>
      </c>
      <c r="CD3">
        <v>80</v>
      </c>
      <c r="CF3">
        <v>50</v>
      </c>
      <c r="CG3">
        <v>40</v>
      </c>
      <c r="CH3">
        <v>50</v>
      </c>
      <c r="CI3">
        <v>55</v>
      </c>
      <c r="CJ3">
        <v>90</v>
      </c>
      <c r="CM3">
        <v>0</v>
      </c>
      <c r="CN3">
        <v>9</v>
      </c>
      <c r="CO3">
        <v>9</v>
      </c>
      <c r="CP3">
        <v>0</v>
      </c>
      <c r="CR3">
        <v>15</v>
      </c>
      <c r="CS3">
        <v>0</v>
      </c>
      <c r="CT3">
        <v>100</v>
      </c>
      <c r="CU3">
        <v>0</v>
      </c>
      <c r="CV3">
        <v>0</v>
      </c>
      <c r="DD3">
        <v>0</v>
      </c>
      <c r="DE3">
        <v>0</v>
      </c>
      <c r="DF3">
        <v>0</v>
      </c>
      <c r="DG3">
        <v>129.81818181818181</v>
      </c>
      <c r="DH3">
        <v>68.727272727272734</v>
      </c>
      <c r="DI3">
        <v>0</v>
      </c>
      <c r="DJ3">
        <v>0</v>
      </c>
      <c r="DK3">
        <v>0</v>
      </c>
      <c r="DL3">
        <v>0</v>
      </c>
      <c r="DM3">
        <v>0</v>
      </c>
      <c r="DN3">
        <v>0</v>
      </c>
      <c r="DO3">
        <v>0</v>
      </c>
      <c r="DP3">
        <v>0</v>
      </c>
      <c r="DQ3">
        <v>230</v>
      </c>
    </row>
    <row r="4" spans="1:125">
      <c r="D4" s="330" t="s">
        <v>628</v>
      </c>
      <c r="E4" s="467" t="s">
        <v>662</v>
      </c>
      <c r="I4" s="463">
        <v>15</v>
      </c>
      <c r="M4" s="2">
        <v>18</v>
      </c>
      <c r="N4" s="2">
        <v>1089</v>
      </c>
      <c r="O4" s="2">
        <v>1104</v>
      </c>
      <c r="P4" s="2">
        <v>1121</v>
      </c>
      <c r="Q4" s="2">
        <v>1141</v>
      </c>
      <c r="R4" s="2">
        <f>+Q4+9</f>
        <v>1150</v>
      </c>
      <c r="S4" s="2">
        <v>1161</v>
      </c>
      <c r="T4" s="2">
        <v>227</v>
      </c>
    </row>
    <row r="5" spans="1:125" ht="16.2" thickBot="1">
      <c r="A5" s="2" t="str">
        <f>IF(B5="*",ROW(),"")</f>
        <v/>
      </c>
      <c r="B5" t="str">
        <f>LEFT(E5,1)</f>
        <v/>
      </c>
      <c r="C5">
        <f>IF(B5="*",RIGHT(E5,10),C4)</f>
        <v>0</v>
      </c>
      <c r="D5" s="330" t="s">
        <v>628</v>
      </c>
      <c r="E5" s="441"/>
      <c r="M5" s="2" t="str">
        <f t="shared" ref="M5:S5" ca="1" si="0">INDIRECT("C"&amp;M4)</f>
        <v>17 Nov Jeu</v>
      </c>
      <c r="N5" s="2" t="e">
        <f t="shared" ca="1" si="0"/>
        <v>#REF!</v>
      </c>
      <c r="O5" s="2" t="e">
        <f t="shared" ca="1" si="0"/>
        <v>#REF!</v>
      </c>
      <c r="P5" s="2" t="e">
        <f t="shared" ca="1" si="0"/>
        <v>#REF!</v>
      </c>
      <c r="Q5" s="2" t="e">
        <f t="shared" ca="1" si="0"/>
        <v>#REF!</v>
      </c>
      <c r="R5" s="2" t="e">
        <f t="shared" ca="1" si="0"/>
        <v>#REF!</v>
      </c>
      <c r="S5" s="2" t="e">
        <f t="shared" ca="1" si="0"/>
        <v>#REF!</v>
      </c>
      <c r="T5" s="2" t="e">
        <f ca="1">INDIRECT("C"&amp;T4)</f>
        <v>#REF!</v>
      </c>
      <c r="X5" s="4" t="s">
        <v>910</v>
      </c>
      <c r="Y5">
        <v>5</v>
      </c>
      <c r="AC5" s="2">
        <f>VLOOKUP(AC$4,C:J,7,FALSE)</f>
        <v>0</v>
      </c>
      <c r="AD5" s="2">
        <v>1</v>
      </c>
      <c r="AE5" s="2">
        <v>1</v>
      </c>
      <c r="AF5" s="2">
        <v>1</v>
      </c>
      <c r="AG5" s="2">
        <v>1</v>
      </c>
      <c r="AH5" s="2">
        <v>1</v>
      </c>
      <c r="AI5" s="2">
        <v>1</v>
      </c>
      <c r="AJ5" s="2">
        <v>1</v>
      </c>
      <c r="AK5" s="2">
        <v>1</v>
      </c>
      <c r="AL5" s="2">
        <v>1</v>
      </c>
      <c r="AM5" s="2">
        <v>1</v>
      </c>
      <c r="AN5" s="2">
        <v>1</v>
      </c>
      <c r="AO5" s="2">
        <v>1</v>
      </c>
      <c r="AP5" s="2">
        <v>1</v>
      </c>
      <c r="AQ5" s="2">
        <v>1</v>
      </c>
      <c r="AR5" s="2">
        <v>1</v>
      </c>
      <c r="AS5" s="2">
        <v>1</v>
      </c>
      <c r="AT5" s="2">
        <v>1</v>
      </c>
      <c r="AU5" s="2">
        <v>1</v>
      </c>
      <c r="AV5" s="2">
        <v>1</v>
      </c>
      <c r="AW5" s="2">
        <v>1</v>
      </c>
      <c r="AX5" s="2">
        <v>1</v>
      </c>
      <c r="AY5" s="2">
        <v>1</v>
      </c>
      <c r="AZ5" s="2">
        <v>1</v>
      </c>
      <c r="BA5" s="2">
        <v>1</v>
      </c>
      <c r="BB5" s="2">
        <v>1</v>
      </c>
      <c r="BC5" s="2">
        <v>1</v>
      </c>
      <c r="BD5" s="2">
        <v>1</v>
      </c>
      <c r="BE5" s="2">
        <v>1</v>
      </c>
      <c r="BF5" s="2">
        <v>1</v>
      </c>
      <c r="BG5" s="2">
        <v>1</v>
      </c>
      <c r="BH5" s="2">
        <v>1</v>
      </c>
      <c r="BI5" s="2">
        <v>1</v>
      </c>
      <c r="BJ5" s="2">
        <v>1</v>
      </c>
      <c r="BK5" s="2">
        <v>1</v>
      </c>
      <c r="BL5" s="2">
        <v>1</v>
      </c>
      <c r="BM5" s="2">
        <v>2</v>
      </c>
      <c r="BN5" s="2">
        <v>1</v>
      </c>
      <c r="BO5" s="2">
        <v>2</v>
      </c>
      <c r="BP5" s="2">
        <v>1</v>
      </c>
      <c r="BQ5" s="2">
        <v>1</v>
      </c>
      <c r="BR5" s="2">
        <v>1</v>
      </c>
      <c r="BS5" s="2">
        <v>1</v>
      </c>
      <c r="BT5" s="2">
        <v>1</v>
      </c>
      <c r="BU5" s="2">
        <v>1</v>
      </c>
      <c r="BV5" s="2">
        <v>1</v>
      </c>
    </row>
    <row r="6" spans="1:125" ht="16.2" thickBot="1">
      <c r="A6" s="2">
        <f t="shared" ref="A6:A64" si="1">IF(B6="*",ROW(),"")</f>
        <v>6</v>
      </c>
      <c r="B6" t="str">
        <f>LEFT(E6,1)</f>
        <v>*</v>
      </c>
      <c r="C6" t="str">
        <f t="shared" ref="C6:C64" si="2">IF(B6="*",RIGHT(E6,10),C5)</f>
        <v>16 Nov Mer</v>
      </c>
      <c r="D6" s="330" t="s">
        <v>628</v>
      </c>
      <c r="E6" s="468" t="s">
        <v>979</v>
      </c>
      <c r="F6" s="469"/>
      <c r="G6" s="469"/>
      <c r="I6" s="479" t="str">
        <f>IFERROR(IF(VALUE(B6)=5,FIND($I$4,F6,1),""),"")</f>
        <v/>
      </c>
      <c r="K6" s="4">
        <v>1</v>
      </c>
      <c r="L6" s="2" t="s">
        <v>641</v>
      </c>
      <c r="M6" s="97">
        <f t="shared" ref="M6:T12" ca="1" si="3">INDIRECT("F"&amp;M$4+$K6)</f>
        <v>40</v>
      </c>
      <c r="N6" s="97">
        <f t="shared" ca="1" si="3"/>
        <v>0</v>
      </c>
      <c r="O6" s="97">
        <f t="shared" ca="1" si="3"/>
        <v>0</v>
      </c>
      <c r="P6" s="97">
        <f t="shared" ca="1" si="3"/>
        <v>0</v>
      </c>
      <c r="Q6" s="97">
        <f t="shared" ca="1" si="3"/>
        <v>0</v>
      </c>
      <c r="R6" s="97">
        <f t="shared" ca="1" si="3"/>
        <v>0</v>
      </c>
      <c r="S6" s="97">
        <f t="shared" ca="1" si="3"/>
        <v>0</v>
      </c>
      <c r="T6" s="97">
        <f t="shared" ca="1" si="3"/>
        <v>0</v>
      </c>
      <c r="AF6" s="2">
        <v>4</v>
      </c>
      <c r="AT6" s="2">
        <v>14</v>
      </c>
      <c r="BL6" s="2">
        <v>18</v>
      </c>
      <c r="BV6" s="2">
        <v>12</v>
      </c>
    </row>
    <row r="7" spans="1:125" ht="16.2" thickBot="1">
      <c r="A7" s="2" t="str">
        <f t="shared" si="1"/>
        <v/>
      </c>
      <c r="B7" t="str">
        <f>LEFT(E7,1)</f>
        <v>1</v>
      </c>
      <c r="C7" t="str">
        <f t="shared" si="2"/>
        <v>16 Nov Mer</v>
      </c>
      <c r="D7" s="330" t="s">
        <v>628</v>
      </c>
      <c r="E7" s="470" t="s">
        <v>641</v>
      </c>
      <c r="F7" s="471" t="s">
        <v>663</v>
      </c>
      <c r="G7" s="472"/>
      <c r="I7" s="479" t="str">
        <f t="shared" ref="I7:I49" si="4">IFERROR(IF(VALUE(B7)=5,FIND($I$4,F7,1),""),"")</f>
        <v/>
      </c>
      <c r="K7" s="4">
        <f>K6+1</f>
        <v>2</v>
      </c>
      <c r="L7" s="2" t="s">
        <v>642</v>
      </c>
      <c r="M7" s="97">
        <f t="shared" ca="1" si="3"/>
        <v>380</v>
      </c>
      <c r="N7" s="97">
        <f t="shared" ca="1" si="3"/>
        <v>0</v>
      </c>
      <c r="O7" s="97">
        <f t="shared" ca="1" si="3"/>
        <v>0</v>
      </c>
      <c r="P7" s="97">
        <f t="shared" ca="1" si="3"/>
        <v>0</v>
      </c>
      <c r="Q7" s="97">
        <f t="shared" ca="1" si="3"/>
        <v>0</v>
      </c>
      <c r="R7" s="97">
        <f t="shared" ca="1" si="3"/>
        <v>0</v>
      </c>
      <c r="S7" s="97">
        <f t="shared" ca="1" si="3"/>
        <v>0</v>
      </c>
      <c r="T7" s="97">
        <f t="shared" ca="1" si="3"/>
        <v>0</v>
      </c>
      <c r="AF7" s="2">
        <v>11</v>
      </c>
      <c r="AT7" s="2">
        <v>31</v>
      </c>
      <c r="BL7" s="2">
        <v>31</v>
      </c>
      <c r="BV7" s="2">
        <v>19</v>
      </c>
    </row>
    <row r="8" spans="1:125" ht="16.2" thickBot="1">
      <c r="A8" s="2" t="str">
        <f t="shared" si="1"/>
        <v/>
      </c>
      <c r="B8" t="str">
        <f t="shared" ref="B8:B18" si="5">LEFT(E8,1)</f>
        <v>2</v>
      </c>
      <c r="C8" t="str">
        <f t="shared" si="2"/>
        <v>16 Nov Mer</v>
      </c>
      <c r="D8" s="330" t="s">
        <v>628</v>
      </c>
      <c r="E8" s="470" t="s">
        <v>642</v>
      </c>
      <c r="F8" s="472"/>
      <c r="G8" s="472"/>
      <c r="I8" s="479" t="str">
        <f t="shared" si="4"/>
        <v/>
      </c>
      <c r="K8" s="4">
        <f t="shared" ref="K8:K71" si="6">K7+1</f>
        <v>3</v>
      </c>
      <c r="L8" s="2" t="s">
        <v>643</v>
      </c>
      <c r="M8" s="97">
        <f t="shared" ca="1" si="3"/>
        <v>120</v>
      </c>
      <c r="N8" s="97">
        <f t="shared" ca="1" si="3"/>
        <v>0</v>
      </c>
      <c r="O8" s="97">
        <f t="shared" ca="1" si="3"/>
        <v>0</v>
      </c>
      <c r="P8" s="97">
        <f t="shared" ca="1" si="3"/>
        <v>0</v>
      </c>
      <c r="Q8" s="97">
        <f t="shared" ca="1" si="3"/>
        <v>0</v>
      </c>
      <c r="R8" s="97">
        <f t="shared" ca="1" si="3"/>
        <v>0</v>
      </c>
      <c r="S8" s="97">
        <f t="shared" ca="1" si="3"/>
        <v>0</v>
      </c>
      <c r="T8" s="97">
        <f t="shared" ca="1" si="3"/>
        <v>0</v>
      </c>
    </row>
    <row r="9" spans="1:125" ht="16.2" thickBot="1">
      <c r="A9" s="2" t="str">
        <f t="shared" si="1"/>
        <v/>
      </c>
      <c r="B9" t="str">
        <f t="shared" si="5"/>
        <v>3</v>
      </c>
      <c r="C9" t="str">
        <f t="shared" si="2"/>
        <v>16 Nov Mer</v>
      </c>
      <c r="D9" s="330" t="s">
        <v>628</v>
      </c>
      <c r="E9" s="470" t="s">
        <v>643</v>
      </c>
      <c r="F9" s="471">
        <v>95</v>
      </c>
      <c r="G9" s="471" t="s">
        <v>644</v>
      </c>
      <c r="I9" s="479" t="str">
        <f t="shared" si="4"/>
        <v/>
      </c>
      <c r="K9" s="4">
        <f t="shared" si="6"/>
        <v>4</v>
      </c>
      <c r="L9" s="2" t="s">
        <v>645</v>
      </c>
      <c r="M9" s="97" t="str">
        <f t="shared" ca="1" si="3"/>
        <v>30 30</v>
      </c>
      <c r="N9" s="97">
        <f t="shared" ca="1" si="3"/>
        <v>0</v>
      </c>
      <c r="O9" s="97">
        <f t="shared" ca="1" si="3"/>
        <v>0</v>
      </c>
      <c r="P9" s="97">
        <f t="shared" ca="1" si="3"/>
        <v>0</v>
      </c>
      <c r="Q9" s="97">
        <f t="shared" ca="1" si="3"/>
        <v>0</v>
      </c>
      <c r="R9" s="97">
        <f t="shared" ca="1" si="3"/>
        <v>0</v>
      </c>
      <c r="S9" s="97">
        <f t="shared" ca="1" si="3"/>
        <v>0</v>
      </c>
      <c r="T9" s="97">
        <f t="shared" ca="1" si="3"/>
        <v>0</v>
      </c>
    </row>
    <row r="10" spans="1:125" ht="16.2" thickBot="1">
      <c r="A10" s="2" t="str">
        <f t="shared" si="1"/>
        <v/>
      </c>
      <c r="B10" t="str">
        <f t="shared" si="5"/>
        <v>4</v>
      </c>
      <c r="C10" t="str">
        <f t="shared" si="2"/>
        <v>16 Nov Mer</v>
      </c>
      <c r="D10" s="330" t="s">
        <v>628</v>
      </c>
      <c r="E10" s="470" t="s">
        <v>645</v>
      </c>
      <c r="F10" s="471">
        <v>23</v>
      </c>
      <c r="G10" s="472"/>
      <c r="I10" s="479" t="str">
        <f t="shared" si="4"/>
        <v/>
      </c>
      <c r="K10" s="4">
        <f t="shared" si="6"/>
        <v>5</v>
      </c>
      <c r="L10" s="2" t="s">
        <v>646</v>
      </c>
      <c r="M10" s="97">
        <f t="shared" ca="1" si="3"/>
        <v>0</v>
      </c>
      <c r="N10" s="97">
        <f t="shared" ca="1" si="3"/>
        <v>0</v>
      </c>
      <c r="O10" s="97">
        <f t="shared" ca="1" si="3"/>
        <v>0</v>
      </c>
      <c r="P10" s="97">
        <f t="shared" ca="1" si="3"/>
        <v>0</v>
      </c>
      <c r="Q10" s="97">
        <f t="shared" ca="1" si="3"/>
        <v>0</v>
      </c>
      <c r="R10" s="97">
        <f t="shared" ca="1" si="3"/>
        <v>0</v>
      </c>
      <c r="S10" s="97">
        <f t="shared" ca="1" si="3"/>
        <v>0</v>
      </c>
      <c r="T10" s="97">
        <f t="shared" ca="1" si="3"/>
        <v>0</v>
      </c>
    </row>
    <row r="11" spans="1:125" ht="16.2" thickBot="1">
      <c r="A11" s="2" t="str">
        <f t="shared" si="1"/>
        <v/>
      </c>
      <c r="B11" t="str">
        <f t="shared" si="5"/>
        <v>5</v>
      </c>
      <c r="C11" t="str">
        <f t="shared" si="2"/>
        <v>16 Nov Mer</v>
      </c>
      <c r="D11" s="330" t="s">
        <v>628</v>
      </c>
      <c r="E11" s="470" t="s">
        <v>646</v>
      </c>
      <c r="F11" s="472"/>
      <c r="G11" s="472"/>
      <c r="I11" s="479" t="str">
        <f t="shared" si="4"/>
        <v/>
      </c>
      <c r="K11" s="4">
        <f t="shared" si="6"/>
        <v>6</v>
      </c>
      <c r="L11" s="2" t="s">
        <v>647</v>
      </c>
      <c r="M11" s="97">
        <f t="shared" ca="1" si="3"/>
        <v>0</v>
      </c>
      <c r="N11" s="97">
        <f t="shared" ca="1" si="3"/>
        <v>0</v>
      </c>
      <c r="O11" s="97">
        <f t="shared" ca="1" si="3"/>
        <v>0</v>
      </c>
      <c r="P11" s="97">
        <f t="shared" ca="1" si="3"/>
        <v>0</v>
      </c>
      <c r="Q11" s="97">
        <f t="shared" ca="1" si="3"/>
        <v>0</v>
      </c>
      <c r="R11" s="97">
        <f t="shared" ca="1" si="3"/>
        <v>0</v>
      </c>
      <c r="S11" s="97">
        <f t="shared" ca="1" si="3"/>
        <v>0</v>
      </c>
      <c r="T11" s="97">
        <f t="shared" ca="1" si="3"/>
        <v>0</v>
      </c>
    </row>
    <row r="12" spans="1:125" ht="16.2" thickBot="1">
      <c r="A12" s="2" t="str">
        <f t="shared" si="1"/>
        <v/>
      </c>
      <c r="B12" t="str">
        <f t="shared" si="5"/>
        <v>6</v>
      </c>
      <c r="C12" t="str">
        <f t="shared" si="2"/>
        <v>16 Nov Mer</v>
      </c>
      <c r="D12" s="330" t="s">
        <v>628</v>
      </c>
      <c r="E12" s="470" t="s">
        <v>647</v>
      </c>
      <c r="F12" s="472"/>
      <c r="G12" s="472"/>
      <c r="I12" s="479" t="str">
        <f t="shared" si="4"/>
        <v/>
      </c>
      <c r="K12" s="4">
        <f t="shared" si="6"/>
        <v>7</v>
      </c>
      <c r="L12" s="2" t="s">
        <v>648</v>
      </c>
      <c r="M12" s="204">
        <f t="shared" ca="1" si="3"/>
        <v>0</v>
      </c>
      <c r="N12" s="204">
        <f t="shared" ca="1" si="3"/>
        <v>0</v>
      </c>
      <c r="O12" s="204">
        <f t="shared" ca="1" si="3"/>
        <v>0</v>
      </c>
      <c r="P12" s="204">
        <f t="shared" ca="1" si="3"/>
        <v>0</v>
      </c>
      <c r="Q12" s="204">
        <f t="shared" ca="1" si="3"/>
        <v>0</v>
      </c>
      <c r="R12" s="204">
        <f t="shared" ca="1" si="3"/>
        <v>0</v>
      </c>
      <c r="S12" s="204">
        <f t="shared" ca="1" si="3"/>
        <v>0</v>
      </c>
      <c r="T12" s="204">
        <f t="shared" ca="1" si="3"/>
        <v>0</v>
      </c>
    </row>
    <row r="13" spans="1:125" ht="16.2" thickBot="1">
      <c r="A13" s="2" t="str">
        <f t="shared" si="1"/>
        <v/>
      </c>
      <c r="B13" t="str">
        <f t="shared" si="5"/>
        <v>7</v>
      </c>
      <c r="C13" t="str">
        <f t="shared" si="2"/>
        <v>16 Nov Mer</v>
      </c>
      <c r="D13" s="330" t="s">
        <v>628</v>
      </c>
      <c r="E13" s="470" t="s">
        <v>648</v>
      </c>
      <c r="F13" s="472"/>
      <c r="G13" s="472"/>
      <c r="I13" s="479" t="str">
        <f t="shared" si="4"/>
        <v/>
      </c>
      <c r="K13" s="2">
        <f t="shared" si="6"/>
        <v>8</v>
      </c>
      <c r="M13" s="2">
        <f t="shared" ref="M13:T28" ca="1" si="7">INDIRECT("E"&amp;M$4+$K13)</f>
        <v>0</v>
      </c>
      <c r="N13" s="2">
        <f t="shared" ca="1" si="7"/>
        <v>0</v>
      </c>
      <c r="O13" s="2">
        <f t="shared" ca="1" si="7"/>
        <v>0</v>
      </c>
      <c r="P13" s="2">
        <f t="shared" ca="1" si="7"/>
        <v>0</v>
      </c>
      <c r="Q13" s="2">
        <f t="shared" ca="1" si="7"/>
        <v>0</v>
      </c>
      <c r="R13" s="2">
        <f t="shared" ca="1" si="7"/>
        <v>0</v>
      </c>
      <c r="S13" s="2">
        <f t="shared" ca="1" si="7"/>
        <v>0</v>
      </c>
      <c r="T13" s="2">
        <f t="shared" ca="1" si="7"/>
        <v>0</v>
      </c>
    </row>
    <row r="14" spans="1:125">
      <c r="A14" s="2" t="str">
        <f t="shared" si="1"/>
        <v/>
      </c>
      <c r="B14" t="str">
        <f t="shared" si="5"/>
        <v/>
      </c>
      <c r="C14" t="str">
        <f t="shared" si="2"/>
        <v>16 Nov Mer</v>
      </c>
      <c r="D14" s="330" t="s">
        <v>628</v>
      </c>
      <c r="E14" s="473"/>
      <c r="I14" s="479" t="str">
        <f t="shared" si="4"/>
        <v/>
      </c>
      <c r="K14" s="2">
        <f t="shared" si="6"/>
        <v>9</v>
      </c>
      <c r="M14" s="2">
        <f t="shared" ca="1" si="7"/>
        <v>0</v>
      </c>
      <c r="N14" s="2">
        <f t="shared" ca="1" si="7"/>
        <v>0</v>
      </c>
      <c r="O14" s="2">
        <f t="shared" ca="1" si="7"/>
        <v>0</v>
      </c>
      <c r="P14" s="2">
        <f t="shared" ca="1" si="7"/>
        <v>0</v>
      </c>
      <c r="Q14" s="2">
        <f t="shared" ca="1" si="7"/>
        <v>0</v>
      </c>
      <c r="R14" s="2">
        <f t="shared" ca="1" si="7"/>
        <v>0</v>
      </c>
      <c r="S14" s="2">
        <f t="shared" ca="1" si="7"/>
        <v>0</v>
      </c>
      <c r="T14" s="2">
        <f t="shared" ca="1" si="7"/>
        <v>0</v>
      </c>
    </row>
    <row r="15" spans="1:125">
      <c r="A15" s="2" t="str">
        <f t="shared" si="1"/>
        <v/>
      </c>
      <c r="B15" t="str">
        <f t="shared" si="5"/>
        <v/>
      </c>
      <c r="C15" t="str">
        <f t="shared" si="2"/>
        <v>16 Nov Mer</v>
      </c>
      <c r="D15" s="330" t="s">
        <v>628</v>
      </c>
      <c r="E15" s="441"/>
      <c r="I15" s="479" t="str">
        <f t="shared" si="4"/>
        <v/>
      </c>
      <c r="K15" s="2">
        <f t="shared" si="6"/>
        <v>10</v>
      </c>
      <c r="M15" s="2" t="str">
        <f t="shared" ca="1" si="7"/>
        <v>Massage 400 +200 Tip</v>
      </c>
      <c r="N15" s="2">
        <f t="shared" ca="1" si="7"/>
        <v>0</v>
      </c>
      <c r="O15" s="2">
        <f t="shared" ca="1" si="7"/>
        <v>0</v>
      </c>
      <c r="P15" s="2">
        <f t="shared" ca="1" si="7"/>
        <v>0</v>
      </c>
      <c r="Q15" s="2">
        <f t="shared" ca="1" si="7"/>
        <v>0</v>
      </c>
      <c r="R15" s="2">
        <f t="shared" ca="1" si="7"/>
        <v>0</v>
      </c>
      <c r="S15" s="2">
        <f t="shared" ca="1" si="7"/>
        <v>0</v>
      </c>
      <c r="T15" s="2">
        <f t="shared" ca="1" si="7"/>
        <v>0</v>
      </c>
    </row>
    <row r="16" spans="1:125">
      <c r="A16" s="2" t="str">
        <f t="shared" si="1"/>
        <v/>
      </c>
      <c r="B16" t="str">
        <f t="shared" si="5"/>
        <v>1</v>
      </c>
      <c r="C16" t="str">
        <f t="shared" si="2"/>
        <v>16 Nov Mer</v>
      </c>
      <c r="D16" s="330" t="s">
        <v>628</v>
      </c>
      <c r="E16" s="467" t="s">
        <v>649</v>
      </c>
      <c r="I16" s="479" t="str">
        <f t="shared" si="4"/>
        <v/>
      </c>
      <c r="J16" s="2"/>
      <c r="K16" s="2">
        <f t="shared" si="6"/>
        <v>11</v>
      </c>
      <c r="M16" s="2">
        <f t="shared" ca="1" si="7"/>
        <v>0</v>
      </c>
      <c r="N16" s="2">
        <f t="shared" ca="1" si="7"/>
        <v>0</v>
      </c>
      <c r="O16" s="2">
        <f t="shared" ca="1" si="7"/>
        <v>0</v>
      </c>
      <c r="P16" s="2">
        <f t="shared" ca="1" si="7"/>
        <v>0</v>
      </c>
      <c r="Q16" s="2">
        <f t="shared" ca="1" si="7"/>
        <v>0</v>
      </c>
      <c r="R16" s="2">
        <f t="shared" ca="1" si="7"/>
        <v>0</v>
      </c>
      <c r="S16" s="2">
        <f t="shared" ca="1" si="7"/>
        <v>0</v>
      </c>
      <c r="T16" s="2">
        <f t="shared" ca="1" si="7"/>
        <v>0</v>
      </c>
    </row>
    <row r="17" spans="1:30" ht="16.2" thickBot="1">
      <c r="A17" s="2" t="str">
        <f t="shared" si="1"/>
        <v/>
      </c>
      <c r="B17" t="str">
        <f t="shared" si="5"/>
        <v/>
      </c>
      <c r="C17" t="str">
        <f t="shared" si="2"/>
        <v>16 Nov Mer</v>
      </c>
      <c r="D17" s="330" t="s">
        <v>628</v>
      </c>
      <c r="E17" s="441"/>
      <c r="I17" s="479" t="str">
        <f t="shared" si="4"/>
        <v/>
      </c>
      <c r="J17" s="2"/>
      <c r="K17" s="2">
        <f t="shared" si="6"/>
        <v>12</v>
      </c>
      <c r="M17" s="2">
        <f t="shared" ca="1" si="7"/>
        <v>0</v>
      </c>
      <c r="N17" s="2">
        <f t="shared" ca="1" si="7"/>
        <v>0</v>
      </c>
      <c r="O17" s="2">
        <f t="shared" ca="1" si="7"/>
        <v>0</v>
      </c>
      <c r="P17" s="2">
        <f t="shared" ca="1" si="7"/>
        <v>0</v>
      </c>
      <c r="Q17" s="2">
        <f t="shared" ca="1" si="7"/>
        <v>0</v>
      </c>
      <c r="R17" s="2">
        <f t="shared" ca="1" si="7"/>
        <v>0</v>
      </c>
      <c r="S17" s="2">
        <f t="shared" ca="1" si="7"/>
        <v>0</v>
      </c>
      <c r="T17" s="2">
        <f t="shared" ca="1" si="7"/>
        <v>0</v>
      </c>
    </row>
    <row r="18" spans="1:30" ht="16.2" outlineLevel="1" thickBot="1">
      <c r="A18" s="2">
        <f t="shared" si="1"/>
        <v>18</v>
      </c>
      <c r="B18" t="str">
        <f t="shared" si="5"/>
        <v>*</v>
      </c>
      <c r="C18" t="str">
        <f t="shared" si="2"/>
        <v>17 Nov Jeu</v>
      </c>
      <c r="D18" s="330" t="s">
        <v>628</v>
      </c>
      <c r="E18" s="468" t="s">
        <v>980</v>
      </c>
      <c r="F18" s="469"/>
      <c r="G18" s="469"/>
      <c r="I18" s="479" t="str">
        <f t="shared" si="4"/>
        <v/>
      </c>
      <c r="J18" s="2"/>
      <c r="K18" s="2">
        <f t="shared" si="6"/>
        <v>13</v>
      </c>
      <c r="M18" s="2">
        <f t="shared" ca="1" si="7"/>
        <v>0</v>
      </c>
      <c r="N18" s="2">
        <f t="shared" ca="1" si="7"/>
        <v>0</v>
      </c>
      <c r="O18" s="2">
        <f t="shared" ca="1" si="7"/>
        <v>0</v>
      </c>
      <c r="P18" s="2">
        <f t="shared" ca="1" si="7"/>
        <v>0</v>
      </c>
      <c r="Q18" s="2">
        <f t="shared" ca="1" si="7"/>
        <v>0</v>
      </c>
      <c r="R18" s="2">
        <f t="shared" ca="1" si="7"/>
        <v>0</v>
      </c>
      <c r="S18" s="2">
        <f t="shared" ca="1" si="7"/>
        <v>0</v>
      </c>
      <c r="T18" s="2">
        <f t="shared" ca="1" si="7"/>
        <v>0</v>
      </c>
    </row>
    <row r="19" spans="1:30" ht="16.2" outlineLevel="1" thickBot="1">
      <c r="A19" s="2" t="str">
        <f t="shared" si="1"/>
        <v/>
      </c>
      <c r="B19" t="str">
        <f t="shared" ref="B19:B25" si="8">LEFT(E19,1)</f>
        <v>1</v>
      </c>
      <c r="C19" t="str">
        <f t="shared" si="2"/>
        <v>17 Nov Jeu</v>
      </c>
      <c r="D19" s="330" t="s">
        <v>628</v>
      </c>
      <c r="E19" s="470" t="s">
        <v>641</v>
      </c>
      <c r="F19" s="471">
        <v>40</v>
      </c>
      <c r="G19" s="472"/>
      <c r="I19" s="479" t="str">
        <f t="shared" si="4"/>
        <v/>
      </c>
      <c r="J19" s="2"/>
      <c r="K19" s="2">
        <f t="shared" si="6"/>
        <v>14</v>
      </c>
      <c r="M19" s="2"/>
      <c r="N19" s="2"/>
      <c r="O19" s="2">
        <f t="shared" ca="1" si="7"/>
        <v>0</v>
      </c>
      <c r="P19" s="2">
        <f t="shared" ca="1" si="7"/>
        <v>0</v>
      </c>
    </row>
    <row r="20" spans="1:30" ht="16.2" outlineLevel="1" thickBot="1">
      <c r="A20" s="2" t="str">
        <f t="shared" si="1"/>
        <v/>
      </c>
      <c r="B20" t="str">
        <f t="shared" si="8"/>
        <v>2</v>
      </c>
      <c r="C20" t="str">
        <f t="shared" si="2"/>
        <v>17 Nov Jeu</v>
      </c>
      <c r="D20" s="330" t="s">
        <v>628</v>
      </c>
      <c r="E20" s="470" t="s">
        <v>642</v>
      </c>
      <c r="F20" s="471">
        <v>380</v>
      </c>
      <c r="G20" s="471" t="s">
        <v>650</v>
      </c>
      <c r="I20" s="479" t="str">
        <f t="shared" si="4"/>
        <v/>
      </c>
      <c r="J20" s="2"/>
      <c r="K20" s="2">
        <f t="shared" si="6"/>
        <v>15</v>
      </c>
      <c r="M20" s="2"/>
      <c r="N20" s="2"/>
      <c r="O20" s="2">
        <f t="shared" ca="1" si="7"/>
        <v>0</v>
      </c>
      <c r="P20" s="2">
        <f t="shared" ca="1" si="7"/>
        <v>0</v>
      </c>
    </row>
    <row r="21" spans="1:30" ht="16.2" outlineLevel="1" thickBot="1">
      <c r="A21" s="2" t="str">
        <f t="shared" si="1"/>
        <v/>
      </c>
      <c r="B21" t="str">
        <f t="shared" si="8"/>
        <v>3</v>
      </c>
      <c r="C21" t="str">
        <f t="shared" si="2"/>
        <v>17 Nov Jeu</v>
      </c>
      <c r="D21" s="330" t="s">
        <v>628</v>
      </c>
      <c r="E21" s="470" t="s">
        <v>643</v>
      </c>
      <c r="F21" s="471">
        <v>120</v>
      </c>
      <c r="G21" s="471" t="s">
        <v>651</v>
      </c>
      <c r="I21" s="479" t="str">
        <f t="shared" si="4"/>
        <v/>
      </c>
      <c r="K21" s="2">
        <f t="shared" si="6"/>
        <v>16</v>
      </c>
      <c r="O21" s="2">
        <f t="shared" ca="1" si="7"/>
        <v>0</v>
      </c>
      <c r="P21" s="2">
        <f t="shared" ca="1" si="7"/>
        <v>0</v>
      </c>
    </row>
    <row r="22" spans="1:30" ht="16.2" outlineLevel="1" thickBot="1">
      <c r="A22" s="2" t="str">
        <f t="shared" si="1"/>
        <v/>
      </c>
      <c r="B22" t="str">
        <f t="shared" si="8"/>
        <v>4</v>
      </c>
      <c r="C22" t="str">
        <f t="shared" si="2"/>
        <v>17 Nov Jeu</v>
      </c>
      <c r="D22" s="330" t="s">
        <v>628</v>
      </c>
      <c r="E22" s="470" t="s">
        <v>645</v>
      </c>
      <c r="F22" s="471" t="s">
        <v>652</v>
      </c>
      <c r="G22" s="472"/>
      <c r="I22" s="479" t="str">
        <f t="shared" si="4"/>
        <v/>
      </c>
      <c r="K22" s="2">
        <f t="shared" si="6"/>
        <v>17</v>
      </c>
      <c r="O22" s="2">
        <f t="shared" ca="1" si="7"/>
        <v>0</v>
      </c>
      <c r="P22" s="2">
        <f t="shared" ca="1" si="7"/>
        <v>0</v>
      </c>
    </row>
    <row r="23" spans="1:30" ht="16.2" outlineLevel="1" thickBot="1">
      <c r="A23" s="2" t="str">
        <f t="shared" si="1"/>
        <v/>
      </c>
      <c r="B23" t="str">
        <f t="shared" si="8"/>
        <v>5</v>
      </c>
      <c r="C23" t="str">
        <f t="shared" si="2"/>
        <v>17 Nov Jeu</v>
      </c>
      <c r="D23" s="330" t="s">
        <v>628</v>
      </c>
      <c r="E23" s="470" t="s">
        <v>646</v>
      </c>
      <c r="F23" s="472"/>
      <c r="G23" s="472"/>
      <c r="I23" s="479" t="str">
        <f t="shared" si="4"/>
        <v/>
      </c>
      <c r="K23" s="2">
        <f t="shared" si="6"/>
        <v>18</v>
      </c>
      <c r="O23" s="2">
        <f t="shared" ca="1" si="7"/>
        <v>0</v>
      </c>
      <c r="P23" s="2">
        <f t="shared" ca="1" si="7"/>
        <v>0</v>
      </c>
    </row>
    <row r="24" spans="1:30" ht="16.2" outlineLevel="1" thickBot="1">
      <c r="A24" s="2" t="str">
        <f t="shared" si="1"/>
        <v/>
      </c>
      <c r="B24" t="str">
        <f t="shared" si="8"/>
        <v>6</v>
      </c>
      <c r="C24" t="str">
        <f t="shared" si="2"/>
        <v>17 Nov Jeu</v>
      </c>
      <c r="D24" s="330" t="s">
        <v>628</v>
      </c>
      <c r="E24" s="470" t="s">
        <v>647</v>
      </c>
      <c r="F24" s="472"/>
      <c r="G24" s="472"/>
      <c r="I24" s="479" t="str">
        <f t="shared" si="4"/>
        <v/>
      </c>
      <c r="K24" s="2">
        <f t="shared" si="6"/>
        <v>19</v>
      </c>
      <c r="O24" s="2">
        <f t="shared" ca="1" si="7"/>
        <v>0</v>
      </c>
      <c r="P24" s="2">
        <f t="shared" ca="1" si="7"/>
        <v>0</v>
      </c>
    </row>
    <row r="25" spans="1:30" ht="16.2" outlineLevel="1" thickBot="1">
      <c r="A25" s="2" t="str">
        <f t="shared" si="1"/>
        <v/>
      </c>
      <c r="B25" t="str">
        <f t="shared" si="8"/>
        <v>7</v>
      </c>
      <c r="C25" t="str">
        <f t="shared" si="2"/>
        <v>17 Nov Jeu</v>
      </c>
      <c r="D25" s="330" t="s">
        <v>628</v>
      </c>
      <c r="E25" s="470" t="s">
        <v>648</v>
      </c>
      <c r="F25" s="472"/>
      <c r="G25" s="472"/>
      <c r="I25" s="479" t="str">
        <f t="shared" si="4"/>
        <v/>
      </c>
      <c r="K25" s="2">
        <f t="shared" si="6"/>
        <v>20</v>
      </c>
      <c r="O25" s="2">
        <f t="shared" ca="1" si="7"/>
        <v>0</v>
      </c>
      <c r="P25" s="2">
        <f t="shared" ca="1" si="7"/>
        <v>0</v>
      </c>
      <c r="AD25" s="2"/>
    </row>
    <row r="26" spans="1:30" outlineLevel="1">
      <c r="A26" s="2" t="str">
        <f t="shared" si="1"/>
        <v/>
      </c>
      <c r="B26" t="str">
        <f t="shared" ref="B26:B64" si="9">LEFT(E26,1)</f>
        <v/>
      </c>
      <c r="C26" t="str">
        <f t="shared" si="2"/>
        <v>17 Nov Jeu</v>
      </c>
      <c r="D26" s="330" t="s">
        <v>628</v>
      </c>
      <c r="E26" s="473"/>
      <c r="I26" s="479" t="str">
        <f t="shared" si="4"/>
        <v/>
      </c>
      <c r="K26" s="2">
        <f t="shared" si="6"/>
        <v>21</v>
      </c>
      <c r="O26" s="2">
        <f t="shared" ca="1" si="7"/>
        <v>0</v>
      </c>
      <c r="P26" s="2">
        <f t="shared" ca="1" si="7"/>
        <v>0</v>
      </c>
    </row>
    <row r="27" spans="1:30" outlineLevel="1">
      <c r="A27" s="2" t="str">
        <f t="shared" si="1"/>
        <v/>
      </c>
      <c r="B27" t="str">
        <f t="shared" si="9"/>
        <v/>
      </c>
      <c r="C27" t="str">
        <f t="shared" si="2"/>
        <v>17 Nov Jeu</v>
      </c>
      <c r="D27" s="330" t="s">
        <v>628</v>
      </c>
      <c r="E27" s="441"/>
      <c r="I27" s="479" t="str">
        <f t="shared" si="4"/>
        <v/>
      </c>
      <c r="K27" s="2">
        <f t="shared" si="6"/>
        <v>22</v>
      </c>
      <c r="O27" s="2">
        <f t="shared" ca="1" si="7"/>
        <v>0</v>
      </c>
      <c r="P27" s="2">
        <f t="shared" ca="1" si="7"/>
        <v>0</v>
      </c>
    </row>
    <row r="28" spans="1:30" outlineLevel="1">
      <c r="A28" s="2" t="str">
        <f t="shared" si="1"/>
        <v/>
      </c>
      <c r="B28" t="str">
        <f t="shared" si="9"/>
        <v>M</v>
      </c>
      <c r="C28" t="str">
        <f t="shared" si="2"/>
        <v>17 Nov Jeu</v>
      </c>
      <c r="D28" s="330" t="s">
        <v>628</v>
      </c>
      <c r="E28" s="467" t="s">
        <v>653</v>
      </c>
      <c r="I28" s="479" t="str">
        <f t="shared" si="4"/>
        <v/>
      </c>
      <c r="K28" s="2">
        <f t="shared" si="6"/>
        <v>23</v>
      </c>
      <c r="O28" s="2">
        <f t="shared" ca="1" si="7"/>
        <v>0</v>
      </c>
      <c r="P28" s="2">
        <f t="shared" ca="1" si="7"/>
        <v>0</v>
      </c>
    </row>
    <row r="29" spans="1:30" outlineLevel="1">
      <c r="A29" s="2" t="str">
        <f t="shared" si="1"/>
        <v/>
      </c>
      <c r="B29" t="str">
        <f t="shared" si="9"/>
        <v/>
      </c>
      <c r="C29" t="str">
        <f t="shared" si="2"/>
        <v>17 Nov Jeu</v>
      </c>
      <c r="D29" s="330" t="s">
        <v>628</v>
      </c>
      <c r="E29" s="441"/>
      <c r="I29" s="479" t="str">
        <f t="shared" si="4"/>
        <v/>
      </c>
      <c r="K29" s="2">
        <f t="shared" si="6"/>
        <v>24</v>
      </c>
      <c r="O29" s="2">
        <f t="shared" ref="O29:P92" ca="1" si="10">INDIRECT("E"&amp;O$4+$K29)</f>
        <v>0</v>
      </c>
      <c r="P29" s="2">
        <f t="shared" ca="1" si="10"/>
        <v>0</v>
      </c>
    </row>
    <row r="30" spans="1:30" outlineLevel="1">
      <c r="A30" s="2" t="str">
        <f t="shared" si="1"/>
        <v/>
      </c>
      <c r="B30" t="str">
        <f t="shared" si="9"/>
        <v/>
      </c>
      <c r="C30" t="str">
        <f t="shared" si="2"/>
        <v>17 Nov Jeu</v>
      </c>
      <c r="D30" s="330" t="s">
        <v>628</v>
      </c>
      <c r="E30" s="467"/>
      <c r="I30" s="479" t="str">
        <f t="shared" si="4"/>
        <v/>
      </c>
      <c r="K30" s="2">
        <f t="shared" si="6"/>
        <v>25</v>
      </c>
      <c r="O30" s="2">
        <f t="shared" ca="1" si="10"/>
        <v>0</v>
      </c>
      <c r="P30" s="2">
        <f t="shared" ca="1" si="10"/>
        <v>0</v>
      </c>
    </row>
    <row r="31" spans="1:30" ht="16.2" outlineLevel="1" thickBot="1">
      <c r="A31" s="2" t="str">
        <f t="shared" si="1"/>
        <v/>
      </c>
      <c r="B31" t="str">
        <f t="shared" si="9"/>
        <v/>
      </c>
      <c r="C31" t="str">
        <f t="shared" si="2"/>
        <v>17 Nov Jeu</v>
      </c>
      <c r="D31" s="330" t="s">
        <v>628</v>
      </c>
      <c r="E31" s="441"/>
      <c r="I31" s="479" t="str">
        <f t="shared" si="4"/>
        <v/>
      </c>
      <c r="K31" s="2">
        <f t="shared" si="6"/>
        <v>26</v>
      </c>
      <c r="O31" s="2">
        <f t="shared" ca="1" si="10"/>
        <v>0</v>
      </c>
      <c r="P31" s="2">
        <f t="shared" ca="1" si="10"/>
        <v>0</v>
      </c>
    </row>
    <row r="32" spans="1:30" ht="16.2" outlineLevel="1" thickBot="1">
      <c r="A32" s="2">
        <f t="shared" si="1"/>
        <v>32</v>
      </c>
      <c r="B32" t="str">
        <f t="shared" si="9"/>
        <v>*</v>
      </c>
      <c r="C32" t="str">
        <f t="shared" si="2"/>
        <v>18 Nov Ven</v>
      </c>
      <c r="D32" s="330" t="s">
        <v>628</v>
      </c>
      <c r="E32" s="468" t="s">
        <v>654</v>
      </c>
      <c r="F32" s="469"/>
      <c r="G32" s="469"/>
      <c r="I32" s="479" t="str">
        <f t="shared" si="4"/>
        <v/>
      </c>
      <c r="K32" s="2">
        <f t="shared" si="6"/>
        <v>27</v>
      </c>
      <c r="O32" s="2">
        <f t="shared" ca="1" si="10"/>
        <v>0</v>
      </c>
      <c r="P32" s="2">
        <f t="shared" ca="1" si="10"/>
        <v>0</v>
      </c>
    </row>
    <row r="33" spans="1:74" ht="16.2" outlineLevel="1" thickBot="1">
      <c r="A33" s="2" t="str">
        <f t="shared" si="1"/>
        <v/>
      </c>
      <c r="B33" t="str">
        <f t="shared" si="9"/>
        <v>1</v>
      </c>
      <c r="C33" t="str">
        <f t="shared" si="2"/>
        <v>18 Nov Ven</v>
      </c>
      <c r="D33" s="330" t="s">
        <v>628</v>
      </c>
      <c r="E33" s="470" t="s">
        <v>641</v>
      </c>
      <c r="F33" s="471">
        <v>250</v>
      </c>
      <c r="G33" s="472"/>
      <c r="I33" s="479" t="str">
        <f t="shared" si="4"/>
        <v/>
      </c>
      <c r="K33" s="2">
        <f t="shared" si="6"/>
        <v>28</v>
      </c>
      <c r="O33" s="2">
        <f t="shared" ca="1" si="10"/>
        <v>0</v>
      </c>
      <c r="P33" s="2">
        <f t="shared" ca="1" si="10"/>
        <v>0</v>
      </c>
    </row>
    <row r="34" spans="1:74" ht="16.2" outlineLevel="1" thickBot="1">
      <c r="A34" s="2" t="str">
        <f t="shared" si="1"/>
        <v/>
      </c>
      <c r="B34" t="str">
        <f t="shared" si="9"/>
        <v>2</v>
      </c>
      <c r="C34" t="str">
        <f t="shared" si="2"/>
        <v>18 Nov Ven</v>
      </c>
      <c r="D34" s="330" t="s">
        <v>628</v>
      </c>
      <c r="E34" s="470" t="s">
        <v>642</v>
      </c>
      <c r="F34" s="472"/>
      <c r="G34" s="472"/>
      <c r="I34" s="479" t="str">
        <f t="shared" si="4"/>
        <v/>
      </c>
      <c r="K34" s="2">
        <f t="shared" si="6"/>
        <v>29</v>
      </c>
      <c r="O34" s="2">
        <f t="shared" ca="1" si="10"/>
        <v>0</v>
      </c>
      <c r="P34" s="2">
        <f t="shared" ca="1" si="10"/>
        <v>0</v>
      </c>
    </row>
    <row r="35" spans="1:74" ht="16.2" outlineLevel="1" thickBot="1">
      <c r="A35" s="2" t="str">
        <f t="shared" si="1"/>
        <v/>
      </c>
      <c r="B35" t="str">
        <f t="shared" si="9"/>
        <v>3</v>
      </c>
      <c r="C35" t="str">
        <f t="shared" si="2"/>
        <v>18 Nov Ven</v>
      </c>
      <c r="D35" s="330" t="s">
        <v>628</v>
      </c>
      <c r="E35" s="470" t="s">
        <v>643</v>
      </c>
      <c r="F35" s="471">
        <v>85</v>
      </c>
      <c r="G35" s="472"/>
      <c r="I35" s="479" t="str">
        <f t="shared" si="4"/>
        <v/>
      </c>
      <c r="K35" s="2">
        <f t="shared" si="6"/>
        <v>30</v>
      </c>
      <c r="O35" s="2">
        <f t="shared" ca="1" si="10"/>
        <v>0</v>
      </c>
      <c r="P35" s="2">
        <f t="shared" ca="1" si="10"/>
        <v>0</v>
      </c>
    </row>
    <row r="36" spans="1:74" ht="16.2" outlineLevel="1" thickBot="1">
      <c r="A36" s="2" t="str">
        <f t="shared" si="1"/>
        <v/>
      </c>
      <c r="B36" t="str">
        <f t="shared" si="9"/>
        <v>4</v>
      </c>
      <c r="C36" t="str">
        <f t="shared" si="2"/>
        <v>18 Nov Ven</v>
      </c>
      <c r="D36" s="330" t="s">
        <v>628</v>
      </c>
      <c r="E36" s="470" t="s">
        <v>645</v>
      </c>
      <c r="F36" s="471" t="s">
        <v>655</v>
      </c>
      <c r="G36" s="472"/>
      <c r="I36" s="479" t="str">
        <f t="shared" si="4"/>
        <v/>
      </c>
      <c r="K36" s="2">
        <f t="shared" si="6"/>
        <v>31</v>
      </c>
      <c r="O36" s="2">
        <f t="shared" ca="1" si="10"/>
        <v>0</v>
      </c>
      <c r="P36" s="2">
        <f t="shared" ca="1" si="10"/>
        <v>0</v>
      </c>
    </row>
    <row r="37" spans="1:74" ht="16.2" outlineLevel="1" thickBot="1">
      <c r="A37" s="2" t="str">
        <f t="shared" si="1"/>
        <v/>
      </c>
      <c r="B37" t="str">
        <f t="shared" si="9"/>
        <v>5</v>
      </c>
      <c r="C37" t="str">
        <f t="shared" si="2"/>
        <v>18 Nov Ven</v>
      </c>
      <c r="D37" s="330" t="s">
        <v>628</v>
      </c>
      <c r="E37" s="470" t="s">
        <v>646</v>
      </c>
      <c r="F37" s="471">
        <v>100</v>
      </c>
      <c r="G37" s="472"/>
      <c r="I37" s="479" t="str">
        <f t="shared" si="4"/>
        <v/>
      </c>
      <c r="K37" s="2">
        <f t="shared" si="6"/>
        <v>32</v>
      </c>
      <c r="O37" s="2">
        <f t="shared" ca="1" si="10"/>
        <v>0</v>
      </c>
      <c r="P37" s="2">
        <f t="shared" ca="1" si="10"/>
        <v>0</v>
      </c>
    </row>
    <row r="38" spans="1:74" ht="16.2" outlineLevel="1" thickBot="1">
      <c r="A38" s="2" t="str">
        <f t="shared" si="1"/>
        <v/>
      </c>
      <c r="B38" t="str">
        <f t="shared" si="9"/>
        <v>6</v>
      </c>
      <c r="C38" t="str">
        <f t="shared" si="2"/>
        <v>18 Nov Ven</v>
      </c>
      <c r="D38" s="330" t="s">
        <v>628</v>
      </c>
      <c r="E38" s="470" t="s">
        <v>647</v>
      </c>
      <c r="F38" s="472"/>
      <c r="G38" s="472"/>
      <c r="I38" s="479" t="str">
        <f t="shared" si="4"/>
        <v/>
      </c>
      <c r="K38" s="2">
        <f t="shared" si="6"/>
        <v>33</v>
      </c>
      <c r="O38" s="2">
        <f t="shared" ca="1" si="10"/>
        <v>0</v>
      </c>
      <c r="P38" s="2">
        <f t="shared" ca="1" si="10"/>
        <v>0</v>
      </c>
    </row>
    <row r="39" spans="1:74" ht="16.2" outlineLevel="1" thickBot="1">
      <c r="A39" s="2" t="str">
        <f t="shared" si="1"/>
        <v/>
      </c>
      <c r="B39" t="str">
        <f t="shared" si="9"/>
        <v>7</v>
      </c>
      <c r="C39" t="str">
        <f t="shared" si="2"/>
        <v>18 Nov Ven</v>
      </c>
      <c r="D39" s="330" t="s">
        <v>628</v>
      </c>
      <c r="E39" s="470" t="s">
        <v>648</v>
      </c>
      <c r="F39" s="472"/>
      <c r="G39" s="472"/>
      <c r="I39" s="479" t="str">
        <f t="shared" si="4"/>
        <v/>
      </c>
      <c r="K39" s="2">
        <f t="shared" si="6"/>
        <v>34</v>
      </c>
      <c r="O39" s="2">
        <f t="shared" ca="1" si="10"/>
        <v>0</v>
      </c>
      <c r="P39" s="2">
        <f t="shared" ca="1" si="10"/>
        <v>0</v>
      </c>
    </row>
    <row r="40" spans="1:74" outlineLevel="1">
      <c r="A40" s="2" t="str">
        <f t="shared" si="1"/>
        <v/>
      </c>
      <c r="B40" t="str">
        <f t="shared" si="9"/>
        <v/>
      </c>
      <c r="C40" t="str">
        <f t="shared" si="2"/>
        <v>18 Nov Ven</v>
      </c>
      <c r="D40" s="330" t="s">
        <v>628</v>
      </c>
      <c r="E40" s="473"/>
      <c r="I40" s="479" t="str">
        <f t="shared" si="4"/>
        <v/>
      </c>
      <c r="K40" s="2">
        <f t="shared" si="6"/>
        <v>35</v>
      </c>
      <c r="O40" s="2">
        <f t="shared" ca="1" si="10"/>
        <v>0</v>
      </c>
      <c r="P40" s="2">
        <f t="shared" ca="1" si="10"/>
        <v>0</v>
      </c>
    </row>
    <row r="41" spans="1:74" ht="16.2" outlineLevel="1" thickBot="1">
      <c r="A41" s="2" t="str">
        <f t="shared" si="1"/>
        <v/>
      </c>
      <c r="B41" t="str">
        <f t="shared" si="9"/>
        <v>K</v>
      </c>
      <c r="C41" t="str">
        <f t="shared" si="2"/>
        <v>18 Nov Ven</v>
      </c>
      <c r="D41" s="330" t="s">
        <v>628</v>
      </c>
      <c r="E41" s="473" t="s">
        <v>656</v>
      </c>
      <c r="I41" s="479" t="str">
        <f t="shared" si="4"/>
        <v/>
      </c>
      <c r="K41" s="2">
        <f t="shared" si="6"/>
        <v>36</v>
      </c>
      <c r="O41" s="2">
        <f t="shared" ca="1" si="10"/>
        <v>0</v>
      </c>
      <c r="P41" s="2">
        <f t="shared" ca="1" si="10"/>
        <v>0</v>
      </c>
    </row>
    <row r="42" spans="1:74" ht="16.2" outlineLevel="1" thickBot="1">
      <c r="A42" s="2">
        <f t="shared" si="1"/>
        <v>42</v>
      </c>
      <c r="B42" t="str">
        <f t="shared" si="9"/>
        <v>*</v>
      </c>
      <c r="C42" t="str">
        <f t="shared" si="2"/>
        <v>19 Nov Sam</v>
      </c>
      <c r="D42" s="330" t="s">
        <v>628</v>
      </c>
      <c r="E42" s="468" t="s">
        <v>657</v>
      </c>
      <c r="F42" s="469"/>
      <c r="G42" s="469"/>
      <c r="I42" s="479" t="str">
        <f t="shared" si="4"/>
        <v/>
      </c>
      <c r="K42" s="2">
        <f t="shared" si="6"/>
        <v>37</v>
      </c>
      <c r="O42" s="2">
        <f t="shared" ca="1" si="10"/>
        <v>0</v>
      </c>
      <c r="P42" s="2">
        <f t="shared" ca="1" si="10"/>
        <v>0</v>
      </c>
    </row>
    <row r="43" spans="1:74" ht="16.2" outlineLevel="1" thickBot="1">
      <c r="A43" s="2" t="str">
        <f t="shared" si="1"/>
        <v/>
      </c>
      <c r="B43" t="str">
        <f t="shared" si="9"/>
        <v>1</v>
      </c>
      <c r="C43" t="str">
        <f t="shared" si="2"/>
        <v>19 Nov Sam</v>
      </c>
      <c r="D43" s="330" t="s">
        <v>628</v>
      </c>
      <c r="E43" s="470" t="s">
        <v>641</v>
      </c>
      <c r="F43" s="471" t="s">
        <v>658</v>
      </c>
      <c r="G43" s="471" t="s">
        <v>659</v>
      </c>
      <c r="I43" s="479" t="str">
        <f t="shared" si="4"/>
        <v/>
      </c>
      <c r="K43" s="2">
        <f t="shared" si="6"/>
        <v>38</v>
      </c>
      <c r="O43" s="2">
        <f t="shared" ca="1" si="10"/>
        <v>0</v>
      </c>
      <c r="P43" s="2">
        <f t="shared" ca="1" si="10"/>
        <v>0</v>
      </c>
    </row>
    <row r="44" spans="1:74" ht="16.2" outlineLevel="1" thickBot="1">
      <c r="A44" s="2" t="str">
        <f t="shared" si="1"/>
        <v/>
      </c>
      <c r="B44" t="str">
        <f t="shared" si="9"/>
        <v>2</v>
      </c>
      <c r="C44" t="str">
        <f t="shared" si="2"/>
        <v>19 Nov Sam</v>
      </c>
      <c r="D44" s="330" t="s">
        <v>628</v>
      </c>
      <c r="E44" s="470" t="s">
        <v>642</v>
      </c>
      <c r="F44" s="471">
        <v>155</v>
      </c>
      <c r="G44" s="472"/>
      <c r="I44" s="479" t="str">
        <f t="shared" si="4"/>
        <v/>
      </c>
      <c r="K44" s="2">
        <f t="shared" si="6"/>
        <v>39</v>
      </c>
      <c r="O44" s="2">
        <f t="shared" ca="1" si="10"/>
        <v>0</v>
      </c>
      <c r="P44" s="2">
        <f t="shared" ca="1" si="10"/>
        <v>0</v>
      </c>
    </row>
    <row r="45" spans="1:74" ht="16.2" outlineLevel="1" thickBot="1">
      <c r="A45" s="2" t="str">
        <f t="shared" si="1"/>
        <v/>
      </c>
      <c r="B45" t="str">
        <f t="shared" si="9"/>
        <v>3</v>
      </c>
      <c r="C45" t="str">
        <f t="shared" si="2"/>
        <v>19 Nov Sam</v>
      </c>
      <c r="D45" s="330" t="s">
        <v>628</v>
      </c>
      <c r="E45" s="470" t="s">
        <v>643</v>
      </c>
      <c r="F45" s="471">
        <v>120</v>
      </c>
      <c r="G45" s="471" t="s">
        <v>660</v>
      </c>
      <c r="I45" s="479" t="str">
        <f t="shared" si="4"/>
        <v/>
      </c>
      <c r="K45" s="2">
        <f t="shared" si="6"/>
        <v>40</v>
      </c>
      <c r="O45" s="2">
        <f t="shared" ca="1" si="10"/>
        <v>0</v>
      </c>
      <c r="P45" s="2">
        <f t="shared" ca="1" si="10"/>
        <v>0</v>
      </c>
    </row>
    <row r="46" spans="1:74" ht="16.2" outlineLevel="1" thickBot="1">
      <c r="A46" s="2" t="str">
        <f t="shared" si="1"/>
        <v/>
      </c>
      <c r="B46" t="str">
        <f t="shared" si="9"/>
        <v>4</v>
      </c>
      <c r="C46" t="str">
        <f t="shared" si="2"/>
        <v>19 Nov Sam</v>
      </c>
      <c r="D46" s="330" t="s">
        <v>628</v>
      </c>
      <c r="E46" s="470" t="s">
        <v>645</v>
      </c>
      <c r="F46" s="471">
        <v>40</v>
      </c>
      <c r="G46" s="472"/>
      <c r="I46" s="479" t="str">
        <f t="shared" si="4"/>
        <v/>
      </c>
      <c r="K46" s="2">
        <f t="shared" si="6"/>
        <v>41</v>
      </c>
      <c r="O46" s="2">
        <f t="shared" ca="1" si="10"/>
        <v>0</v>
      </c>
      <c r="P46" s="2">
        <f t="shared" ca="1" si="10"/>
        <v>0</v>
      </c>
    </row>
    <row r="47" spans="1:74" ht="16.2" outlineLevel="1" thickBot="1">
      <c r="A47" s="2" t="str">
        <f t="shared" si="1"/>
        <v/>
      </c>
      <c r="B47" t="str">
        <f t="shared" si="9"/>
        <v>5</v>
      </c>
      <c r="C47" t="str">
        <f t="shared" si="2"/>
        <v>19 Nov Sam</v>
      </c>
      <c r="D47" s="330" t="s">
        <v>628</v>
      </c>
      <c r="E47" s="470" t="s">
        <v>646</v>
      </c>
      <c r="F47" s="471">
        <v>15</v>
      </c>
      <c r="G47" s="472"/>
      <c r="I47" s="182">
        <f t="shared" si="4"/>
        <v>1</v>
      </c>
      <c r="K47" s="2">
        <f t="shared" si="6"/>
        <v>42</v>
      </c>
      <c r="O47" s="2">
        <f t="shared" ca="1" si="10"/>
        <v>0</v>
      </c>
      <c r="P47" s="2">
        <f t="shared" ca="1" si="10"/>
        <v>0</v>
      </c>
      <c r="AC47" t="s">
        <v>866</v>
      </c>
      <c r="AD47" t="s">
        <v>867</v>
      </c>
      <c r="AE47" t="s">
        <v>868</v>
      </c>
      <c r="AF47" t="s">
        <v>869</v>
      </c>
      <c r="AG47" t="s">
        <v>870</v>
      </c>
      <c r="AH47" t="s">
        <v>871</v>
      </c>
      <c r="AI47" t="s">
        <v>872</v>
      </c>
      <c r="AJ47" t="s">
        <v>873</v>
      </c>
      <c r="AK47" t="s">
        <v>874</v>
      </c>
      <c r="AL47" t="s">
        <v>875</v>
      </c>
      <c r="AM47" t="s">
        <v>876</v>
      </c>
      <c r="AN47" t="s">
        <v>877</v>
      </c>
      <c r="AO47" t="s">
        <v>877</v>
      </c>
      <c r="AP47" t="s">
        <v>877</v>
      </c>
      <c r="AQ47" t="s">
        <v>878</v>
      </c>
      <c r="AR47" t="s">
        <v>879</v>
      </c>
      <c r="AS47" t="s">
        <v>880</v>
      </c>
      <c r="AT47" t="s">
        <v>881</v>
      </c>
      <c r="AU47" t="s">
        <v>882</v>
      </c>
      <c r="AV47" t="s">
        <v>883</v>
      </c>
      <c r="AW47" t="s">
        <v>884</v>
      </c>
      <c r="AX47" t="s">
        <v>885</v>
      </c>
      <c r="AY47" t="s">
        <v>886</v>
      </c>
      <c r="AZ47" t="s">
        <v>887</v>
      </c>
      <c r="BA47" t="s">
        <v>888</v>
      </c>
      <c r="BB47" t="s">
        <v>889</v>
      </c>
      <c r="BC47" t="s">
        <v>890</v>
      </c>
      <c r="BD47" t="s">
        <v>891</v>
      </c>
      <c r="BE47" t="s">
        <v>892</v>
      </c>
      <c r="BF47" t="s">
        <v>893</v>
      </c>
      <c r="BG47" t="s">
        <v>894</v>
      </c>
      <c r="BH47" t="s">
        <v>895</v>
      </c>
      <c r="BI47" t="s">
        <v>896</v>
      </c>
      <c r="BJ47" t="s">
        <v>897</v>
      </c>
      <c r="BK47" t="s">
        <v>898</v>
      </c>
      <c r="BL47" t="s">
        <v>899</v>
      </c>
      <c r="BM47" t="s">
        <v>900</v>
      </c>
      <c r="BN47" t="s">
        <v>901</v>
      </c>
      <c r="BO47" t="s">
        <v>902</v>
      </c>
      <c r="BP47" t="s">
        <v>903</v>
      </c>
      <c r="BQ47" t="s">
        <v>904</v>
      </c>
      <c r="BR47" t="s">
        <v>905</v>
      </c>
      <c r="BS47" t="s">
        <v>906</v>
      </c>
      <c r="BT47" t="s">
        <v>907</v>
      </c>
      <c r="BU47" t="s">
        <v>908</v>
      </c>
      <c r="BV47" t="s">
        <v>909</v>
      </c>
    </row>
    <row r="48" spans="1:74" ht="16.2" outlineLevel="1" thickBot="1">
      <c r="A48" s="2" t="str">
        <f t="shared" si="1"/>
        <v/>
      </c>
      <c r="B48" t="str">
        <f t="shared" si="9"/>
        <v>6</v>
      </c>
      <c r="C48" t="str">
        <f t="shared" si="2"/>
        <v>19 Nov Sam</v>
      </c>
      <c r="D48" s="330" t="s">
        <v>628</v>
      </c>
      <c r="E48" s="470" t="s">
        <v>647</v>
      </c>
      <c r="F48" s="472"/>
      <c r="G48" s="472"/>
      <c r="I48" s="479" t="str">
        <f t="shared" si="4"/>
        <v/>
      </c>
      <c r="K48" s="2">
        <f t="shared" si="6"/>
        <v>43</v>
      </c>
      <c r="O48" s="2">
        <f t="shared" ca="1" si="10"/>
        <v>0</v>
      </c>
      <c r="P48" s="2">
        <f t="shared" ca="1" si="10"/>
        <v>0</v>
      </c>
    </row>
    <row r="49" spans="1:16" ht="16.2" outlineLevel="1" thickBot="1">
      <c r="A49" s="2" t="str">
        <f t="shared" si="1"/>
        <v/>
      </c>
      <c r="B49" t="str">
        <f t="shared" si="9"/>
        <v>7</v>
      </c>
      <c r="C49" t="str">
        <f t="shared" si="2"/>
        <v>19 Nov Sam</v>
      </c>
      <c r="D49" s="330" t="s">
        <v>628</v>
      </c>
      <c r="E49" s="470" t="s">
        <v>648</v>
      </c>
      <c r="F49" s="472"/>
      <c r="G49" s="472"/>
      <c r="I49" s="479" t="str">
        <f t="shared" si="4"/>
        <v/>
      </c>
      <c r="K49" s="2">
        <f t="shared" si="6"/>
        <v>44</v>
      </c>
      <c r="O49" s="2">
        <f t="shared" ca="1" si="10"/>
        <v>0</v>
      </c>
      <c r="P49" s="2">
        <f t="shared" ca="1" si="10"/>
        <v>0</v>
      </c>
    </row>
    <row r="50" spans="1:16" outlineLevel="1">
      <c r="A50" s="2" t="str">
        <f t="shared" si="1"/>
        <v/>
      </c>
      <c r="B50" t="str">
        <f t="shared" si="9"/>
        <v/>
      </c>
      <c r="C50" t="str">
        <f t="shared" si="2"/>
        <v>19 Nov Sam</v>
      </c>
      <c r="D50" s="330" t="s">
        <v>628</v>
      </c>
      <c r="E50"/>
      <c r="F50"/>
      <c r="G50"/>
      <c r="I50"/>
      <c r="K50" s="2">
        <f t="shared" si="6"/>
        <v>45</v>
      </c>
      <c r="O50" s="2">
        <f t="shared" ca="1" si="10"/>
        <v>0</v>
      </c>
      <c r="P50" s="2">
        <f t="shared" ca="1" si="10"/>
        <v>0</v>
      </c>
    </row>
    <row r="51" spans="1:16" outlineLevel="1">
      <c r="A51" s="2" t="str">
        <f t="shared" si="1"/>
        <v/>
      </c>
      <c r="B51" t="str">
        <f t="shared" si="9"/>
        <v/>
      </c>
      <c r="C51" t="str">
        <f t="shared" si="2"/>
        <v>19 Nov Sam</v>
      </c>
      <c r="D51" s="330" t="s">
        <v>628</v>
      </c>
      <c r="E51"/>
      <c r="F51"/>
      <c r="G51"/>
      <c r="I51"/>
      <c r="K51" s="2">
        <f t="shared" si="6"/>
        <v>46</v>
      </c>
      <c r="O51" s="2">
        <f t="shared" ca="1" si="10"/>
        <v>0</v>
      </c>
      <c r="P51" s="2">
        <f t="shared" ca="1" si="10"/>
        <v>0</v>
      </c>
    </row>
    <row r="52" spans="1:16" outlineLevel="1">
      <c r="A52" s="2" t="str">
        <f t="shared" si="1"/>
        <v/>
      </c>
      <c r="B52" t="str">
        <f t="shared" si="9"/>
        <v/>
      </c>
      <c r="C52" t="str">
        <f t="shared" si="2"/>
        <v>19 Nov Sam</v>
      </c>
      <c r="D52" s="330" t="s">
        <v>628</v>
      </c>
      <c r="E52"/>
      <c r="F52"/>
      <c r="G52"/>
      <c r="I52"/>
      <c r="K52" s="2">
        <f t="shared" si="6"/>
        <v>47</v>
      </c>
      <c r="O52" s="2">
        <f t="shared" ca="1" si="10"/>
        <v>0</v>
      </c>
      <c r="P52" s="2">
        <f t="shared" ca="1" si="10"/>
        <v>0</v>
      </c>
    </row>
    <row r="53" spans="1:16" outlineLevel="1">
      <c r="A53" s="2" t="str">
        <f t="shared" si="1"/>
        <v/>
      </c>
      <c r="B53" t="str">
        <f t="shared" si="9"/>
        <v/>
      </c>
      <c r="C53" t="str">
        <f t="shared" si="2"/>
        <v>19 Nov Sam</v>
      </c>
      <c r="D53" s="330" t="s">
        <v>628</v>
      </c>
      <c r="E53"/>
      <c r="F53"/>
      <c r="G53"/>
      <c r="I53"/>
      <c r="K53" s="2">
        <f t="shared" si="6"/>
        <v>48</v>
      </c>
      <c r="O53" s="2">
        <f t="shared" ca="1" si="10"/>
        <v>0</v>
      </c>
      <c r="P53" s="2">
        <f t="shared" ca="1" si="10"/>
        <v>0</v>
      </c>
    </row>
    <row r="54" spans="1:16" outlineLevel="1">
      <c r="A54" s="2" t="str">
        <f t="shared" si="1"/>
        <v/>
      </c>
      <c r="B54" t="str">
        <f t="shared" si="9"/>
        <v/>
      </c>
      <c r="C54" t="str">
        <f t="shared" si="2"/>
        <v>19 Nov Sam</v>
      </c>
      <c r="D54" s="330" t="s">
        <v>628</v>
      </c>
      <c r="E54"/>
      <c r="F54"/>
      <c r="G54"/>
      <c r="I54"/>
      <c r="K54" s="2">
        <f t="shared" si="6"/>
        <v>49</v>
      </c>
      <c r="O54" s="2">
        <f t="shared" ca="1" si="10"/>
        <v>0</v>
      </c>
      <c r="P54" s="2">
        <f t="shared" ca="1" si="10"/>
        <v>0</v>
      </c>
    </row>
    <row r="55" spans="1:16" outlineLevel="1">
      <c r="A55" s="2" t="str">
        <f t="shared" si="1"/>
        <v/>
      </c>
      <c r="B55" t="str">
        <f t="shared" si="9"/>
        <v/>
      </c>
      <c r="C55" t="str">
        <f t="shared" si="2"/>
        <v>19 Nov Sam</v>
      </c>
      <c r="D55" s="330" t="s">
        <v>628</v>
      </c>
      <c r="E55"/>
      <c r="F55"/>
      <c r="G55"/>
      <c r="I55"/>
      <c r="K55" s="2">
        <f t="shared" si="6"/>
        <v>50</v>
      </c>
      <c r="O55" s="2">
        <f t="shared" ca="1" si="10"/>
        <v>0</v>
      </c>
      <c r="P55" s="2">
        <f t="shared" ca="1" si="10"/>
        <v>0</v>
      </c>
    </row>
    <row r="56" spans="1:16" outlineLevel="1">
      <c r="A56" s="2" t="str">
        <f t="shared" si="1"/>
        <v/>
      </c>
      <c r="B56" t="str">
        <f t="shared" si="9"/>
        <v/>
      </c>
      <c r="C56" t="str">
        <f t="shared" si="2"/>
        <v>19 Nov Sam</v>
      </c>
      <c r="D56" s="330" t="s">
        <v>628</v>
      </c>
      <c r="E56"/>
      <c r="F56"/>
      <c r="G56"/>
      <c r="I56"/>
      <c r="K56" s="2">
        <f t="shared" si="6"/>
        <v>51</v>
      </c>
      <c r="O56" s="2">
        <f t="shared" ca="1" si="10"/>
        <v>0</v>
      </c>
      <c r="P56" s="2">
        <f t="shared" ca="1" si="10"/>
        <v>0</v>
      </c>
    </row>
    <row r="57" spans="1:16" outlineLevel="1">
      <c r="A57" s="2" t="str">
        <f t="shared" si="1"/>
        <v/>
      </c>
      <c r="B57" t="str">
        <f t="shared" si="9"/>
        <v/>
      </c>
      <c r="C57" t="str">
        <f t="shared" si="2"/>
        <v>19 Nov Sam</v>
      </c>
      <c r="D57" s="330" t="s">
        <v>628</v>
      </c>
      <c r="E57"/>
      <c r="F57"/>
      <c r="G57"/>
      <c r="I57"/>
      <c r="K57" s="2">
        <f t="shared" si="6"/>
        <v>52</v>
      </c>
      <c r="O57" s="2">
        <f t="shared" ca="1" si="10"/>
        <v>0</v>
      </c>
      <c r="P57" s="2">
        <f t="shared" ca="1" si="10"/>
        <v>0</v>
      </c>
    </row>
    <row r="58" spans="1:16" outlineLevel="1">
      <c r="A58" s="2" t="str">
        <f t="shared" si="1"/>
        <v/>
      </c>
      <c r="B58" t="str">
        <f t="shared" si="9"/>
        <v/>
      </c>
      <c r="C58" t="str">
        <f t="shared" si="2"/>
        <v>19 Nov Sam</v>
      </c>
      <c r="D58" s="330" t="s">
        <v>628</v>
      </c>
      <c r="E58"/>
      <c r="F58"/>
      <c r="G58"/>
      <c r="I58"/>
      <c r="K58" s="2">
        <f t="shared" si="6"/>
        <v>53</v>
      </c>
      <c r="O58" s="2">
        <f t="shared" ca="1" si="10"/>
        <v>0</v>
      </c>
      <c r="P58" s="2">
        <f t="shared" ca="1" si="10"/>
        <v>0</v>
      </c>
    </row>
    <row r="59" spans="1:16" outlineLevel="1">
      <c r="A59" s="2" t="str">
        <f t="shared" si="1"/>
        <v/>
      </c>
      <c r="B59" t="str">
        <f t="shared" si="9"/>
        <v/>
      </c>
      <c r="C59" t="str">
        <f t="shared" si="2"/>
        <v>19 Nov Sam</v>
      </c>
      <c r="D59" s="330" t="s">
        <v>628</v>
      </c>
      <c r="E59"/>
      <c r="F59"/>
      <c r="G59"/>
      <c r="I59"/>
      <c r="K59" s="2">
        <f t="shared" si="6"/>
        <v>54</v>
      </c>
      <c r="O59" s="2">
        <f t="shared" ca="1" si="10"/>
        <v>0</v>
      </c>
      <c r="P59" s="2">
        <f t="shared" ca="1" si="10"/>
        <v>0</v>
      </c>
    </row>
    <row r="60" spans="1:16" outlineLevel="1">
      <c r="A60" s="2" t="str">
        <f t="shared" si="1"/>
        <v/>
      </c>
      <c r="B60" t="str">
        <f t="shared" si="9"/>
        <v/>
      </c>
      <c r="C60" t="str">
        <f t="shared" si="2"/>
        <v>19 Nov Sam</v>
      </c>
      <c r="D60" s="330" t="s">
        <v>628</v>
      </c>
      <c r="E60"/>
      <c r="F60"/>
      <c r="G60"/>
      <c r="I60"/>
      <c r="K60" s="2">
        <f t="shared" si="6"/>
        <v>55</v>
      </c>
      <c r="O60" s="2">
        <f t="shared" ca="1" si="10"/>
        <v>0</v>
      </c>
      <c r="P60" s="2">
        <f t="shared" ca="1" si="10"/>
        <v>0</v>
      </c>
    </row>
    <row r="61" spans="1:16" outlineLevel="1">
      <c r="A61" s="2" t="str">
        <f t="shared" si="1"/>
        <v/>
      </c>
      <c r="B61" t="str">
        <f t="shared" si="9"/>
        <v/>
      </c>
      <c r="C61" t="str">
        <f t="shared" si="2"/>
        <v>19 Nov Sam</v>
      </c>
      <c r="D61" s="330" t="s">
        <v>628</v>
      </c>
      <c r="E61"/>
      <c r="F61"/>
      <c r="G61"/>
      <c r="I61"/>
      <c r="K61" s="2">
        <f t="shared" si="6"/>
        <v>56</v>
      </c>
      <c r="O61" s="2">
        <f t="shared" ca="1" si="10"/>
        <v>0</v>
      </c>
      <c r="P61" s="2">
        <f t="shared" ca="1" si="10"/>
        <v>0</v>
      </c>
    </row>
    <row r="62" spans="1:16" outlineLevel="1">
      <c r="A62" s="2" t="str">
        <f t="shared" si="1"/>
        <v/>
      </c>
      <c r="B62" t="str">
        <f t="shared" si="9"/>
        <v/>
      </c>
      <c r="C62" t="str">
        <f t="shared" si="2"/>
        <v>19 Nov Sam</v>
      </c>
      <c r="D62" s="330" t="s">
        <v>628</v>
      </c>
      <c r="E62"/>
      <c r="F62"/>
      <c r="G62"/>
      <c r="I62"/>
      <c r="K62" s="2">
        <f t="shared" si="6"/>
        <v>57</v>
      </c>
      <c r="O62" s="2">
        <f t="shared" ca="1" si="10"/>
        <v>0</v>
      </c>
      <c r="P62" s="2">
        <f t="shared" ca="1" si="10"/>
        <v>0</v>
      </c>
    </row>
    <row r="63" spans="1:16" outlineLevel="1">
      <c r="A63" s="2" t="str">
        <f t="shared" si="1"/>
        <v/>
      </c>
      <c r="B63" t="str">
        <f t="shared" si="9"/>
        <v/>
      </c>
      <c r="C63" t="str">
        <f t="shared" si="2"/>
        <v>19 Nov Sam</v>
      </c>
      <c r="D63" s="330" t="s">
        <v>628</v>
      </c>
      <c r="E63"/>
      <c r="F63"/>
      <c r="G63"/>
      <c r="I63"/>
      <c r="K63" s="2">
        <f t="shared" si="6"/>
        <v>58</v>
      </c>
      <c r="O63" s="2">
        <f t="shared" ca="1" si="10"/>
        <v>0</v>
      </c>
      <c r="P63" s="2">
        <f t="shared" ca="1" si="10"/>
        <v>0</v>
      </c>
    </row>
    <row r="64" spans="1:16" outlineLevel="1">
      <c r="A64" s="2" t="str">
        <f t="shared" si="1"/>
        <v/>
      </c>
      <c r="B64" t="str">
        <f t="shared" si="9"/>
        <v/>
      </c>
      <c r="C64" t="str">
        <f t="shared" si="2"/>
        <v>19 Nov Sam</v>
      </c>
      <c r="D64" s="330" t="s">
        <v>628</v>
      </c>
      <c r="E64"/>
      <c r="F64"/>
      <c r="G64"/>
      <c r="I64"/>
      <c r="K64" s="2">
        <f t="shared" si="6"/>
        <v>59</v>
      </c>
      <c r="O64" s="2">
        <f t="shared" ca="1" si="10"/>
        <v>0</v>
      </c>
      <c r="P64" s="2">
        <f t="shared" ca="1" si="10"/>
        <v>0</v>
      </c>
    </row>
    <row r="65" spans="1:16" outlineLevel="1">
      <c r="A65" s="2" t="str">
        <f t="shared" ref="A65:A128" si="11">IF(B65="*",ROW(),"")</f>
        <v/>
      </c>
      <c r="B65" t="str">
        <f t="shared" ref="B65:B128" si="12">LEFT(E65,1)</f>
        <v/>
      </c>
      <c r="C65" t="str">
        <f t="shared" ref="C65:C128" si="13">IF(B65="*",RIGHT(E65,10),C64)</f>
        <v>19 Nov Sam</v>
      </c>
      <c r="D65" s="330" t="s">
        <v>628</v>
      </c>
      <c r="E65"/>
      <c r="F65"/>
      <c r="G65"/>
      <c r="I65"/>
      <c r="K65" s="2">
        <f t="shared" si="6"/>
        <v>60</v>
      </c>
      <c r="O65" s="2">
        <f t="shared" ca="1" si="10"/>
        <v>0</v>
      </c>
      <c r="P65" s="2">
        <f t="shared" ca="1" si="10"/>
        <v>0</v>
      </c>
    </row>
    <row r="66" spans="1:16" outlineLevel="1">
      <c r="A66" s="2" t="str">
        <f t="shared" si="11"/>
        <v/>
      </c>
      <c r="B66" t="str">
        <f t="shared" si="12"/>
        <v/>
      </c>
      <c r="C66" t="str">
        <f t="shared" si="13"/>
        <v>19 Nov Sam</v>
      </c>
      <c r="D66" s="330" t="s">
        <v>628</v>
      </c>
      <c r="E66"/>
      <c r="F66"/>
      <c r="G66"/>
      <c r="I66"/>
      <c r="K66" s="2">
        <f t="shared" si="6"/>
        <v>61</v>
      </c>
      <c r="O66" s="2">
        <f t="shared" ca="1" si="10"/>
        <v>0</v>
      </c>
      <c r="P66" s="2">
        <f t="shared" ca="1" si="10"/>
        <v>0</v>
      </c>
    </row>
    <row r="67" spans="1:16" outlineLevel="1">
      <c r="A67" s="2" t="str">
        <f t="shared" si="11"/>
        <v/>
      </c>
      <c r="B67" t="str">
        <f t="shared" si="12"/>
        <v/>
      </c>
      <c r="C67" t="str">
        <f t="shared" si="13"/>
        <v>19 Nov Sam</v>
      </c>
      <c r="D67" s="330" t="s">
        <v>628</v>
      </c>
      <c r="E67"/>
      <c r="F67"/>
      <c r="G67"/>
      <c r="I67"/>
      <c r="K67" s="2">
        <f t="shared" si="6"/>
        <v>62</v>
      </c>
      <c r="O67" s="2">
        <f t="shared" ca="1" si="10"/>
        <v>0</v>
      </c>
      <c r="P67" s="2">
        <f t="shared" ca="1" si="10"/>
        <v>0</v>
      </c>
    </row>
    <row r="68" spans="1:16" outlineLevel="1">
      <c r="A68" s="2" t="str">
        <f t="shared" si="11"/>
        <v/>
      </c>
      <c r="B68" t="str">
        <f t="shared" si="12"/>
        <v/>
      </c>
      <c r="C68" t="str">
        <f t="shared" si="13"/>
        <v>19 Nov Sam</v>
      </c>
      <c r="D68" s="330" t="s">
        <v>628</v>
      </c>
      <c r="E68"/>
      <c r="F68"/>
      <c r="G68"/>
      <c r="I68"/>
      <c r="K68" s="2">
        <f t="shared" si="6"/>
        <v>63</v>
      </c>
      <c r="O68" s="2">
        <f t="shared" ca="1" si="10"/>
        <v>0</v>
      </c>
      <c r="P68" s="2">
        <f t="shared" ca="1" si="10"/>
        <v>0</v>
      </c>
    </row>
    <row r="69" spans="1:16" outlineLevel="1">
      <c r="A69" s="2" t="str">
        <f t="shared" si="11"/>
        <v/>
      </c>
      <c r="B69" t="str">
        <f t="shared" si="12"/>
        <v/>
      </c>
      <c r="C69" t="str">
        <f t="shared" si="13"/>
        <v>19 Nov Sam</v>
      </c>
      <c r="D69" s="330" t="s">
        <v>628</v>
      </c>
      <c r="E69"/>
      <c r="F69"/>
      <c r="G69"/>
      <c r="I69"/>
      <c r="K69" s="2">
        <f t="shared" si="6"/>
        <v>64</v>
      </c>
      <c r="O69" s="2">
        <f t="shared" ca="1" si="10"/>
        <v>0</v>
      </c>
      <c r="P69" s="2">
        <f t="shared" ca="1" si="10"/>
        <v>0</v>
      </c>
    </row>
    <row r="70" spans="1:16" outlineLevel="1">
      <c r="A70" s="2" t="str">
        <f t="shared" si="11"/>
        <v/>
      </c>
      <c r="B70" t="str">
        <f t="shared" si="12"/>
        <v/>
      </c>
      <c r="C70" t="str">
        <f t="shared" si="13"/>
        <v>19 Nov Sam</v>
      </c>
      <c r="D70" s="330" t="s">
        <v>628</v>
      </c>
      <c r="E70"/>
      <c r="F70"/>
      <c r="G70"/>
      <c r="I70"/>
      <c r="K70" s="2">
        <f t="shared" si="6"/>
        <v>65</v>
      </c>
      <c r="O70" s="2">
        <f t="shared" ca="1" si="10"/>
        <v>0</v>
      </c>
      <c r="P70" s="2">
        <f t="shared" ca="1" si="10"/>
        <v>0</v>
      </c>
    </row>
    <row r="71" spans="1:16" outlineLevel="1">
      <c r="A71" s="2" t="str">
        <f t="shared" si="11"/>
        <v/>
      </c>
      <c r="B71" t="str">
        <f t="shared" si="12"/>
        <v/>
      </c>
      <c r="C71" t="str">
        <f t="shared" si="13"/>
        <v>19 Nov Sam</v>
      </c>
      <c r="D71" s="330" t="s">
        <v>628</v>
      </c>
      <c r="E71"/>
      <c r="F71"/>
      <c r="G71"/>
      <c r="I71"/>
      <c r="K71" s="2">
        <f t="shared" si="6"/>
        <v>66</v>
      </c>
      <c r="O71" s="2">
        <f t="shared" ca="1" si="10"/>
        <v>0</v>
      </c>
      <c r="P71" s="2">
        <f t="shared" ca="1" si="10"/>
        <v>0</v>
      </c>
    </row>
    <row r="72" spans="1:16" outlineLevel="1">
      <c r="A72" s="2" t="str">
        <f t="shared" si="11"/>
        <v/>
      </c>
      <c r="B72" t="str">
        <f t="shared" si="12"/>
        <v/>
      </c>
      <c r="C72" t="str">
        <f t="shared" si="13"/>
        <v>19 Nov Sam</v>
      </c>
      <c r="D72" s="330" t="s">
        <v>628</v>
      </c>
      <c r="E72"/>
      <c r="F72"/>
      <c r="G72"/>
      <c r="I72"/>
      <c r="K72" s="2">
        <f t="shared" ref="K72:K135" si="14">K71+1</f>
        <v>67</v>
      </c>
      <c r="O72" s="2">
        <f t="shared" ca="1" si="10"/>
        <v>0</v>
      </c>
      <c r="P72" s="2">
        <f t="shared" ca="1" si="10"/>
        <v>0</v>
      </c>
    </row>
    <row r="73" spans="1:16" outlineLevel="1">
      <c r="A73" s="2" t="str">
        <f t="shared" si="11"/>
        <v/>
      </c>
      <c r="B73" t="str">
        <f t="shared" si="12"/>
        <v/>
      </c>
      <c r="C73" t="str">
        <f t="shared" si="13"/>
        <v>19 Nov Sam</v>
      </c>
      <c r="D73" s="330" t="s">
        <v>628</v>
      </c>
      <c r="E73"/>
      <c r="F73"/>
      <c r="G73"/>
      <c r="I73"/>
      <c r="K73" s="2">
        <f t="shared" si="14"/>
        <v>68</v>
      </c>
      <c r="O73" s="2">
        <f t="shared" ca="1" si="10"/>
        <v>0</v>
      </c>
      <c r="P73" s="2">
        <f t="shared" ca="1" si="10"/>
        <v>0</v>
      </c>
    </row>
    <row r="74" spans="1:16" outlineLevel="1">
      <c r="A74" s="2" t="str">
        <f t="shared" si="11"/>
        <v/>
      </c>
      <c r="B74" t="str">
        <f t="shared" si="12"/>
        <v/>
      </c>
      <c r="C74" t="str">
        <f t="shared" si="13"/>
        <v>19 Nov Sam</v>
      </c>
      <c r="D74" s="330" t="s">
        <v>628</v>
      </c>
      <c r="E74"/>
      <c r="F74"/>
      <c r="G74"/>
      <c r="I74"/>
      <c r="K74" s="2">
        <f t="shared" si="14"/>
        <v>69</v>
      </c>
      <c r="O74" s="2">
        <f t="shared" ca="1" si="10"/>
        <v>0</v>
      </c>
      <c r="P74" s="2">
        <f t="shared" ca="1" si="10"/>
        <v>0</v>
      </c>
    </row>
    <row r="75" spans="1:16" outlineLevel="1">
      <c r="A75" s="2" t="str">
        <f t="shared" si="11"/>
        <v/>
      </c>
      <c r="B75" t="str">
        <f t="shared" si="12"/>
        <v/>
      </c>
      <c r="C75" t="str">
        <f t="shared" si="13"/>
        <v>19 Nov Sam</v>
      </c>
      <c r="D75" s="330" t="s">
        <v>628</v>
      </c>
      <c r="E75"/>
      <c r="F75"/>
      <c r="G75"/>
      <c r="I75"/>
      <c r="K75" s="2">
        <f t="shared" si="14"/>
        <v>70</v>
      </c>
      <c r="O75" s="2">
        <f t="shared" ca="1" si="10"/>
        <v>0</v>
      </c>
      <c r="P75" s="2">
        <f t="shared" ca="1" si="10"/>
        <v>0</v>
      </c>
    </row>
    <row r="76" spans="1:16" outlineLevel="1">
      <c r="A76" s="2" t="str">
        <f t="shared" si="11"/>
        <v/>
      </c>
      <c r="B76" t="str">
        <f t="shared" si="12"/>
        <v/>
      </c>
      <c r="C76" t="str">
        <f t="shared" si="13"/>
        <v>19 Nov Sam</v>
      </c>
      <c r="D76" s="330" t="s">
        <v>628</v>
      </c>
      <c r="E76"/>
      <c r="F76"/>
      <c r="G76"/>
      <c r="I76"/>
      <c r="K76" s="2">
        <f t="shared" si="14"/>
        <v>71</v>
      </c>
      <c r="O76" s="2">
        <f t="shared" ca="1" si="10"/>
        <v>0</v>
      </c>
      <c r="P76" s="2">
        <f t="shared" ca="1" si="10"/>
        <v>0</v>
      </c>
    </row>
    <row r="77" spans="1:16" outlineLevel="1">
      <c r="A77" s="2" t="str">
        <f t="shared" si="11"/>
        <v/>
      </c>
      <c r="B77" t="str">
        <f t="shared" si="12"/>
        <v/>
      </c>
      <c r="C77" t="str">
        <f t="shared" si="13"/>
        <v>19 Nov Sam</v>
      </c>
      <c r="D77" s="330" t="s">
        <v>628</v>
      </c>
      <c r="E77"/>
      <c r="F77"/>
      <c r="G77"/>
      <c r="I77"/>
      <c r="K77" s="2">
        <f t="shared" si="14"/>
        <v>72</v>
      </c>
      <c r="O77" s="2">
        <f t="shared" ca="1" si="10"/>
        <v>0</v>
      </c>
      <c r="P77" s="2">
        <f t="shared" ca="1" si="10"/>
        <v>0</v>
      </c>
    </row>
    <row r="78" spans="1:16" outlineLevel="1">
      <c r="A78" s="2" t="str">
        <f t="shared" si="11"/>
        <v/>
      </c>
      <c r="B78" t="str">
        <f t="shared" si="12"/>
        <v/>
      </c>
      <c r="C78" t="str">
        <f t="shared" si="13"/>
        <v>19 Nov Sam</v>
      </c>
      <c r="D78" s="330" t="s">
        <v>628</v>
      </c>
      <c r="E78"/>
      <c r="F78"/>
      <c r="G78"/>
      <c r="I78"/>
      <c r="K78" s="2">
        <f t="shared" si="14"/>
        <v>73</v>
      </c>
      <c r="O78" s="2">
        <f t="shared" ca="1" si="10"/>
        <v>0</v>
      </c>
      <c r="P78" s="2">
        <f t="shared" ca="1" si="10"/>
        <v>0</v>
      </c>
    </row>
    <row r="79" spans="1:16" outlineLevel="1">
      <c r="A79" s="2" t="str">
        <f t="shared" si="11"/>
        <v/>
      </c>
      <c r="B79" t="str">
        <f t="shared" si="12"/>
        <v/>
      </c>
      <c r="C79" t="str">
        <f t="shared" si="13"/>
        <v>19 Nov Sam</v>
      </c>
      <c r="D79" s="330" t="s">
        <v>628</v>
      </c>
      <c r="E79"/>
      <c r="F79"/>
      <c r="G79"/>
      <c r="I79"/>
      <c r="K79" s="2">
        <f t="shared" si="14"/>
        <v>74</v>
      </c>
      <c r="O79" s="2">
        <f t="shared" ca="1" si="10"/>
        <v>0</v>
      </c>
      <c r="P79" s="2">
        <f t="shared" ca="1" si="10"/>
        <v>0</v>
      </c>
    </row>
    <row r="80" spans="1:16" outlineLevel="1">
      <c r="A80" s="2" t="str">
        <f t="shared" si="11"/>
        <v/>
      </c>
      <c r="B80" t="str">
        <f t="shared" si="12"/>
        <v/>
      </c>
      <c r="C80" t="str">
        <f t="shared" si="13"/>
        <v>19 Nov Sam</v>
      </c>
      <c r="D80" s="330" t="s">
        <v>628</v>
      </c>
      <c r="E80"/>
      <c r="F80"/>
      <c r="G80"/>
      <c r="I80"/>
      <c r="K80" s="2">
        <f t="shared" si="14"/>
        <v>75</v>
      </c>
      <c r="O80" s="2">
        <f t="shared" ca="1" si="10"/>
        <v>0</v>
      </c>
      <c r="P80" s="2">
        <f t="shared" ca="1" si="10"/>
        <v>0</v>
      </c>
    </row>
    <row r="81" spans="1:16" outlineLevel="1">
      <c r="A81" s="2" t="str">
        <f t="shared" si="11"/>
        <v/>
      </c>
      <c r="B81" t="str">
        <f t="shared" si="12"/>
        <v/>
      </c>
      <c r="C81" t="str">
        <f t="shared" si="13"/>
        <v>19 Nov Sam</v>
      </c>
      <c r="D81" s="330" t="s">
        <v>628</v>
      </c>
      <c r="E81"/>
      <c r="F81"/>
      <c r="G81"/>
      <c r="I81"/>
      <c r="K81" s="2">
        <f t="shared" si="14"/>
        <v>76</v>
      </c>
      <c r="O81" s="2">
        <f t="shared" ca="1" si="10"/>
        <v>0</v>
      </c>
      <c r="P81" s="2">
        <f t="shared" ca="1" si="10"/>
        <v>0</v>
      </c>
    </row>
    <row r="82" spans="1:16" outlineLevel="1">
      <c r="A82" s="2" t="str">
        <f t="shared" si="11"/>
        <v/>
      </c>
      <c r="B82" t="str">
        <f t="shared" si="12"/>
        <v/>
      </c>
      <c r="C82" t="str">
        <f t="shared" si="13"/>
        <v>19 Nov Sam</v>
      </c>
      <c r="D82" s="330" t="s">
        <v>628</v>
      </c>
      <c r="E82"/>
      <c r="F82"/>
      <c r="G82"/>
      <c r="I82"/>
      <c r="K82" s="2">
        <f t="shared" si="14"/>
        <v>77</v>
      </c>
      <c r="O82" s="2">
        <f t="shared" ca="1" si="10"/>
        <v>0</v>
      </c>
      <c r="P82" s="2">
        <f t="shared" ca="1" si="10"/>
        <v>0</v>
      </c>
    </row>
    <row r="83" spans="1:16" outlineLevel="1">
      <c r="A83" s="2" t="str">
        <f t="shared" si="11"/>
        <v/>
      </c>
      <c r="B83" t="str">
        <f t="shared" si="12"/>
        <v/>
      </c>
      <c r="C83" t="str">
        <f t="shared" si="13"/>
        <v>19 Nov Sam</v>
      </c>
      <c r="D83" s="330" t="s">
        <v>628</v>
      </c>
      <c r="E83"/>
      <c r="F83"/>
      <c r="G83"/>
      <c r="I83"/>
      <c r="K83" s="2">
        <f t="shared" si="14"/>
        <v>78</v>
      </c>
      <c r="O83" s="2">
        <f t="shared" ca="1" si="10"/>
        <v>0</v>
      </c>
      <c r="P83" s="2">
        <f t="shared" ca="1" si="10"/>
        <v>0</v>
      </c>
    </row>
    <row r="84" spans="1:16" outlineLevel="1">
      <c r="A84" s="2" t="str">
        <f t="shared" si="11"/>
        <v/>
      </c>
      <c r="B84" t="str">
        <f t="shared" si="12"/>
        <v/>
      </c>
      <c r="C84" t="str">
        <f t="shared" si="13"/>
        <v>19 Nov Sam</v>
      </c>
      <c r="D84" s="330" t="s">
        <v>628</v>
      </c>
      <c r="E84"/>
      <c r="F84"/>
      <c r="G84"/>
      <c r="I84"/>
      <c r="K84" s="2">
        <f t="shared" si="14"/>
        <v>79</v>
      </c>
      <c r="O84" s="2">
        <f t="shared" ca="1" si="10"/>
        <v>0</v>
      </c>
      <c r="P84" s="2">
        <f t="shared" ca="1" si="10"/>
        <v>0</v>
      </c>
    </row>
    <row r="85" spans="1:16" outlineLevel="1">
      <c r="A85" s="2" t="str">
        <f t="shared" si="11"/>
        <v/>
      </c>
      <c r="B85" t="str">
        <f t="shared" si="12"/>
        <v/>
      </c>
      <c r="C85" t="str">
        <f t="shared" si="13"/>
        <v>19 Nov Sam</v>
      </c>
      <c r="D85" s="330" t="s">
        <v>628</v>
      </c>
      <c r="E85"/>
      <c r="F85"/>
      <c r="G85"/>
      <c r="I85"/>
      <c r="K85" s="2">
        <f t="shared" si="14"/>
        <v>80</v>
      </c>
      <c r="O85" s="2">
        <f t="shared" ca="1" si="10"/>
        <v>0</v>
      </c>
      <c r="P85" s="2">
        <f t="shared" ca="1" si="10"/>
        <v>0</v>
      </c>
    </row>
    <row r="86" spans="1:16" outlineLevel="1">
      <c r="A86" s="2" t="str">
        <f t="shared" si="11"/>
        <v/>
      </c>
      <c r="B86" t="str">
        <f t="shared" si="12"/>
        <v/>
      </c>
      <c r="C86" t="str">
        <f t="shared" si="13"/>
        <v>19 Nov Sam</v>
      </c>
      <c r="D86" s="330" t="s">
        <v>628</v>
      </c>
      <c r="E86"/>
      <c r="F86"/>
      <c r="G86"/>
      <c r="I86"/>
      <c r="K86" s="2">
        <f t="shared" si="14"/>
        <v>81</v>
      </c>
      <c r="O86" s="2">
        <f t="shared" ca="1" si="10"/>
        <v>0</v>
      </c>
      <c r="P86" s="2">
        <f t="shared" ca="1" si="10"/>
        <v>0</v>
      </c>
    </row>
    <row r="87" spans="1:16" outlineLevel="1">
      <c r="A87" s="2" t="str">
        <f t="shared" si="11"/>
        <v/>
      </c>
      <c r="B87" t="str">
        <f t="shared" si="12"/>
        <v/>
      </c>
      <c r="C87" t="str">
        <f t="shared" si="13"/>
        <v>19 Nov Sam</v>
      </c>
      <c r="D87" s="330" t="s">
        <v>628</v>
      </c>
      <c r="E87"/>
      <c r="F87"/>
      <c r="G87"/>
      <c r="I87"/>
      <c r="K87" s="2">
        <f t="shared" si="14"/>
        <v>82</v>
      </c>
      <c r="O87" s="2">
        <f t="shared" ca="1" si="10"/>
        <v>0</v>
      </c>
      <c r="P87" s="2">
        <f t="shared" ca="1" si="10"/>
        <v>0</v>
      </c>
    </row>
    <row r="88" spans="1:16" outlineLevel="1">
      <c r="A88" s="2" t="str">
        <f t="shared" si="11"/>
        <v/>
      </c>
      <c r="B88" t="str">
        <f t="shared" si="12"/>
        <v/>
      </c>
      <c r="C88" t="str">
        <f t="shared" si="13"/>
        <v>19 Nov Sam</v>
      </c>
      <c r="D88" s="330" t="s">
        <v>628</v>
      </c>
      <c r="E88"/>
      <c r="F88"/>
      <c r="G88"/>
      <c r="I88"/>
      <c r="K88" s="2">
        <f t="shared" si="14"/>
        <v>83</v>
      </c>
      <c r="O88" s="2">
        <f t="shared" ca="1" si="10"/>
        <v>0</v>
      </c>
      <c r="P88" s="2">
        <f t="shared" ca="1" si="10"/>
        <v>0</v>
      </c>
    </row>
    <row r="89" spans="1:16" outlineLevel="1">
      <c r="A89" s="2" t="str">
        <f t="shared" si="11"/>
        <v/>
      </c>
      <c r="B89" t="str">
        <f t="shared" si="12"/>
        <v/>
      </c>
      <c r="C89" t="str">
        <f t="shared" si="13"/>
        <v>19 Nov Sam</v>
      </c>
      <c r="D89" s="330" t="s">
        <v>628</v>
      </c>
      <c r="E89"/>
      <c r="F89"/>
      <c r="G89"/>
      <c r="I89"/>
      <c r="K89" s="2">
        <f t="shared" si="14"/>
        <v>84</v>
      </c>
      <c r="O89" s="2">
        <f t="shared" ca="1" si="10"/>
        <v>0</v>
      </c>
      <c r="P89" s="2">
        <f t="shared" ca="1" si="10"/>
        <v>0</v>
      </c>
    </row>
    <row r="90" spans="1:16" outlineLevel="1">
      <c r="A90" s="2" t="str">
        <f t="shared" si="11"/>
        <v/>
      </c>
      <c r="B90" t="str">
        <f t="shared" si="12"/>
        <v/>
      </c>
      <c r="C90" t="str">
        <f t="shared" si="13"/>
        <v>19 Nov Sam</v>
      </c>
      <c r="D90" s="330" t="s">
        <v>628</v>
      </c>
      <c r="E90"/>
      <c r="F90"/>
      <c r="G90"/>
      <c r="I90"/>
      <c r="K90" s="2">
        <f t="shared" si="14"/>
        <v>85</v>
      </c>
      <c r="O90" s="2">
        <f t="shared" ca="1" si="10"/>
        <v>0</v>
      </c>
      <c r="P90" s="2">
        <f t="shared" ca="1" si="10"/>
        <v>0</v>
      </c>
    </row>
    <row r="91" spans="1:16" outlineLevel="1">
      <c r="A91" s="2" t="str">
        <f t="shared" si="11"/>
        <v/>
      </c>
      <c r="B91" t="str">
        <f t="shared" si="12"/>
        <v/>
      </c>
      <c r="C91" t="str">
        <f t="shared" si="13"/>
        <v>19 Nov Sam</v>
      </c>
      <c r="D91" s="330" t="s">
        <v>628</v>
      </c>
      <c r="E91"/>
      <c r="F91"/>
      <c r="G91"/>
      <c r="I91"/>
      <c r="K91" s="2">
        <f t="shared" si="14"/>
        <v>86</v>
      </c>
      <c r="O91" s="2">
        <f t="shared" ca="1" si="10"/>
        <v>0</v>
      </c>
      <c r="P91" s="2">
        <f t="shared" ca="1" si="10"/>
        <v>0</v>
      </c>
    </row>
    <row r="92" spans="1:16" outlineLevel="1">
      <c r="A92" s="2" t="str">
        <f t="shared" si="11"/>
        <v/>
      </c>
      <c r="B92" t="str">
        <f t="shared" si="12"/>
        <v/>
      </c>
      <c r="C92" t="str">
        <f t="shared" si="13"/>
        <v>19 Nov Sam</v>
      </c>
      <c r="D92" s="330" t="s">
        <v>628</v>
      </c>
      <c r="E92"/>
      <c r="F92"/>
      <c r="G92"/>
      <c r="I92"/>
      <c r="K92" s="2">
        <f t="shared" si="14"/>
        <v>87</v>
      </c>
      <c r="O92" s="2">
        <f t="shared" ca="1" si="10"/>
        <v>0</v>
      </c>
      <c r="P92" s="2">
        <f t="shared" ca="1" si="10"/>
        <v>0</v>
      </c>
    </row>
    <row r="93" spans="1:16" outlineLevel="1">
      <c r="A93" s="2" t="str">
        <f t="shared" si="11"/>
        <v/>
      </c>
      <c r="B93" t="str">
        <f t="shared" si="12"/>
        <v/>
      </c>
      <c r="C93" t="str">
        <f t="shared" si="13"/>
        <v>19 Nov Sam</v>
      </c>
      <c r="D93" s="330" t="s">
        <v>628</v>
      </c>
      <c r="E93"/>
      <c r="F93"/>
      <c r="G93"/>
      <c r="I93"/>
      <c r="K93" s="2">
        <f t="shared" si="14"/>
        <v>88</v>
      </c>
      <c r="O93" s="2">
        <f t="shared" ref="O93:P156" ca="1" si="15">INDIRECT("E"&amp;O$4+$K93)</f>
        <v>0</v>
      </c>
      <c r="P93" s="2">
        <f t="shared" ca="1" si="15"/>
        <v>0</v>
      </c>
    </row>
    <row r="94" spans="1:16" outlineLevel="1">
      <c r="A94" s="2" t="str">
        <f t="shared" si="11"/>
        <v/>
      </c>
      <c r="B94" t="str">
        <f t="shared" si="12"/>
        <v/>
      </c>
      <c r="C94" t="str">
        <f t="shared" si="13"/>
        <v>19 Nov Sam</v>
      </c>
      <c r="D94" s="330" t="s">
        <v>628</v>
      </c>
      <c r="E94"/>
      <c r="F94"/>
      <c r="G94"/>
      <c r="I94"/>
      <c r="K94" s="2">
        <f t="shared" si="14"/>
        <v>89</v>
      </c>
      <c r="O94" s="2">
        <f t="shared" ca="1" si="15"/>
        <v>0</v>
      </c>
      <c r="P94" s="2">
        <f t="shared" ca="1" si="15"/>
        <v>0</v>
      </c>
    </row>
    <row r="95" spans="1:16" outlineLevel="1">
      <c r="A95" s="2" t="str">
        <f t="shared" si="11"/>
        <v/>
      </c>
      <c r="B95" t="str">
        <f t="shared" si="12"/>
        <v/>
      </c>
      <c r="C95" t="str">
        <f t="shared" si="13"/>
        <v>19 Nov Sam</v>
      </c>
      <c r="D95" s="330" t="s">
        <v>628</v>
      </c>
      <c r="E95"/>
      <c r="F95"/>
      <c r="G95"/>
      <c r="I95"/>
      <c r="K95" s="2">
        <f t="shared" si="14"/>
        <v>90</v>
      </c>
      <c r="O95" s="2">
        <f t="shared" ca="1" si="15"/>
        <v>0</v>
      </c>
      <c r="P95" s="2">
        <f t="shared" ca="1" si="15"/>
        <v>0</v>
      </c>
    </row>
    <row r="96" spans="1:16" outlineLevel="1">
      <c r="A96" s="2" t="str">
        <f t="shared" si="11"/>
        <v/>
      </c>
      <c r="B96" t="str">
        <f t="shared" si="12"/>
        <v/>
      </c>
      <c r="C96" t="str">
        <f t="shared" si="13"/>
        <v>19 Nov Sam</v>
      </c>
      <c r="D96" s="330" t="s">
        <v>628</v>
      </c>
      <c r="E96"/>
      <c r="F96"/>
      <c r="G96"/>
      <c r="I96"/>
      <c r="K96" s="2">
        <f t="shared" si="14"/>
        <v>91</v>
      </c>
      <c r="O96" s="2">
        <f t="shared" ca="1" si="15"/>
        <v>0</v>
      </c>
      <c r="P96" s="2">
        <f t="shared" ca="1" si="15"/>
        <v>0</v>
      </c>
    </row>
    <row r="97" spans="1:16" outlineLevel="1">
      <c r="A97" s="2" t="str">
        <f t="shared" si="11"/>
        <v/>
      </c>
      <c r="B97" t="str">
        <f t="shared" si="12"/>
        <v/>
      </c>
      <c r="C97" t="str">
        <f t="shared" si="13"/>
        <v>19 Nov Sam</v>
      </c>
      <c r="D97" s="330" t="s">
        <v>628</v>
      </c>
      <c r="E97"/>
      <c r="F97"/>
      <c r="G97"/>
      <c r="I97"/>
      <c r="K97" s="2">
        <f t="shared" si="14"/>
        <v>92</v>
      </c>
      <c r="O97" s="2">
        <f t="shared" ca="1" si="15"/>
        <v>0</v>
      </c>
      <c r="P97" s="2">
        <f t="shared" ca="1" si="15"/>
        <v>0</v>
      </c>
    </row>
    <row r="98" spans="1:16" outlineLevel="1">
      <c r="A98" s="2" t="str">
        <f t="shared" si="11"/>
        <v/>
      </c>
      <c r="B98" t="str">
        <f t="shared" si="12"/>
        <v/>
      </c>
      <c r="C98" t="str">
        <f t="shared" si="13"/>
        <v>19 Nov Sam</v>
      </c>
      <c r="D98" s="330" t="s">
        <v>628</v>
      </c>
      <c r="E98"/>
      <c r="F98"/>
      <c r="G98"/>
      <c r="I98"/>
      <c r="K98" s="2">
        <f t="shared" si="14"/>
        <v>93</v>
      </c>
      <c r="O98" s="2">
        <f t="shared" ca="1" si="15"/>
        <v>0</v>
      </c>
      <c r="P98" s="2">
        <f t="shared" ca="1" si="15"/>
        <v>0</v>
      </c>
    </row>
    <row r="99" spans="1:16" outlineLevel="1">
      <c r="A99" s="2" t="str">
        <f t="shared" si="11"/>
        <v/>
      </c>
      <c r="B99" t="str">
        <f t="shared" si="12"/>
        <v/>
      </c>
      <c r="C99" t="str">
        <f t="shared" si="13"/>
        <v>19 Nov Sam</v>
      </c>
      <c r="D99" s="330" t="s">
        <v>628</v>
      </c>
      <c r="E99"/>
      <c r="F99"/>
      <c r="G99"/>
      <c r="I99"/>
      <c r="K99" s="2">
        <f t="shared" si="14"/>
        <v>94</v>
      </c>
      <c r="O99" s="2">
        <f t="shared" ca="1" si="15"/>
        <v>0</v>
      </c>
      <c r="P99" s="2">
        <f t="shared" ca="1" si="15"/>
        <v>0</v>
      </c>
    </row>
    <row r="100" spans="1:16" outlineLevel="1">
      <c r="A100" s="2" t="str">
        <f t="shared" si="11"/>
        <v/>
      </c>
      <c r="B100" t="str">
        <f t="shared" si="12"/>
        <v/>
      </c>
      <c r="C100" t="str">
        <f t="shared" si="13"/>
        <v>19 Nov Sam</v>
      </c>
      <c r="D100" s="330" t="s">
        <v>628</v>
      </c>
      <c r="E100"/>
      <c r="F100"/>
      <c r="G100"/>
      <c r="I100"/>
      <c r="K100" s="2">
        <f t="shared" si="14"/>
        <v>95</v>
      </c>
      <c r="O100" s="2">
        <f t="shared" ca="1" si="15"/>
        <v>0</v>
      </c>
      <c r="P100" s="2">
        <f t="shared" ca="1" si="15"/>
        <v>0</v>
      </c>
    </row>
    <row r="101" spans="1:16" outlineLevel="1">
      <c r="A101" s="2" t="str">
        <f t="shared" si="11"/>
        <v/>
      </c>
      <c r="B101" t="str">
        <f t="shared" si="12"/>
        <v/>
      </c>
      <c r="C101" t="str">
        <f t="shared" si="13"/>
        <v>19 Nov Sam</v>
      </c>
      <c r="D101" s="330" t="s">
        <v>628</v>
      </c>
      <c r="E101"/>
      <c r="F101"/>
      <c r="G101"/>
      <c r="I101"/>
      <c r="K101" s="2">
        <f t="shared" si="14"/>
        <v>96</v>
      </c>
      <c r="O101" s="2">
        <f t="shared" ca="1" si="15"/>
        <v>0</v>
      </c>
      <c r="P101" s="2">
        <f t="shared" ca="1" si="15"/>
        <v>0</v>
      </c>
    </row>
    <row r="102" spans="1:16" outlineLevel="1">
      <c r="A102" s="2" t="str">
        <f t="shared" si="11"/>
        <v/>
      </c>
      <c r="B102" t="str">
        <f t="shared" si="12"/>
        <v/>
      </c>
      <c r="C102" t="str">
        <f t="shared" si="13"/>
        <v>19 Nov Sam</v>
      </c>
      <c r="D102" s="330" t="s">
        <v>628</v>
      </c>
      <c r="E102"/>
      <c r="F102"/>
      <c r="G102"/>
      <c r="I102"/>
      <c r="K102" s="2">
        <f t="shared" si="14"/>
        <v>97</v>
      </c>
      <c r="O102" s="2">
        <f t="shared" ca="1" si="15"/>
        <v>0</v>
      </c>
      <c r="P102" s="2">
        <f t="shared" ca="1" si="15"/>
        <v>0</v>
      </c>
    </row>
    <row r="103" spans="1:16" outlineLevel="1">
      <c r="A103" s="2" t="str">
        <f t="shared" si="11"/>
        <v/>
      </c>
      <c r="B103" t="str">
        <f t="shared" si="12"/>
        <v/>
      </c>
      <c r="C103" t="str">
        <f t="shared" si="13"/>
        <v>19 Nov Sam</v>
      </c>
      <c r="D103" s="330" t="s">
        <v>628</v>
      </c>
      <c r="E103"/>
      <c r="F103"/>
      <c r="G103"/>
      <c r="I103"/>
      <c r="K103" s="2">
        <f t="shared" si="14"/>
        <v>98</v>
      </c>
      <c r="O103" s="2">
        <f t="shared" ca="1" si="15"/>
        <v>0</v>
      </c>
      <c r="P103" s="2">
        <f t="shared" ca="1" si="15"/>
        <v>0</v>
      </c>
    </row>
    <row r="104" spans="1:16" outlineLevel="1">
      <c r="A104" s="2" t="str">
        <f t="shared" si="11"/>
        <v/>
      </c>
      <c r="B104" t="str">
        <f t="shared" si="12"/>
        <v/>
      </c>
      <c r="C104" t="str">
        <f t="shared" si="13"/>
        <v>19 Nov Sam</v>
      </c>
      <c r="D104" s="330" t="s">
        <v>628</v>
      </c>
      <c r="E104"/>
      <c r="F104"/>
      <c r="G104"/>
      <c r="I104"/>
      <c r="K104" s="2">
        <f t="shared" si="14"/>
        <v>99</v>
      </c>
      <c r="O104" s="2">
        <f t="shared" ca="1" si="15"/>
        <v>0</v>
      </c>
      <c r="P104" s="2">
        <f t="shared" ca="1" si="15"/>
        <v>0</v>
      </c>
    </row>
    <row r="105" spans="1:16" outlineLevel="1">
      <c r="A105" s="2" t="str">
        <f t="shared" si="11"/>
        <v/>
      </c>
      <c r="B105" t="str">
        <f t="shared" si="12"/>
        <v/>
      </c>
      <c r="C105" t="str">
        <f t="shared" si="13"/>
        <v>19 Nov Sam</v>
      </c>
      <c r="D105" s="330" t="s">
        <v>628</v>
      </c>
      <c r="E105"/>
      <c r="F105"/>
      <c r="G105"/>
      <c r="I105"/>
      <c r="K105" s="2">
        <f t="shared" si="14"/>
        <v>100</v>
      </c>
      <c r="O105" s="2">
        <f t="shared" ca="1" si="15"/>
        <v>0</v>
      </c>
      <c r="P105" s="2">
        <f t="shared" ca="1" si="15"/>
        <v>0</v>
      </c>
    </row>
    <row r="106" spans="1:16" outlineLevel="1">
      <c r="A106" s="2" t="str">
        <f t="shared" si="11"/>
        <v/>
      </c>
      <c r="B106" t="str">
        <f t="shared" si="12"/>
        <v/>
      </c>
      <c r="C106" t="str">
        <f t="shared" si="13"/>
        <v>19 Nov Sam</v>
      </c>
      <c r="D106" s="330" t="s">
        <v>628</v>
      </c>
      <c r="E106"/>
      <c r="F106"/>
      <c r="G106"/>
      <c r="I106"/>
      <c r="K106" s="2">
        <f t="shared" si="14"/>
        <v>101</v>
      </c>
      <c r="O106" s="2">
        <f t="shared" ca="1" si="15"/>
        <v>0</v>
      </c>
      <c r="P106" s="2">
        <f t="shared" ca="1" si="15"/>
        <v>0</v>
      </c>
    </row>
    <row r="107" spans="1:16" outlineLevel="1">
      <c r="A107" s="2" t="str">
        <f t="shared" si="11"/>
        <v/>
      </c>
      <c r="B107" t="str">
        <f t="shared" si="12"/>
        <v/>
      </c>
      <c r="C107" t="str">
        <f t="shared" si="13"/>
        <v>19 Nov Sam</v>
      </c>
      <c r="D107" s="330" t="s">
        <v>628</v>
      </c>
      <c r="E107"/>
      <c r="F107"/>
      <c r="G107"/>
      <c r="I107"/>
      <c r="K107" s="2">
        <f t="shared" si="14"/>
        <v>102</v>
      </c>
      <c r="O107" s="2">
        <f t="shared" ca="1" si="15"/>
        <v>0</v>
      </c>
      <c r="P107" s="2">
        <f t="shared" ca="1" si="15"/>
        <v>0</v>
      </c>
    </row>
    <row r="108" spans="1:16" outlineLevel="1">
      <c r="A108" s="2" t="str">
        <f t="shared" si="11"/>
        <v/>
      </c>
      <c r="B108" t="str">
        <f t="shared" si="12"/>
        <v/>
      </c>
      <c r="C108" t="str">
        <f t="shared" si="13"/>
        <v>19 Nov Sam</v>
      </c>
      <c r="D108" s="330" t="s">
        <v>628</v>
      </c>
      <c r="E108"/>
      <c r="F108"/>
      <c r="G108"/>
      <c r="I108"/>
      <c r="K108" s="2">
        <f t="shared" si="14"/>
        <v>103</v>
      </c>
      <c r="O108" s="2">
        <f t="shared" ca="1" si="15"/>
        <v>0</v>
      </c>
      <c r="P108" s="2">
        <f t="shared" ca="1" si="15"/>
        <v>0</v>
      </c>
    </row>
    <row r="109" spans="1:16" outlineLevel="1">
      <c r="A109" s="2" t="str">
        <f t="shared" si="11"/>
        <v/>
      </c>
      <c r="B109" t="str">
        <f t="shared" si="12"/>
        <v/>
      </c>
      <c r="C109" t="str">
        <f t="shared" si="13"/>
        <v>19 Nov Sam</v>
      </c>
      <c r="D109" s="330" t="s">
        <v>628</v>
      </c>
      <c r="E109"/>
      <c r="F109"/>
      <c r="G109"/>
      <c r="I109"/>
      <c r="K109" s="2">
        <f t="shared" si="14"/>
        <v>104</v>
      </c>
      <c r="O109" s="2">
        <f t="shared" ca="1" si="15"/>
        <v>0</v>
      </c>
      <c r="P109" s="2">
        <f t="shared" ca="1" si="15"/>
        <v>0</v>
      </c>
    </row>
    <row r="110" spans="1:16" outlineLevel="1">
      <c r="A110" s="2" t="str">
        <f t="shared" si="11"/>
        <v/>
      </c>
      <c r="B110" t="str">
        <f t="shared" si="12"/>
        <v/>
      </c>
      <c r="C110" t="str">
        <f t="shared" si="13"/>
        <v>19 Nov Sam</v>
      </c>
      <c r="D110" s="330" t="s">
        <v>628</v>
      </c>
      <c r="E110"/>
      <c r="F110"/>
      <c r="G110"/>
      <c r="I110"/>
      <c r="K110" s="2">
        <f t="shared" si="14"/>
        <v>105</v>
      </c>
      <c r="O110" s="2">
        <f t="shared" ca="1" si="15"/>
        <v>0</v>
      </c>
      <c r="P110" s="2">
        <f t="shared" ca="1" si="15"/>
        <v>0</v>
      </c>
    </row>
    <row r="111" spans="1:16" outlineLevel="1">
      <c r="A111" s="2" t="str">
        <f t="shared" si="11"/>
        <v/>
      </c>
      <c r="B111" t="str">
        <f t="shared" si="12"/>
        <v/>
      </c>
      <c r="C111" t="str">
        <f t="shared" si="13"/>
        <v>19 Nov Sam</v>
      </c>
      <c r="D111" s="330" t="s">
        <v>628</v>
      </c>
      <c r="E111"/>
      <c r="F111"/>
      <c r="G111"/>
      <c r="I111"/>
      <c r="K111" s="2">
        <f t="shared" si="14"/>
        <v>106</v>
      </c>
      <c r="O111" s="2">
        <f t="shared" ca="1" si="15"/>
        <v>0</v>
      </c>
      <c r="P111" s="2">
        <f t="shared" ca="1" si="15"/>
        <v>0</v>
      </c>
    </row>
    <row r="112" spans="1:16" outlineLevel="1">
      <c r="A112" s="2" t="str">
        <f t="shared" si="11"/>
        <v/>
      </c>
      <c r="B112" t="str">
        <f t="shared" si="12"/>
        <v/>
      </c>
      <c r="C112" t="str">
        <f t="shared" si="13"/>
        <v>19 Nov Sam</v>
      </c>
      <c r="D112" s="330" t="s">
        <v>628</v>
      </c>
      <c r="E112"/>
      <c r="F112"/>
      <c r="G112"/>
      <c r="I112"/>
      <c r="K112" s="2">
        <f t="shared" si="14"/>
        <v>107</v>
      </c>
      <c r="O112" s="2">
        <f t="shared" ca="1" si="15"/>
        <v>0</v>
      </c>
      <c r="P112" s="2">
        <f t="shared" ca="1" si="15"/>
        <v>0</v>
      </c>
    </row>
    <row r="113" spans="1:16" outlineLevel="1">
      <c r="A113" s="2" t="str">
        <f t="shared" si="11"/>
        <v/>
      </c>
      <c r="B113" t="str">
        <f t="shared" si="12"/>
        <v/>
      </c>
      <c r="C113" t="str">
        <f t="shared" si="13"/>
        <v>19 Nov Sam</v>
      </c>
      <c r="D113" s="330" t="s">
        <v>628</v>
      </c>
      <c r="E113"/>
      <c r="F113"/>
      <c r="G113"/>
      <c r="I113"/>
      <c r="K113" s="2">
        <f t="shared" si="14"/>
        <v>108</v>
      </c>
      <c r="O113" s="2">
        <f t="shared" ca="1" si="15"/>
        <v>0</v>
      </c>
      <c r="P113" s="2">
        <f t="shared" ca="1" si="15"/>
        <v>0</v>
      </c>
    </row>
    <row r="114" spans="1:16" outlineLevel="1">
      <c r="A114" s="2" t="str">
        <f t="shared" si="11"/>
        <v/>
      </c>
      <c r="B114" t="str">
        <f t="shared" si="12"/>
        <v/>
      </c>
      <c r="C114" t="str">
        <f t="shared" si="13"/>
        <v>19 Nov Sam</v>
      </c>
      <c r="D114" s="330" t="s">
        <v>628</v>
      </c>
      <c r="E114"/>
      <c r="F114"/>
      <c r="G114"/>
      <c r="I114"/>
      <c r="K114" s="2">
        <f t="shared" si="14"/>
        <v>109</v>
      </c>
      <c r="O114" s="2">
        <f t="shared" ca="1" si="15"/>
        <v>0</v>
      </c>
      <c r="P114" s="2">
        <f t="shared" ca="1" si="15"/>
        <v>0</v>
      </c>
    </row>
    <row r="115" spans="1:16" outlineLevel="1">
      <c r="A115" s="2" t="str">
        <f t="shared" si="11"/>
        <v/>
      </c>
      <c r="B115" t="str">
        <f t="shared" si="12"/>
        <v/>
      </c>
      <c r="C115" t="str">
        <f t="shared" si="13"/>
        <v>19 Nov Sam</v>
      </c>
      <c r="D115" s="330" t="s">
        <v>628</v>
      </c>
      <c r="E115"/>
      <c r="F115"/>
      <c r="G115"/>
      <c r="I115"/>
      <c r="K115" s="2">
        <f t="shared" si="14"/>
        <v>110</v>
      </c>
      <c r="O115" s="2">
        <f t="shared" ca="1" si="15"/>
        <v>0</v>
      </c>
      <c r="P115" s="2">
        <f t="shared" ca="1" si="15"/>
        <v>0</v>
      </c>
    </row>
    <row r="116" spans="1:16" outlineLevel="1">
      <c r="A116" s="2" t="str">
        <f t="shared" si="11"/>
        <v/>
      </c>
      <c r="B116" t="str">
        <f t="shared" si="12"/>
        <v/>
      </c>
      <c r="C116" t="str">
        <f t="shared" si="13"/>
        <v>19 Nov Sam</v>
      </c>
      <c r="D116" s="330" t="s">
        <v>628</v>
      </c>
      <c r="E116"/>
      <c r="F116"/>
      <c r="G116"/>
      <c r="I116"/>
      <c r="K116" s="2">
        <f t="shared" si="14"/>
        <v>111</v>
      </c>
      <c r="O116" s="2">
        <f t="shared" ca="1" si="15"/>
        <v>0</v>
      </c>
      <c r="P116" s="2">
        <f t="shared" ca="1" si="15"/>
        <v>0</v>
      </c>
    </row>
    <row r="117" spans="1:16" outlineLevel="1">
      <c r="A117" s="2" t="str">
        <f t="shared" si="11"/>
        <v/>
      </c>
      <c r="B117" t="str">
        <f t="shared" si="12"/>
        <v/>
      </c>
      <c r="C117" t="str">
        <f t="shared" si="13"/>
        <v>19 Nov Sam</v>
      </c>
      <c r="D117" s="330" t="s">
        <v>628</v>
      </c>
      <c r="E117"/>
      <c r="F117"/>
      <c r="G117"/>
      <c r="I117"/>
      <c r="K117" s="2">
        <f t="shared" si="14"/>
        <v>112</v>
      </c>
      <c r="O117" s="2">
        <f t="shared" ca="1" si="15"/>
        <v>0</v>
      </c>
      <c r="P117" s="2">
        <f t="shared" ca="1" si="15"/>
        <v>0</v>
      </c>
    </row>
    <row r="118" spans="1:16" outlineLevel="1">
      <c r="A118" s="2" t="str">
        <f t="shared" si="11"/>
        <v/>
      </c>
      <c r="B118" t="str">
        <f t="shared" si="12"/>
        <v/>
      </c>
      <c r="C118" t="str">
        <f t="shared" si="13"/>
        <v>19 Nov Sam</v>
      </c>
      <c r="D118" s="330" t="s">
        <v>628</v>
      </c>
      <c r="E118"/>
      <c r="F118"/>
      <c r="G118"/>
      <c r="I118"/>
      <c r="K118" s="2">
        <f t="shared" si="14"/>
        <v>113</v>
      </c>
      <c r="O118" s="2">
        <f t="shared" ca="1" si="15"/>
        <v>0</v>
      </c>
      <c r="P118" s="2">
        <f t="shared" ca="1" si="15"/>
        <v>0</v>
      </c>
    </row>
    <row r="119" spans="1:16" outlineLevel="1">
      <c r="A119" s="2" t="str">
        <f t="shared" si="11"/>
        <v/>
      </c>
      <c r="B119" t="str">
        <f t="shared" si="12"/>
        <v/>
      </c>
      <c r="C119" t="str">
        <f t="shared" si="13"/>
        <v>19 Nov Sam</v>
      </c>
      <c r="D119" s="330" t="s">
        <v>628</v>
      </c>
      <c r="E119"/>
      <c r="F119"/>
      <c r="G119"/>
      <c r="I119"/>
      <c r="K119" s="2">
        <f t="shared" si="14"/>
        <v>114</v>
      </c>
      <c r="O119" s="2">
        <f t="shared" ca="1" si="15"/>
        <v>0</v>
      </c>
      <c r="P119" s="2">
        <f t="shared" ca="1" si="15"/>
        <v>0</v>
      </c>
    </row>
    <row r="120" spans="1:16" outlineLevel="1">
      <c r="A120" s="2" t="str">
        <f t="shared" si="11"/>
        <v/>
      </c>
      <c r="B120" t="str">
        <f t="shared" si="12"/>
        <v/>
      </c>
      <c r="C120" t="str">
        <f t="shared" si="13"/>
        <v>19 Nov Sam</v>
      </c>
      <c r="D120" s="330" t="s">
        <v>628</v>
      </c>
      <c r="E120"/>
      <c r="F120"/>
      <c r="G120"/>
      <c r="I120"/>
      <c r="K120" s="2">
        <f t="shared" si="14"/>
        <v>115</v>
      </c>
      <c r="O120" s="2">
        <f t="shared" ca="1" si="15"/>
        <v>0</v>
      </c>
      <c r="P120" s="2">
        <f t="shared" ca="1" si="15"/>
        <v>0</v>
      </c>
    </row>
    <row r="121" spans="1:16" outlineLevel="1">
      <c r="A121" s="2" t="str">
        <f t="shared" si="11"/>
        <v/>
      </c>
      <c r="B121" t="str">
        <f t="shared" si="12"/>
        <v/>
      </c>
      <c r="C121" t="str">
        <f t="shared" si="13"/>
        <v>19 Nov Sam</v>
      </c>
      <c r="D121" s="330" t="s">
        <v>628</v>
      </c>
      <c r="E121"/>
      <c r="F121"/>
      <c r="G121"/>
      <c r="I121"/>
      <c r="K121" s="2">
        <f t="shared" si="14"/>
        <v>116</v>
      </c>
      <c r="O121" s="2">
        <f t="shared" ca="1" si="15"/>
        <v>0</v>
      </c>
      <c r="P121" s="2">
        <f t="shared" ca="1" si="15"/>
        <v>0</v>
      </c>
    </row>
    <row r="122" spans="1:16" outlineLevel="1">
      <c r="A122" s="2" t="str">
        <f t="shared" si="11"/>
        <v/>
      </c>
      <c r="B122" t="str">
        <f t="shared" si="12"/>
        <v/>
      </c>
      <c r="C122" t="str">
        <f t="shared" si="13"/>
        <v>19 Nov Sam</v>
      </c>
      <c r="D122" s="330" t="s">
        <v>628</v>
      </c>
      <c r="E122"/>
      <c r="F122"/>
      <c r="G122"/>
      <c r="I122"/>
      <c r="K122" s="2">
        <f t="shared" si="14"/>
        <v>117</v>
      </c>
      <c r="O122" s="2">
        <f t="shared" ca="1" si="15"/>
        <v>0</v>
      </c>
      <c r="P122" s="2">
        <f t="shared" ca="1" si="15"/>
        <v>0</v>
      </c>
    </row>
    <row r="123" spans="1:16" outlineLevel="1">
      <c r="A123" s="2" t="str">
        <f t="shared" si="11"/>
        <v/>
      </c>
      <c r="B123" t="str">
        <f t="shared" si="12"/>
        <v/>
      </c>
      <c r="C123" t="str">
        <f t="shared" si="13"/>
        <v>19 Nov Sam</v>
      </c>
      <c r="D123" s="330" t="s">
        <v>628</v>
      </c>
      <c r="E123"/>
      <c r="F123"/>
      <c r="G123"/>
      <c r="I123"/>
      <c r="K123" s="2">
        <f t="shared" si="14"/>
        <v>118</v>
      </c>
      <c r="O123" s="2">
        <f t="shared" ca="1" si="15"/>
        <v>0</v>
      </c>
      <c r="P123" s="2">
        <f t="shared" ca="1" si="15"/>
        <v>0</v>
      </c>
    </row>
    <row r="124" spans="1:16" outlineLevel="1">
      <c r="A124" s="2" t="str">
        <f t="shared" si="11"/>
        <v/>
      </c>
      <c r="B124" t="str">
        <f t="shared" si="12"/>
        <v/>
      </c>
      <c r="C124" t="str">
        <f t="shared" si="13"/>
        <v>19 Nov Sam</v>
      </c>
      <c r="D124" s="330" t="s">
        <v>628</v>
      </c>
      <c r="E124"/>
      <c r="F124"/>
      <c r="G124"/>
      <c r="I124"/>
      <c r="K124" s="2">
        <f t="shared" si="14"/>
        <v>119</v>
      </c>
      <c r="O124" s="2">
        <f t="shared" ca="1" si="15"/>
        <v>0</v>
      </c>
      <c r="P124" s="2">
        <f t="shared" ca="1" si="15"/>
        <v>0</v>
      </c>
    </row>
    <row r="125" spans="1:16" outlineLevel="1">
      <c r="A125" s="2" t="str">
        <f t="shared" si="11"/>
        <v/>
      </c>
      <c r="B125" t="str">
        <f t="shared" si="12"/>
        <v/>
      </c>
      <c r="C125" t="str">
        <f t="shared" si="13"/>
        <v>19 Nov Sam</v>
      </c>
      <c r="D125" s="330" t="s">
        <v>628</v>
      </c>
      <c r="E125"/>
      <c r="F125"/>
      <c r="G125"/>
      <c r="I125"/>
      <c r="K125" s="2">
        <f t="shared" si="14"/>
        <v>120</v>
      </c>
      <c r="O125" s="2">
        <f t="shared" ca="1" si="15"/>
        <v>0</v>
      </c>
      <c r="P125" s="2">
        <f t="shared" ca="1" si="15"/>
        <v>0</v>
      </c>
    </row>
    <row r="126" spans="1:16" outlineLevel="1">
      <c r="A126" s="2" t="str">
        <f t="shared" si="11"/>
        <v/>
      </c>
      <c r="B126" t="str">
        <f t="shared" si="12"/>
        <v/>
      </c>
      <c r="C126" t="str">
        <f t="shared" si="13"/>
        <v>19 Nov Sam</v>
      </c>
      <c r="D126" s="330" t="s">
        <v>628</v>
      </c>
      <c r="E126"/>
      <c r="F126"/>
      <c r="G126"/>
      <c r="I126"/>
      <c r="K126" s="2">
        <f t="shared" si="14"/>
        <v>121</v>
      </c>
      <c r="O126" s="2">
        <f t="shared" ca="1" si="15"/>
        <v>0</v>
      </c>
      <c r="P126" s="2">
        <f t="shared" ca="1" si="15"/>
        <v>0</v>
      </c>
    </row>
    <row r="127" spans="1:16" outlineLevel="1">
      <c r="A127" s="2" t="str">
        <f t="shared" si="11"/>
        <v/>
      </c>
      <c r="B127" t="str">
        <f t="shared" si="12"/>
        <v/>
      </c>
      <c r="C127" t="str">
        <f t="shared" si="13"/>
        <v>19 Nov Sam</v>
      </c>
      <c r="D127" s="330" t="s">
        <v>628</v>
      </c>
      <c r="E127"/>
      <c r="F127"/>
      <c r="G127"/>
      <c r="I127"/>
      <c r="K127" s="2">
        <f t="shared" si="14"/>
        <v>122</v>
      </c>
      <c r="O127" s="2">
        <f t="shared" ca="1" si="15"/>
        <v>0</v>
      </c>
      <c r="P127" s="2">
        <f t="shared" ca="1" si="15"/>
        <v>0</v>
      </c>
    </row>
    <row r="128" spans="1:16" outlineLevel="1">
      <c r="A128" s="2" t="str">
        <f t="shared" si="11"/>
        <v/>
      </c>
      <c r="B128" t="str">
        <f t="shared" si="12"/>
        <v/>
      </c>
      <c r="C128" t="str">
        <f t="shared" si="13"/>
        <v>19 Nov Sam</v>
      </c>
      <c r="D128" s="330" t="s">
        <v>628</v>
      </c>
      <c r="E128"/>
      <c r="F128"/>
      <c r="G128"/>
      <c r="I128"/>
      <c r="K128" s="2">
        <f t="shared" si="14"/>
        <v>123</v>
      </c>
      <c r="O128" s="2">
        <f t="shared" ca="1" si="15"/>
        <v>0</v>
      </c>
      <c r="P128" s="2">
        <f t="shared" ca="1" si="15"/>
        <v>0</v>
      </c>
    </row>
    <row r="129" spans="1:16" outlineLevel="1">
      <c r="A129" s="2" t="str">
        <f t="shared" ref="A129:A190" si="16">IF(B129="*",ROW(),"")</f>
        <v/>
      </c>
      <c r="B129" t="str">
        <f t="shared" ref="B129:B190" si="17">LEFT(E129,1)</f>
        <v/>
      </c>
      <c r="C129" t="str">
        <f t="shared" ref="C129:C190" si="18">IF(B129="*",RIGHT(E129,10),C128)</f>
        <v>19 Nov Sam</v>
      </c>
      <c r="D129" s="330" t="s">
        <v>628</v>
      </c>
      <c r="E129"/>
      <c r="F129"/>
      <c r="G129"/>
      <c r="I129"/>
      <c r="K129" s="2">
        <f t="shared" si="14"/>
        <v>124</v>
      </c>
      <c r="O129" s="2">
        <f t="shared" ca="1" si="15"/>
        <v>0</v>
      </c>
      <c r="P129" s="2">
        <f t="shared" ca="1" si="15"/>
        <v>0</v>
      </c>
    </row>
    <row r="130" spans="1:16" outlineLevel="1">
      <c r="A130" s="2" t="str">
        <f t="shared" si="16"/>
        <v/>
      </c>
      <c r="B130" t="str">
        <f t="shared" si="17"/>
        <v/>
      </c>
      <c r="C130" t="str">
        <f t="shared" si="18"/>
        <v>19 Nov Sam</v>
      </c>
      <c r="D130" s="330" t="s">
        <v>628</v>
      </c>
      <c r="E130"/>
      <c r="F130"/>
      <c r="G130"/>
      <c r="I130"/>
      <c r="K130" s="2">
        <f t="shared" si="14"/>
        <v>125</v>
      </c>
      <c r="O130" s="2">
        <f t="shared" ca="1" si="15"/>
        <v>0</v>
      </c>
      <c r="P130" s="2">
        <f t="shared" ca="1" si="15"/>
        <v>0</v>
      </c>
    </row>
    <row r="131" spans="1:16" outlineLevel="1">
      <c r="A131" s="2" t="str">
        <f t="shared" si="16"/>
        <v/>
      </c>
      <c r="B131" t="str">
        <f t="shared" si="17"/>
        <v/>
      </c>
      <c r="C131" t="str">
        <f t="shared" si="18"/>
        <v>19 Nov Sam</v>
      </c>
      <c r="D131" s="330" t="s">
        <v>628</v>
      </c>
      <c r="E131"/>
      <c r="F131"/>
      <c r="G131"/>
      <c r="I131"/>
      <c r="K131" s="2">
        <f t="shared" si="14"/>
        <v>126</v>
      </c>
      <c r="O131" s="2">
        <f t="shared" ca="1" si="15"/>
        <v>0</v>
      </c>
      <c r="P131" s="2">
        <f t="shared" ca="1" si="15"/>
        <v>0</v>
      </c>
    </row>
    <row r="132" spans="1:16" outlineLevel="1">
      <c r="A132" s="2" t="str">
        <f t="shared" si="16"/>
        <v/>
      </c>
      <c r="B132" t="str">
        <f t="shared" si="17"/>
        <v/>
      </c>
      <c r="C132" t="str">
        <f t="shared" si="18"/>
        <v>19 Nov Sam</v>
      </c>
      <c r="D132" s="330" t="s">
        <v>628</v>
      </c>
      <c r="E132"/>
      <c r="F132"/>
      <c r="G132"/>
      <c r="I132"/>
      <c r="K132" s="2">
        <f t="shared" si="14"/>
        <v>127</v>
      </c>
      <c r="O132" s="2">
        <f t="shared" ca="1" si="15"/>
        <v>0</v>
      </c>
      <c r="P132" s="2">
        <f t="shared" ca="1" si="15"/>
        <v>0</v>
      </c>
    </row>
    <row r="133" spans="1:16" outlineLevel="1">
      <c r="A133" s="2" t="str">
        <f t="shared" si="16"/>
        <v/>
      </c>
      <c r="B133" t="str">
        <f t="shared" si="17"/>
        <v/>
      </c>
      <c r="C133" t="str">
        <f t="shared" si="18"/>
        <v>19 Nov Sam</v>
      </c>
      <c r="D133" s="330" t="s">
        <v>628</v>
      </c>
      <c r="E133"/>
      <c r="F133"/>
      <c r="G133"/>
      <c r="I133"/>
      <c r="K133" s="2">
        <f t="shared" si="14"/>
        <v>128</v>
      </c>
      <c r="O133" s="2">
        <f t="shared" ca="1" si="15"/>
        <v>0</v>
      </c>
      <c r="P133" s="2">
        <f t="shared" ca="1" si="15"/>
        <v>0</v>
      </c>
    </row>
    <row r="134" spans="1:16" outlineLevel="1">
      <c r="A134" s="2" t="str">
        <f t="shared" si="16"/>
        <v/>
      </c>
      <c r="B134" t="str">
        <f t="shared" si="17"/>
        <v/>
      </c>
      <c r="C134" t="str">
        <f t="shared" si="18"/>
        <v>19 Nov Sam</v>
      </c>
      <c r="D134" s="330" t="s">
        <v>628</v>
      </c>
      <c r="E134"/>
      <c r="F134"/>
      <c r="G134"/>
      <c r="I134"/>
      <c r="K134" s="2">
        <f t="shared" si="14"/>
        <v>129</v>
      </c>
      <c r="O134" s="2">
        <f t="shared" ca="1" si="15"/>
        <v>0</v>
      </c>
      <c r="P134" s="2">
        <f t="shared" ca="1" si="15"/>
        <v>0</v>
      </c>
    </row>
    <row r="135" spans="1:16" outlineLevel="1">
      <c r="A135" s="2" t="str">
        <f t="shared" si="16"/>
        <v/>
      </c>
      <c r="B135" t="str">
        <f t="shared" si="17"/>
        <v/>
      </c>
      <c r="C135" t="str">
        <f t="shared" si="18"/>
        <v>19 Nov Sam</v>
      </c>
      <c r="D135" s="330" t="s">
        <v>628</v>
      </c>
      <c r="E135"/>
      <c r="F135"/>
      <c r="G135"/>
      <c r="I135"/>
      <c r="K135" s="2">
        <f t="shared" si="14"/>
        <v>130</v>
      </c>
      <c r="O135" s="2">
        <f t="shared" ca="1" si="15"/>
        <v>0</v>
      </c>
      <c r="P135" s="2">
        <f t="shared" ca="1" si="15"/>
        <v>0</v>
      </c>
    </row>
    <row r="136" spans="1:16" outlineLevel="1">
      <c r="A136" s="2" t="str">
        <f t="shared" si="16"/>
        <v/>
      </c>
      <c r="B136" t="str">
        <f t="shared" si="17"/>
        <v/>
      </c>
      <c r="C136" t="str">
        <f t="shared" si="18"/>
        <v>19 Nov Sam</v>
      </c>
      <c r="D136" s="330" t="s">
        <v>628</v>
      </c>
      <c r="E136"/>
      <c r="F136"/>
      <c r="G136"/>
      <c r="I136"/>
      <c r="K136" s="2">
        <f t="shared" ref="K136:K199" si="19">K135+1</f>
        <v>131</v>
      </c>
      <c r="O136" s="2">
        <f t="shared" ca="1" si="15"/>
        <v>0</v>
      </c>
      <c r="P136" s="2">
        <f t="shared" ca="1" si="15"/>
        <v>0</v>
      </c>
    </row>
    <row r="137" spans="1:16" outlineLevel="1">
      <c r="A137" s="2" t="str">
        <f t="shared" si="16"/>
        <v/>
      </c>
      <c r="B137" t="str">
        <f t="shared" si="17"/>
        <v/>
      </c>
      <c r="C137" t="str">
        <f t="shared" si="18"/>
        <v>19 Nov Sam</v>
      </c>
      <c r="D137" s="330" t="s">
        <v>628</v>
      </c>
      <c r="E137"/>
      <c r="F137"/>
      <c r="G137"/>
      <c r="I137"/>
      <c r="K137" s="2">
        <f t="shared" si="19"/>
        <v>132</v>
      </c>
      <c r="O137" s="2">
        <f t="shared" ca="1" si="15"/>
        <v>0</v>
      </c>
      <c r="P137" s="2">
        <f t="shared" ca="1" si="15"/>
        <v>0</v>
      </c>
    </row>
    <row r="138" spans="1:16" outlineLevel="1">
      <c r="A138" s="2" t="str">
        <f t="shared" si="16"/>
        <v/>
      </c>
      <c r="B138" t="str">
        <f t="shared" si="17"/>
        <v/>
      </c>
      <c r="C138" t="str">
        <f t="shared" si="18"/>
        <v>19 Nov Sam</v>
      </c>
      <c r="D138" s="330" t="s">
        <v>628</v>
      </c>
      <c r="E138"/>
      <c r="F138"/>
      <c r="G138"/>
      <c r="I138"/>
      <c r="K138" s="2">
        <f t="shared" si="19"/>
        <v>133</v>
      </c>
      <c r="O138" s="2">
        <f t="shared" ca="1" si="15"/>
        <v>0</v>
      </c>
      <c r="P138" s="2">
        <f t="shared" ca="1" si="15"/>
        <v>0</v>
      </c>
    </row>
    <row r="139" spans="1:16" outlineLevel="1">
      <c r="A139" s="2" t="str">
        <f t="shared" si="16"/>
        <v/>
      </c>
      <c r="B139" t="str">
        <f t="shared" si="17"/>
        <v/>
      </c>
      <c r="C139" t="str">
        <f t="shared" si="18"/>
        <v>19 Nov Sam</v>
      </c>
      <c r="D139" s="330" t="s">
        <v>628</v>
      </c>
      <c r="E139"/>
      <c r="F139"/>
      <c r="G139"/>
      <c r="I139"/>
      <c r="K139" s="2">
        <f t="shared" si="19"/>
        <v>134</v>
      </c>
      <c r="O139" s="2">
        <f t="shared" ca="1" si="15"/>
        <v>0</v>
      </c>
      <c r="P139" s="2">
        <f t="shared" ca="1" si="15"/>
        <v>0</v>
      </c>
    </row>
    <row r="140" spans="1:16" outlineLevel="1">
      <c r="A140" s="2" t="str">
        <f t="shared" si="16"/>
        <v/>
      </c>
      <c r="B140" t="str">
        <f t="shared" si="17"/>
        <v/>
      </c>
      <c r="C140" t="str">
        <f t="shared" si="18"/>
        <v>19 Nov Sam</v>
      </c>
      <c r="D140" s="330" t="s">
        <v>628</v>
      </c>
      <c r="E140"/>
      <c r="F140"/>
      <c r="G140"/>
      <c r="I140"/>
      <c r="K140" s="2">
        <f t="shared" si="19"/>
        <v>135</v>
      </c>
      <c r="O140" s="2">
        <f t="shared" ca="1" si="15"/>
        <v>0</v>
      </c>
      <c r="P140" s="2">
        <f t="shared" ca="1" si="15"/>
        <v>0</v>
      </c>
    </row>
    <row r="141" spans="1:16" outlineLevel="1">
      <c r="A141" s="2" t="str">
        <f t="shared" si="16"/>
        <v/>
      </c>
      <c r="B141" t="str">
        <f t="shared" si="17"/>
        <v/>
      </c>
      <c r="C141" t="str">
        <f t="shared" si="18"/>
        <v>19 Nov Sam</v>
      </c>
      <c r="D141" s="330" t="s">
        <v>628</v>
      </c>
      <c r="E141"/>
      <c r="F141"/>
      <c r="G141"/>
      <c r="I141"/>
      <c r="K141" s="2">
        <f t="shared" si="19"/>
        <v>136</v>
      </c>
      <c r="O141" s="2">
        <f t="shared" ca="1" si="15"/>
        <v>0</v>
      </c>
      <c r="P141" s="2">
        <f t="shared" ca="1" si="15"/>
        <v>0</v>
      </c>
    </row>
    <row r="142" spans="1:16" outlineLevel="1">
      <c r="A142" s="2" t="str">
        <f t="shared" si="16"/>
        <v/>
      </c>
      <c r="B142" t="str">
        <f t="shared" si="17"/>
        <v/>
      </c>
      <c r="C142" t="str">
        <f t="shared" si="18"/>
        <v>19 Nov Sam</v>
      </c>
      <c r="D142" s="330" t="s">
        <v>628</v>
      </c>
      <c r="E142"/>
      <c r="F142"/>
      <c r="G142"/>
      <c r="I142"/>
      <c r="K142" s="2">
        <f t="shared" si="19"/>
        <v>137</v>
      </c>
      <c r="O142" s="2">
        <f t="shared" ca="1" si="15"/>
        <v>0</v>
      </c>
      <c r="P142" s="2">
        <f t="shared" ca="1" si="15"/>
        <v>0</v>
      </c>
    </row>
    <row r="143" spans="1:16" outlineLevel="1">
      <c r="A143" s="2" t="str">
        <f t="shared" si="16"/>
        <v/>
      </c>
      <c r="B143" t="str">
        <f t="shared" si="17"/>
        <v/>
      </c>
      <c r="C143" t="str">
        <f t="shared" si="18"/>
        <v>19 Nov Sam</v>
      </c>
      <c r="D143" s="330" t="s">
        <v>628</v>
      </c>
      <c r="E143"/>
      <c r="F143"/>
      <c r="G143"/>
      <c r="I143"/>
      <c r="K143" s="2">
        <f t="shared" si="19"/>
        <v>138</v>
      </c>
      <c r="O143" s="2">
        <f t="shared" ca="1" si="15"/>
        <v>0</v>
      </c>
      <c r="P143" s="2">
        <f t="shared" ca="1" si="15"/>
        <v>0</v>
      </c>
    </row>
    <row r="144" spans="1:16" outlineLevel="1">
      <c r="A144" s="2" t="str">
        <f t="shared" si="16"/>
        <v/>
      </c>
      <c r="B144" t="str">
        <f t="shared" si="17"/>
        <v/>
      </c>
      <c r="C144" t="str">
        <f t="shared" si="18"/>
        <v>19 Nov Sam</v>
      </c>
      <c r="D144" s="330" t="s">
        <v>628</v>
      </c>
      <c r="E144"/>
      <c r="F144"/>
      <c r="G144"/>
      <c r="I144"/>
      <c r="K144" s="2">
        <f t="shared" si="19"/>
        <v>139</v>
      </c>
      <c r="O144" s="2">
        <f t="shared" ca="1" si="15"/>
        <v>0</v>
      </c>
      <c r="P144" s="2">
        <f t="shared" ca="1" si="15"/>
        <v>0</v>
      </c>
    </row>
    <row r="145" spans="1:16" outlineLevel="1">
      <c r="A145" s="2" t="str">
        <f t="shared" si="16"/>
        <v/>
      </c>
      <c r="B145" t="str">
        <f t="shared" si="17"/>
        <v/>
      </c>
      <c r="C145" t="str">
        <f t="shared" si="18"/>
        <v>19 Nov Sam</v>
      </c>
      <c r="D145" s="330" t="s">
        <v>628</v>
      </c>
      <c r="E145"/>
      <c r="F145"/>
      <c r="G145"/>
      <c r="I145"/>
      <c r="K145" s="2">
        <f t="shared" si="19"/>
        <v>140</v>
      </c>
      <c r="O145" s="2">
        <f t="shared" ca="1" si="15"/>
        <v>0</v>
      </c>
      <c r="P145" s="2">
        <f t="shared" ca="1" si="15"/>
        <v>0</v>
      </c>
    </row>
    <row r="146" spans="1:16" outlineLevel="1">
      <c r="A146" s="2" t="str">
        <f t="shared" si="16"/>
        <v/>
      </c>
      <c r="B146" t="str">
        <f t="shared" si="17"/>
        <v/>
      </c>
      <c r="C146" t="str">
        <f t="shared" si="18"/>
        <v>19 Nov Sam</v>
      </c>
      <c r="D146" s="330" t="s">
        <v>628</v>
      </c>
      <c r="E146"/>
      <c r="F146"/>
      <c r="G146"/>
      <c r="I146"/>
      <c r="K146" s="2">
        <f t="shared" si="19"/>
        <v>141</v>
      </c>
      <c r="O146" s="2">
        <f t="shared" ca="1" si="15"/>
        <v>0</v>
      </c>
      <c r="P146" s="2">
        <f t="shared" ca="1" si="15"/>
        <v>0</v>
      </c>
    </row>
    <row r="147" spans="1:16" outlineLevel="1">
      <c r="A147" s="2" t="str">
        <f t="shared" si="16"/>
        <v/>
      </c>
      <c r="B147" t="str">
        <f t="shared" si="17"/>
        <v/>
      </c>
      <c r="C147" t="str">
        <f t="shared" si="18"/>
        <v>19 Nov Sam</v>
      </c>
      <c r="D147" s="330" t="s">
        <v>628</v>
      </c>
      <c r="E147"/>
      <c r="F147"/>
      <c r="G147"/>
      <c r="I147"/>
      <c r="K147" s="2">
        <f t="shared" si="19"/>
        <v>142</v>
      </c>
      <c r="O147" s="2">
        <f t="shared" ca="1" si="15"/>
        <v>0</v>
      </c>
      <c r="P147" s="2">
        <f t="shared" ca="1" si="15"/>
        <v>0</v>
      </c>
    </row>
    <row r="148" spans="1:16" outlineLevel="1">
      <c r="A148" s="2" t="str">
        <f t="shared" si="16"/>
        <v/>
      </c>
      <c r="B148" t="str">
        <f t="shared" si="17"/>
        <v/>
      </c>
      <c r="C148" t="str">
        <f t="shared" si="18"/>
        <v>19 Nov Sam</v>
      </c>
      <c r="D148" s="330" t="s">
        <v>628</v>
      </c>
      <c r="E148"/>
      <c r="F148"/>
      <c r="G148"/>
      <c r="I148"/>
      <c r="K148" s="2">
        <f t="shared" si="19"/>
        <v>143</v>
      </c>
      <c r="O148" s="2">
        <f t="shared" ca="1" si="15"/>
        <v>0</v>
      </c>
      <c r="P148" s="2">
        <f t="shared" ca="1" si="15"/>
        <v>0</v>
      </c>
    </row>
    <row r="149" spans="1:16" outlineLevel="1">
      <c r="A149" s="2" t="str">
        <f t="shared" si="16"/>
        <v/>
      </c>
      <c r="B149" t="str">
        <f t="shared" si="17"/>
        <v/>
      </c>
      <c r="C149" t="str">
        <f t="shared" si="18"/>
        <v>19 Nov Sam</v>
      </c>
      <c r="D149" s="330" t="s">
        <v>628</v>
      </c>
      <c r="E149"/>
      <c r="F149"/>
      <c r="G149"/>
      <c r="I149"/>
      <c r="K149" s="2">
        <f t="shared" si="19"/>
        <v>144</v>
      </c>
      <c r="O149" s="2">
        <f t="shared" ca="1" si="15"/>
        <v>0</v>
      </c>
      <c r="P149" s="2">
        <f t="shared" ca="1" si="15"/>
        <v>0</v>
      </c>
    </row>
    <row r="150" spans="1:16" outlineLevel="1">
      <c r="A150" s="2" t="str">
        <f t="shared" si="16"/>
        <v/>
      </c>
      <c r="B150" t="str">
        <f t="shared" si="17"/>
        <v/>
      </c>
      <c r="C150" t="str">
        <f t="shared" si="18"/>
        <v>19 Nov Sam</v>
      </c>
      <c r="D150" s="330" t="s">
        <v>628</v>
      </c>
      <c r="E150"/>
      <c r="F150"/>
      <c r="G150"/>
      <c r="I150"/>
      <c r="K150" s="2">
        <f t="shared" si="19"/>
        <v>145</v>
      </c>
      <c r="O150" s="2">
        <f t="shared" ca="1" si="15"/>
        <v>0</v>
      </c>
      <c r="P150" s="2">
        <f t="shared" ca="1" si="15"/>
        <v>0</v>
      </c>
    </row>
    <row r="151" spans="1:16" outlineLevel="1">
      <c r="A151" s="2" t="str">
        <f t="shared" si="16"/>
        <v/>
      </c>
      <c r="B151" t="str">
        <f t="shared" si="17"/>
        <v/>
      </c>
      <c r="C151" t="str">
        <f t="shared" si="18"/>
        <v>19 Nov Sam</v>
      </c>
      <c r="D151" s="330" t="s">
        <v>628</v>
      </c>
      <c r="E151"/>
      <c r="F151"/>
      <c r="G151"/>
      <c r="I151"/>
      <c r="K151" s="2">
        <f t="shared" si="19"/>
        <v>146</v>
      </c>
      <c r="O151" s="2">
        <f t="shared" ca="1" si="15"/>
        <v>0</v>
      </c>
      <c r="P151" s="2">
        <f t="shared" ca="1" si="15"/>
        <v>0</v>
      </c>
    </row>
    <row r="152" spans="1:16" outlineLevel="1">
      <c r="A152" s="2" t="str">
        <f t="shared" si="16"/>
        <v/>
      </c>
      <c r="B152" t="str">
        <f t="shared" si="17"/>
        <v/>
      </c>
      <c r="C152" t="str">
        <f t="shared" si="18"/>
        <v>19 Nov Sam</v>
      </c>
      <c r="D152" s="330" t="s">
        <v>628</v>
      </c>
      <c r="E152"/>
      <c r="F152"/>
      <c r="G152"/>
      <c r="I152"/>
      <c r="K152" s="2">
        <f t="shared" si="19"/>
        <v>147</v>
      </c>
      <c r="O152" s="2">
        <f t="shared" ca="1" si="15"/>
        <v>0</v>
      </c>
      <c r="P152" s="2">
        <f t="shared" ca="1" si="15"/>
        <v>0</v>
      </c>
    </row>
    <row r="153" spans="1:16" outlineLevel="1">
      <c r="A153" s="2" t="str">
        <f t="shared" si="16"/>
        <v/>
      </c>
      <c r="B153" t="str">
        <f t="shared" si="17"/>
        <v/>
      </c>
      <c r="C153" t="str">
        <f t="shared" si="18"/>
        <v>19 Nov Sam</v>
      </c>
      <c r="D153" s="330" t="s">
        <v>628</v>
      </c>
      <c r="E153"/>
      <c r="F153"/>
      <c r="G153"/>
      <c r="I153"/>
      <c r="K153" s="2">
        <f t="shared" si="19"/>
        <v>148</v>
      </c>
      <c r="O153" s="2">
        <f t="shared" ca="1" si="15"/>
        <v>0</v>
      </c>
      <c r="P153" s="2">
        <f t="shared" ca="1" si="15"/>
        <v>0</v>
      </c>
    </row>
    <row r="154" spans="1:16" outlineLevel="1">
      <c r="A154" s="2" t="str">
        <f t="shared" si="16"/>
        <v/>
      </c>
      <c r="B154" t="str">
        <f t="shared" si="17"/>
        <v/>
      </c>
      <c r="C154" t="str">
        <f t="shared" si="18"/>
        <v>19 Nov Sam</v>
      </c>
      <c r="D154" s="330" t="s">
        <v>628</v>
      </c>
      <c r="E154"/>
      <c r="F154"/>
      <c r="G154"/>
      <c r="I154"/>
      <c r="K154" s="2">
        <f t="shared" si="19"/>
        <v>149</v>
      </c>
      <c r="O154" s="2">
        <f t="shared" ca="1" si="15"/>
        <v>0</v>
      </c>
      <c r="P154" s="2">
        <f t="shared" ca="1" si="15"/>
        <v>0</v>
      </c>
    </row>
    <row r="155" spans="1:16" outlineLevel="1">
      <c r="A155" s="2" t="str">
        <f t="shared" si="16"/>
        <v/>
      </c>
      <c r="B155" t="str">
        <f t="shared" si="17"/>
        <v/>
      </c>
      <c r="C155" t="str">
        <f t="shared" si="18"/>
        <v>19 Nov Sam</v>
      </c>
      <c r="D155" s="330" t="s">
        <v>628</v>
      </c>
      <c r="E155"/>
      <c r="F155"/>
      <c r="G155"/>
      <c r="I155"/>
      <c r="K155" s="2">
        <f t="shared" si="19"/>
        <v>150</v>
      </c>
      <c r="O155" s="2">
        <f t="shared" ca="1" si="15"/>
        <v>0</v>
      </c>
      <c r="P155" s="2">
        <f t="shared" ca="1" si="15"/>
        <v>0</v>
      </c>
    </row>
    <row r="156" spans="1:16" outlineLevel="1">
      <c r="A156" s="2" t="str">
        <f t="shared" si="16"/>
        <v/>
      </c>
      <c r="B156" t="str">
        <f t="shared" si="17"/>
        <v/>
      </c>
      <c r="C156" t="str">
        <f t="shared" si="18"/>
        <v>19 Nov Sam</v>
      </c>
      <c r="D156" s="330" t="s">
        <v>628</v>
      </c>
      <c r="E156"/>
      <c r="F156"/>
      <c r="G156"/>
      <c r="I156"/>
      <c r="K156" s="2">
        <f t="shared" si="19"/>
        <v>151</v>
      </c>
      <c r="O156" s="2">
        <f t="shared" ca="1" si="15"/>
        <v>0</v>
      </c>
      <c r="P156" s="2">
        <f t="shared" ca="1" si="15"/>
        <v>0</v>
      </c>
    </row>
    <row r="157" spans="1:16" outlineLevel="1" collapsed="1">
      <c r="A157" s="2" t="str">
        <f t="shared" si="16"/>
        <v/>
      </c>
      <c r="B157" t="str">
        <f t="shared" si="17"/>
        <v/>
      </c>
      <c r="C157" t="str">
        <f t="shared" si="18"/>
        <v>19 Nov Sam</v>
      </c>
      <c r="D157" s="330" t="s">
        <v>628</v>
      </c>
      <c r="E157"/>
      <c r="F157"/>
      <c r="G157"/>
      <c r="I157"/>
      <c r="K157" s="2">
        <f t="shared" si="19"/>
        <v>152</v>
      </c>
      <c r="O157" s="2">
        <f t="shared" ref="O157:P220" ca="1" si="20">INDIRECT("E"&amp;O$4+$K157)</f>
        <v>0</v>
      </c>
      <c r="P157" s="2">
        <f t="shared" ca="1" si="20"/>
        <v>0</v>
      </c>
    </row>
    <row r="158" spans="1:16" outlineLevel="1">
      <c r="A158" s="2" t="str">
        <f t="shared" si="16"/>
        <v/>
      </c>
      <c r="B158" t="str">
        <f t="shared" si="17"/>
        <v/>
      </c>
      <c r="C158" t="str">
        <f t="shared" si="18"/>
        <v>19 Nov Sam</v>
      </c>
      <c r="D158" s="330" t="s">
        <v>628</v>
      </c>
      <c r="E158"/>
      <c r="F158"/>
      <c r="G158"/>
      <c r="I158"/>
      <c r="K158" s="2">
        <f t="shared" si="19"/>
        <v>153</v>
      </c>
      <c r="O158" s="2">
        <f t="shared" ca="1" si="20"/>
        <v>0</v>
      </c>
      <c r="P158" s="2">
        <f t="shared" ca="1" si="20"/>
        <v>0</v>
      </c>
    </row>
    <row r="159" spans="1:16" outlineLevel="1">
      <c r="A159" s="2" t="str">
        <f t="shared" si="16"/>
        <v/>
      </c>
      <c r="B159" t="str">
        <f t="shared" si="17"/>
        <v/>
      </c>
      <c r="C159" t="str">
        <f t="shared" si="18"/>
        <v>19 Nov Sam</v>
      </c>
      <c r="D159" s="330" t="s">
        <v>628</v>
      </c>
      <c r="E159"/>
      <c r="F159"/>
      <c r="G159"/>
      <c r="I159"/>
      <c r="K159" s="2">
        <f t="shared" si="19"/>
        <v>154</v>
      </c>
      <c r="O159" s="2">
        <f t="shared" ca="1" si="20"/>
        <v>0</v>
      </c>
      <c r="P159" s="2">
        <f t="shared" ca="1" si="20"/>
        <v>0</v>
      </c>
    </row>
    <row r="160" spans="1:16" outlineLevel="1">
      <c r="A160" s="2" t="str">
        <f t="shared" si="16"/>
        <v/>
      </c>
      <c r="B160" t="str">
        <f t="shared" si="17"/>
        <v/>
      </c>
      <c r="C160" t="str">
        <f t="shared" si="18"/>
        <v>19 Nov Sam</v>
      </c>
      <c r="D160" s="330" t="s">
        <v>628</v>
      </c>
      <c r="E160"/>
      <c r="F160"/>
      <c r="G160"/>
      <c r="I160"/>
      <c r="K160" s="2">
        <f t="shared" si="19"/>
        <v>155</v>
      </c>
      <c r="O160" s="2">
        <f t="shared" ca="1" si="20"/>
        <v>0</v>
      </c>
      <c r="P160" s="2">
        <f t="shared" ca="1" si="20"/>
        <v>0</v>
      </c>
    </row>
    <row r="161" spans="1:16" outlineLevel="1">
      <c r="A161" s="2" t="str">
        <f t="shared" si="16"/>
        <v/>
      </c>
      <c r="B161" t="str">
        <f t="shared" si="17"/>
        <v/>
      </c>
      <c r="C161" t="str">
        <f t="shared" si="18"/>
        <v>19 Nov Sam</v>
      </c>
      <c r="D161" s="330" t="s">
        <v>628</v>
      </c>
      <c r="E161"/>
      <c r="F161"/>
      <c r="G161"/>
      <c r="I161"/>
      <c r="K161" s="2">
        <f t="shared" si="19"/>
        <v>156</v>
      </c>
      <c r="O161" s="2">
        <f t="shared" ca="1" si="20"/>
        <v>0</v>
      </c>
      <c r="P161" s="2">
        <f t="shared" ca="1" si="20"/>
        <v>0</v>
      </c>
    </row>
    <row r="162" spans="1:16" outlineLevel="1">
      <c r="A162" s="2" t="str">
        <f t="shared" si="16"/>
        <v/>
      </c>
      <c r="B162" t="str">
        <f t="shared" si="17"/>
        <v/>
      </c>
      <c r="C162" t="str">
        <f t="shared" si="18"/>
        <v>19 Nov Sam</v>
      </c>
      <c r="D162" s="330" t="s">
        <v>628</v>
      </c>
      <c r="E162"/>
      <c r="F162"/>
      <c r="G162"/>
      <c r="I162"/>
      <c r="K162" s="2">
        <f t="shared" si="19"/>
        <v>157</v>
      </c>
      <c r="O162" s="2">
        <f t="shared" ca="1" si="20"/>
        <v>0</v>
      </c>
      <c r="P162" s="2">
        <f t="shared" ca="1" si="20"/>
        <v>0</v>
      </c>
    </row>
    <row r="163" spans="1:16" outlineLevel="1">
      <c r="A163" s="2" t="str">
        <f t="shared" si="16"/>
        <v/>
      </c>
      <c r="B163" t="str">
        <f t="shared" si="17"/>
        <v/>
      </c>
      <c r="C163" t="str">
        <f t="shared" si="18"/>
        <v>19 Nov Sam</v>
      </c>
      <c r="D163" s="330" t="s">
        <v>628</v>
      </c>
      <c r="E163"/>
      <c r="F163"/>
      <c r="G163"/>
      <c r="I163"/>
      <c r="K163" s="2">
        <f t="shared" si="19"/>
        <v>158</v>
      </c>
      <c r="O163" s="2">
        <f t="shared" ca="1" si="20"/>
        <v>0</v>
      </c>
      <c r="P163" s="2">
        <f t="shared" ca="1" si="20"/>
        <v>0</v>
      </c>
    </row>
    <row r="164" spans="1:16" outlineLevel="1">
      <c r="A164" s="2" t="str">
        <f t="shared" si="16"/>
        <v/>
      </c>
      <c r="B164" t="str">
        <f t="shared" si="17"/>
        <v/>
      </c>
      <c r="C164" t="str">
        <f t="shared" si="18"/>
        <v>19 Nov Sam</v>
      </c>
      <c r="D164" s="330" t="s">
        <v>628</v>
      </c>
      <c r="E164"/>
      <c r="F164"/>
      <c r="G164"/>
      <c r="I164"/>
      <c r="K164" s="2">
        <f t="shared" si="19"/>
        <v>159</v>
      </c>
      <c r="O164" s="2">
        <f t="shared" ca="1" si="20"/>
        <v>0</v>
      </c>
      <c r="P164" s="2">
        <f t="shared" ca="1" si="20"/>
        <v>0</v>
      </c>
    </row>
    <row r="165" spans="1:16" outlineLevel="1">
      <c r="A165" s="2" t="str">
        <f t="shared" si="16"/>
        <v/>
      </c>
      <c r="B165" t="str">
        <f t="shared" si="17"/>
        <v/>
      </c>
      <c r="C165" t="str">
        <f t="shared" si="18"/>
        <v>19 Nov Sam</v>
      </c>
      <c r="D165" s="330" t="s">
        <v>628</v>
      </c>
      <c r="E165"/>
      <c r="F165"/>
      <c r="G165"/>
      <c r="I165"/>
      <c r="K165" s="2">
        <f t="shared" si="19"/>
        <v>160</v>
      </c>
      <c r="O165" s="2">
        <f t="shared" ca="1" si="20"/>
        <v>0</v>
      </c>
      <c r="P165" s="2">
        <f t="shared" ca="1" si="20"/>
        <v>0</v>
      </c>
    </row>
    <row r="166" spans="1:16" outlineLevel="1">
      <c r="A166" s="2" t="str">
        <f t="shared" si="16"/>
        <v/>
      </c>
      <c r="B166" t="str">
        <f t="shared" si="17"/>
        <v/>
      </c>
      <c r="C166" t="str">
        <f t="shared" si="18"/>
        <v>19 Nov Sam</v>
      </c>
      <c r="D166" s="330" t="s">
        <v>628</v>
      </c>
      <c r="E166"/>
      <c r="F166"/>
      <c r="G166"/>
      <c r="I166"/>
      <c r="K166" s="2">
        <f t="shared" si="19"/>
        <v>161</v>
      </c>
      <c r="O166" s="2">
        <f t="shared" ca="1" si="20"/>
        <v>0</v>
      </c>
      <c r="P166" s="2">
        <f t="shared" ca="1" si="20"/>
        <v>0</v>
      </c>
    </row>
    <row r="167" spans="1:16" outlineLevel="1">
      <c r="A167" s="2" t="str">
        <f t="shared" si="16"/>
        <v/>
      </c>
      <c r="B167" t="str">
        <f t="shared" si="17"/>
        <v/>
      </c>
      <c r="C167" t="str">
        <f t="shared" si="18"/>
        <v>19 Nov Sam</v>
      </c>
      <c r="D167" s="330" t="s">
        <v>628</v>
      </c>
      <c r="E167"/>
      <c r="F167"/>
      <c r="G167"/>
      <c r="I167"/>
      <c r="K167" s="2">
        <f t="shared" si="19"/>
        <v>162</v>
      </c>
      <c r="O167" s="2">
        <f t="shared" ca="1" si="20"/>
        <v>0</v>
      </c>
      <c r="P167" s="2">
        <f t="shared" ca="1" si="20"/>
        <v>0</v>
      </c>
    </row>
    <row r="168" spans="1:16" outlineLevel="1">
      <c r="A168" s="2" t="str">
        <f t="shared" si="16"/>
        <v/>
      </c>
      <c r="B168" t="str">
        <f t="shared" si="17"/>
        <v/>
      </c>
      <c r="C168" t="str">
        <f t="shared" si="18"/>
        <v>19 Nov Sam</v>
      </c>
      <c r="D168" s="330" t="s">
        <v>628</v>
      </c>
      <c r="E168"/>
      <c r="F168"/>
      <c r="G168"/>
      <c r="I168"/>
      <c r="K168" s="2">
        <f t="shared" si="19"/>
        <v>163</v>
      </c>
      <c r="O168" s="2">
        <f t="shared" ca="1" si="20"/>
        <v>0</v>
      </c>
      <c r="P168" s="2">
        <f t="shared" ca="1" si="20"/>
        <v>0</v>
      </c>
    </row>
    <row r="169" spans="1:16" outlineLevel="1">
      <c r="A169" s="2" t="str">
        <f t="shared" si="16"/>
        <v/>
      </c>
      <c r="B169" t="str">
        <f t="shared" si="17"/>
        <v/>
      </c>
      <c r="C169" t="str">
        <f t="shared" si="18"/>
        <v>19 Nov Sam</v>
      </c>
      <c r="D169" s="330" t="s">
        <v>628</v>
      </c>
      <c r="E169"/>
      <c r="F169"/>
      <c r="G169"/>
      <c r="I169"/>
      <c r="K169" s="2">
        <f t="shared" si="19"/>
        <v>164</v>
      </c>
      <c r="O169" s="2">
        <f t="shared" ca="1" si="20"/>
        <v>0</v>
      </c>
      <c r="P169" s="2">
        <f t="shared" ca="1" si="20"/>
        <v>0</v>
      </c>
    </row>
    <row r="170" spans="1:16" outlineLevel="1">
      <c r="A170" s="2" t="str">
        <f t="shared" si="16"/>
        <v/>
      </c>
      <c r="B170" t="str">
        <f t="shared" si="17"/>
        <v/>
      </c>
      <c r="C170" t="str">
        <f t="shared" si="18"/>
        <v>19 Nov Sam</v>
      </c>
      <c r="D170" s="330" t="s">
        <v>628</v>
      </c>
      <c r="E170"/>
      <c r="F170"/>
      <c r="G170"/>
      <c r="I170"/>
      <c r="K170" s="2">
        <f t="shared" si="19"/>
        <v>165</v>
      </c>
      <c r="O170" s="2">
        <f t="shared" ca="1" si="20"/>
        <v>0</v>
      </c>
      <c r="P170" s="2">
        <f t="shared" ca="1" si="20"/>
        <v>0</v>
      </c>
    </row>
    <row r="171" spans="1:16" outlineLevel="1">
      <c r="A171" s="2" t="str">
        <f t="shared" si="16"/>
        <v/>
      </c>
      <c r="B171" t="str">
        <f t="shared" si="17"/>
        <v/>
      </c>
      <c r="C171" t="str">
        <f t="shared" si="18"/>
        <v>19 Nov Sam</v>
      </c>
      <c r="D171" s="330" t="s">
        <v>628</v>
      </c>
      <c r="E171"/>
      <c r="F171"/>
      <c r="G171"/>
      <c r="I171"/>
      <c r="K171" s="2">
        <f t="shared" si="19"/>
        <v>166</v>
      </c>
      <c r="O171" s="2">
        <f t="shared" ca="1" si="20"/>
        <v>0</v>
      </c>
      <c r="P171" s="2">
        <f t="shared" ca="1" si="20"/>
        <v>0</v>
      </c>
    </row>
    <row r="172" spans="1:16" outlineLevel="1">
      <c r="A172" s="2" t="str">
        <f t="shared" si="16"/>
        <v/>
      </c>
      <c r="B172" t="str">
        <f t="shared" si="17"/>
        <v/>
      </c>
      <c r="C172" t="str">
        <f t="shared" si="18"/>
        <v>19 Nov Sam</v>
      </c>
      <c r="D172" s="330" t="s">
        <v>628</v>
      </c>
      <c r="E172"/>
      <c r="F172"/>
      <c r="G172"/>
      <c r="I172"/>
      <c r="K172" s="2">
        <f t="shared" si="19"/>
        <v>167</v>
      </c>
      <c r="O172" s="2">
        <f t="shared" ca="1" si="20"/>
        <v>0</v>
      </c>
      <c r="P172" s="2">
        <f t="shared" ca="1" si="20"/>
        <v>0</v>
      </c>
    </row>
    <row r="173" spans="1:16" outlineLevel="1">
      <c r="A173" s="2" t="str">
        <f t="shared" si="16"/>
        <v/>
      </c>
      <c r="B173" t="str">
        <f t="shared" si="17"/>
        <v/>
      </c>
      <c r="C173" t="str">
        <f t="shared" si="18"/>
        <v>19 Nov Sam</v>
      </c>
      <c r="D173" s="330" t="s">
        <v>628</v>
      </c>
      <c r="E173"/>
      <c r="F173"/>
      <c r="G173"/>
      <c r="I173"/>
      <c r="K173" s="2">
        <f t="shared" si="19"/>
        <v>168</v>
      </c>
      <c r="O173" s="2">
        <f t="shared" ca="1" si="20"/>
        <v>0</v>
      </c>
      <c r="P173" s="2">
        <f t="shared" ca="1" si="20"/>
        <v>0</v>
      </c>
    </row>
    <row r="174" spans="1:16" outlineLevel="1">
      <c r="A174" s="2" t="str">
        <f t="shared" si="16"/>
        <v/>
      </c>
      <c r="B174" t="str">
        <f t="shared" si="17"/>
        <v/>
      </c>
      <c r="C174" t="str">
        <f t="shared" si="18"/>
        <v>19 Nov Sam</v>
      </c>
      <c r="D174" s="330" t="s">
        <v>628</v>
      </c>
      <c r="E174"/>
      <c r="F174"/>
      <c r="G174"/>
      <c r="I174"/>
      <c r="K174" s="2">
        <f t="shared" si="19"/>
        <v>169</v>
      </c>
      <c r="O174" s="2">
        <f t="shared" ca="1" si="20"/>
        <v>0</v>
      </c>
      <c r="P174" s="2">
        <f t="shared" ca="1" si="20"/>
        <v>0</v>
      </c>
    </row>
    <row r="175" spans="1:16" outlineLevel="1">
      <c r="A175" s="2" t="str">
        <f t="shared" si="16"/>
        <v/>
      </c>
      <c r="B175" t="str">
        <f t="shared" si="17"/>
        <v/>
      </c>
      <c r="C175" t="str">
        <f t="shared" si="18"/>
        <v>19 Nov Sam</v>
      </c>
      <c r="D175" s="330" t="s">
        <v>628</v>
      </c>
      <c r="E175"/>
      <c r="F175"/>
      <c r="G175"/>
      <c r="I175"/>
      <c r="K175" s="2">
        <f t="shared" si="19"/>
        <v>170</v>
      </c>
      <c r="O175" s="2">
        <f t="shared" ca="1" si="20"/>
        <v>0</v>
      </c>
      <c r="P175" s="2">
        <f t="shared" ca="1" si="20"/>
        <v>0</v>
      </c>
    </row>
    <row r="176" spans="1:16" outlineLevel="1">
      <c r="A176" s="2" t="str">
        <f t="shared" si="16"/>
        <v/>
      </c>
      <c r="B176" t="str">
        <f t="shared" si="17"/>
        <v/>
      </c>
      <c r="C176" t="str">
        <f t="shared" si="18"/>
        <v>19 Nov Sam</v>
      </c>
      <c r="D176" s="330" t="s">
        <v>628</v>
      </c>
      <c r="E176"/>
      <c r="F176"/>
      <c r="G176"/>
      <c r="I176"/>
      <c r="K176" s="2">
        <f t="shared" si="19"/>
        <v>171</v>
      </c>
      <c r="O176" s="2">
        <f t="shared" ca="1" si="20"/>
        <v>0</v>
      </c>
      <c r="P176" s="2">
        <f t="shared" ca="1" si="20"/>
        <v>0</v>
      </c>
    </row>
    <row r="177" spans="1:16" outlineLevel="1">
      <c r="A177" s="2" t="str">
        <f t="shared" si="16"/>
        <v/>
      </c>
      <c r="B177" t="str">
        <f t="shared" si="17"/>
        <v/>
      </c>
      <c r="C177" t="str">
        <f t="shared" si="18"/>
        <v>19 Nov Sam</v>
      </c>
      <c r="D177" s="330" t="s">
        <v>628</v>
      </c>
      <c r="E177"/>
      <c r="F177"/>
      <c r="G177"/>
      <c r="I177"/>
      <c r="K177" s="2">
        <f t="shared" si="19"/>
        <v>172</v>
      </c>
      <c r="O177" s="2">
        <f t="shared" ca="1" si="20"/>
        <v>0</v>
      </c>
      <c r="P177" s="2">
        <f t="shared" ca="1" si="20"/>
        <v>0</v>
      </c>
    </row>
    <row r="178" spans="1:16" outlineLevel="1">
      <c r="A178" s="2" t="str">
        <f t="shared" si="16"/>
        <v/>
      </c>
      <c r="B178" t="str">
        <f t="shared" si="17"/>
        <v/>
      </c>
      <c r="C178" t="str">
        <f t="shared" si="18"/>
        <v>19 Nov Sam</v>
      </c>
      <c r="D178" s="330" t="s">
        <v>628</v>
      </c>
      <c r="E178"/>
      <c r="F178"/>
      <c r="G178"/>
      <c r="I178"/>
      <c r="K178" s="2">
        <f t="shared" si="19"/>
        <v>173</v>
      </c>
      <c r="O178" s="2">
        <f t="shared" ca="1" si="20"/>
        <v>0</v>
      </c>
      <c r="P178" s="2">
        <f t="shared" ca="1" si="20"/>
        <v>0</v>
      </c>
    </row>
    <row r="179" spans="1:16" outlineLevel="1">
      <c r="A179" s="2" t="str">
        <f t="shared" si="16"/>
        <v/>
      </c>
      <c r="B179" t="str">
        <f t="shared" si="17"/>
        <v/>
      </c>
      <c r="C179" t="str">
        <f t="shared" si="18"/>
        <v>19 Nov Sam</v>
      </c>
      <c r="D179" s="330" t="s">
        <v>628</v>
      </c>
      <c r="E179"/>
      <c r="F179"/>
      <c r="G179"/>
      <c r="I179"/>
      <c r="K179" s="2">
        <f t="shared" si="19"/>
        <v>174</v>
      </c>
      <c r="O179" s="2">
        <f t="shared" ca="1" si="20"/>
        <v>0</v>
      </c>
      <c r="P179" s="2">
        <f t="shared" ca="1" si="20"/>
        <v>0</v>
      </c>
    </row>
    <row r="180" spans="1:16" outlineLevel="1">
      <c r="A180" s="2" t="str">
        <f t="shared" si="16"/>
        <v/>
      </c>
      <c r="B180" t="str">
        <f t="shared" si="17"/>
        <v/>
      </c>
      <c r="C180" t="str">
        <f t="shared" si="18"/>
        <v>19 Nov Sam</v>
      </c>
      <c r="D180" s="330" t="s">
        <v>628</v>
      </c>
      <c r="E180"/>
      <c r="F180"/>
      <c r="G180"/>
      <c r="I180"/>
      <c r="K180" s="2">
        <f t="shared" si="19"/>
        <v>175</v>
      </c>
      <c r="O180" s="2">
        <f t="shared" ca="1" si="20"/>
        <v>0</v>
      </c>
      <c r="P180" s="2">
        <f t="shared" ca="1" si="20"/>
        <v>0</v>
      </c>
    </row>
    <row r="181" spans="1:16" outlineLevel="1">
      <c r="A181" s="2" t="str">
        <f t="shared" si="16"/>
        <v/>
      </c>
      <c r="B181" t="str">
        <f t="shared" si="17"/>
        <v/>
      </c>
      <c r="C181" t="str">
        <f t="shared" si="18"/>
        <v>19 Nov Sam</v>
      </c>
      <c r="D181" s="330" t="s">
        <v>628</v>
      </c>
      <c r="E181"/>
      <c r="F181"/>
      <c r="G181"/>
      <c r="I181"/>
      <c r="K181" s="2">
        <f t="shared" si="19"/>
        <v>176</v>
      </c>
      <c r="O181" s="2">
        <f t="shared" ca="1" si="20"/>
        <v>0</v>
      </c>
      <c r="P181" s="2">
        <f t="shared" ca="1" si="20"/>
        <v>0</v>
      </c>
    </row>
    <row r="182" spans="1:16" outlineLevel="1">
      <c r="A182" s="2" t="str">
        <f t="shared" si="16"/>
        <v/>
      </c>
      <c r="B182" t="str">
        <f t="shared" si="17"/>
        <v/>
      </c>
      <c r="C182" t="str">
        <f t="shared" si="18"/>
        <v>19 Nov Sam</v>
      </c>
      <c r="D182" s="330" t="s">
        <v>628</v>
      </c>
      <c r="E182"/>
      <c r="F182"/>
      <c r="G182"/>
      <c r="I182"/>
      <c r="K182" s="2">
        <f t="shared" si="19"/>
        <v>177</v>
      </c>
      <c r="O182" s="2">
        <f t="shared" ca="1" si="20"/>
        <v>0</v>
      </c>
      <c r="P182" s="2">
        <f t="shared" ca="1" si="20"/>
        <v>0</v>
      </c>
    </row>
    <row r="183" spans="1:16" outlineLevel="1">
      <c r="A183" s="2" t="str">
        <f t="shared" si="16"/>
        <v/>
      </c>
      <c r="B183" t="str">
        <f t="shared" si="17"/>
        <v/>
      </c>
      <c r="C183" t="str">
        <f t="shared" si="18"/>
        <v>19 Nov Sam</v>
      </c>
      <c r="D183" s="330" t="s">
        <v>628</v>
      </c>
      <c r="E183"/>
      <c r="F183"/>
      <c r="G183"/>
      <c r="I183"/>
      <c r="K183" s="2">
        <f t="shared" si="19"/>
        <v>178</v>
      </c>
      <c r="O183" s="2">
        <f t="shared" ca="1" si="20"/>
        <v>0</v>
      </c>
      <c r="P183" s="2">
        <f t="shared" ca="1" si="20"/>
        <v>0</v>
      </c>
    </row>
    <row r="184" spans="1:16" outlineLevel="1">
      <c r="A184" s="2" t="str">
        <f t="shared" si="16"/>
        <v/>
      </c>
      <c r="B184" t="str">
        <f t="shared" si="17"/>
        <v/>
      </c>
      <c r="C184" t="str">
        <f t="shared" si="18"/>
        <v>19 Nov Sam</v>
      </c>
      <c r="D184" s="330" t="s">
        <v>628</v>
      </c>
      <c r="E184"/>
      <c r="F184"/>
      <c r="G184"/>
      <c r="I184"/>
      <c r="K184" s="2">
        <f t="shared" si="19"/>
        <v>179</v>
      </c>
      <c r="O184" s="2">
        <f t="shared" ca="1" si="20"/>
        <v>0</v>
      </c>
      <c r="P184" s="2">
        <f t="shared" ca="1" si="20"/>
        <v>0</v>
      </c>
    </row>
    <row r="185" spans="1:16" outlineLevel="1">
      <c r="A185" s="2" t="str">
        <f t="shared" si="16"/>
        <v/>
      </c>
      <c r="B185" t="str">
        <f t="shared" si="17"/>
        <v/>
      </c>
      <c r="C185" t="str">
        <f t="shared" si="18"/>
        <v>19 Nov Sam</v>
      </c>
      <c r="D185" s="330" t="s">
        <v>628</v>
      </c>
      <c r="E185"/>
      <c r="F185"/>
      <c r="G185"/>
      <c r="I185"/>
      <c r="K185" s="2">
        <f t="shared" si="19"/>
        <v>180</v>
      </c>
      <c r="O185" s="2">
        <f t="shared" ca="1" si="20"/>
        <v>0</v>
      </c>
      <c r="P185" s="2">
        <f t="shared" ca="1" si="20"/>
        <v>0</v>
      </c>
    </row>
    <row r="186" spans="1:16" outlineLevel="1">
      <c r="A186" s="2" t="str">
        <f t="shared" si="16"/>
        <v/>
      </c>
      <c r="B186" t="str">
        <f t="shared" si="17"/>
        <v/>
      </c>
      <c r="C186" t="e">
        <f>IF(B186="*",RIGHT(E186,10),#REF!)</f>
        <v>#REF!</v>
      </c>
      <c r="D186" s="330" t="s">
        <v>628</v>
      </c>
      <c r="E186"/>
      <c r="F186"/>
      <c r="G186"/>
      <c r="I186"/>
      <c r="K186" s="2">
        <f t="shared" si="19"/>
        <v>181</v>
      </c>
      <c r="O186" s="2">
        <f t="shared" ca="1" si="20"/>
        <v>0</v>
      </c>
      <c r="P186" s="2">
        <f t="shared" ca="1" si="20"/>
        <v>0</v>
      </c>
    </row>
    <row r="187" spans="1:16" outlineLevel="1">
      <c r="A187" s="2" t="str">
        <f t="shared" si="16"/>
        <v/>
      </c>
      <c r="B187" t="str">
        <f t="shared" si="17"/>
        <v/>
      </c>
      <c r="C187" t="e">
        <f t="shared" si="18"/>
        <v>#REF!</v>
      </c>
      <c r="D187" s="330" t="s">
        <v>628</v>
      </c>
      <c r="E187"/>
      <c r="F187"/>
      <c r="G187"/>
      <c r="I187"/>
      <c r="K187" s="2">
        <f t="shared" si="19"/>
        <v>182</v>
      </c>
      <c r="O187" s="2">
        <f t="shared" ca="1" si="20"/>
        <v>0</v>
      </c>
      <c r="P187" s="2">
        <f t="shared" ca="1" si="20"/>
        <v>0</v>
      </c>
    </row>
    <row r="188" spans="1:16" outlineLevel="1">
      <c r="A188" s="2" t="str">
        <f t="shared" si="16"/>
        <v/>
      </c>
      <c r="B188" t="str">
        <f t="shared" si="17"/>
        <v/>
      </c>
      <c r="C188" t="e">
        <f t="shared" si="18"/>
        <v>#REF!</v>
      </c>
      <c r="D188" s="330" t="s">
        <v>628</v>
      </c>
      <c r="E188"/>
      <c r="F188"/>
      <c r="G188"/>
      <c r="I188"/>
      <c r="K188" s="2">
        <f t="shared" si="19"/>
        <v>183</v>
      </c>
      <c r="O188" s="2">
        <f t="shared" ca="1" si="20"/>
        <v>0</v>
      </c>
      <c r="P188" s="2">
        <f t="shared" ca="1" si="20"/>
        <v>0</v>
      </c>
    </row>
    <row r="189" spans="1:16" outlineLevel="1">
      <c r="A189" s="2" t="str">
        <f t="shared" si="16"/>
        <v/>
      </c>
      <c r="B189" t="str">
        <f t="shared" si="17"/>
        <v/>
      </c>
      <c r="C189" t="e">
        <f>IF(B189="*",RIGHT(E189,10),#REF!)</f>
        <v>#REF!</v>
      </c>
      <c r="D189" s="330" t="s">
        <v>628</v>
      </c>
      <c r="E189"/>
      <c r="F189"/>
      <c r="G189"/>
      <c r="I189"/>
      <c r="K189" s="2">
        <f t="shared" si="19"/>
        <v>184</v>
      </c>
      <c r="O189" s="2">
        <f t="shared" ca="1" si="20"/>
        <v>0</v>
      </c>
      <c r="P189" s="2">
        <f t="shared" ca="1" si="20"/>
        <v>0</v>
      </c>
    </row>
    <row r="190" spans="1:16" outlineLevel="1">
      <c r="A190" s="2" t="str">
        <f t="shared" si="16"/>
        <v/>
      </c>
      <c r="B190" t="str">
        <f t="shared" si="17"/>
        <v/>
      </c>
      <c r="C190" t="e">
        <f t="shared" si="18"/>
        <v>#REF!</v>
      </c>
      <c r="D190" s="330" t="s">
        <v>628</v>
      </c>
      <c r="E190"/>
      <c r="F190"/>
      <c r="G190"/>
      <c r="I190"/>
      <c r="K190" s="2">
        <f t="shared" si="19"/>
        <v>185</v>
      </c>
      <c r="O190" s="2">
        <f t="shared" ca="1" si="20"/>
        <v>0</v>
      </c>
      <c r="P190" s="2">
        <f t="shared" ca="1" si="20"/>
        <v>0</v>
      </c>
    </row>
    <row r="191" spans="1:16" outlineLevel="1">
      <c r="A191" s="2" t="str">
        <f t="shared" ref="A191:A230" si="21">IF(B191="*",ROW(),"")</f>
        <v/>
      </c>
      <c r="B191" t="str">
        <f t="shared" ref="B191:B230" si="22">LEFT(E191,1)</f>
        <v/>
      </c>
      <c r="C191" t="e">
        <f t="shared" ref="C191:C229" si="23">IF(B191="*",RIGHT(E191,10),C190)</f>
        <v>#REF!</v>
      </c>
      <c r="D191" s="330" t="s">
        <v>628</v>
      </c>
      <c r="E191"/>
      <c r="F191"/>
      <c r="G191"/>
      <c r="I191"/>
      <c r="K191" s="2">
        <f t="shared" si="19"/>
        <v>186</v>
      </c>
      <c r="O191" s="2">
        <f t="shared" ca="1" si="20"/>
        <v>0</v>
      </c>
      <c r="P191" s="2">
        <f t="shared" ca="1" si="20"/>
        <v>0</v>
      </c>
    </row>
    <row r="192" spans="1:16" outlineLevel="1">
      <c r="A192" s="2" t="str">
        <f t="shared" si="21"/>
        <v/>
      </c>
      <c r="B192" t="str">
        <f t="shared" si="22"/>
        <v/>
      </c>
      <c r="C192" t="e">
        <f t="shared" si="23"/>
        <v>#REF!</v>
      </c>
      <c r="D192" s="330" t="s">
        <v>628</v>
      </c>
      <c r="E192"/>
      <c r="F192"/>
      <c r="G192"/>
      <c r="I192"/>
      <c r="K192" s="2">
        <f t="shared" si="19"/>
        <v>187</v>
      </c>
      <c r="O192" s="2">
        <f t="shared" ca="1" si="20"/>
        <v>0</v>
      </c>
      <c r="P192" s="2">
        <f t="shared" ca="1" si="20"/>
        <v>0</v>
      </c>
    </row>
    <row r="193" spans="1:16" outlineLevel="1">
      <c r="A193" s="2" t="str">
        <f t="shared" si="21"/>
        <v/>
      </c>
      <c r="B193" t="str">
        <f t="shared" si="22"/>
        <v/>
      </c>
      <c r="C193" t="e">
        <f t="shared" si="23"/>
        <v>#REF!</v>
      </c>
      <c r="D193" s="330" t="s">
        <v>628</v>
      </c>
      <c r="E193"/>
      <c r="F193"/>
      <c r="G193"/>
      <c r="I193"/>
      <c r="K193" s="2">
        <f t="shared" si="19"/>
        <v>188</v>
      </c>
      <c r="O193" s="2">
        <f t="shared" ca="1" si="20"/>
        <v>0</v>
      </c>
      <c r="P193" s="2">
        <f t="shared" ca="1" si="20"/>
        <v>0</v>
      </c>
    </row>
    <row r="194" spans="1:16" outlineLevel="1">
      <c r="A194" s="2" t="str">
        <f t="shared" si="21"/>
        <v/>
      </c>
      <c r="B194" t="str">
        <f t="shared" si="22"/>
        <v/>
      </c>
      <c r="C194" t="e">
        <f t="shared" si="23"/>
        <v>#REF!</v>
      </c>
      <c r="D194" s="330" t="s">
        <v>628</v>
      </c>
      <c r="E194"/>
      <c r="F194"/>
      <c r="G194"/>
      <c r="I194"/>
      <c r="K194" s="2">
        <f t="shared" si="19"/>
        <v>189</v>
      </c>
      <c r="O194" s="2">
        <f t="shared" ca="1" si="20"/>
        <v>0</v>
      </c>
      <c r="P194" s="2">
        <f t="shared" ca="1" si="20"/>
        <v>0</v>
      </c>
    </row>
    <row r="195" spans="1:16" outlineLevel="1">
      <c r="A195" s="2" t="str">
        <f t="shared" si="21"/>
        <v/>
      </c>
      <c r="B195" t="str">
        <f t="shared" si="22"/>
        <v/>
      </c>
      <c r="C195" t="e">
        <f t="shared" si="23"/>
        <v>#REF!</v>
      </c>
      <c r="D195" s="330" t="s">
        <v>628</v>
      </c>
      <c r="E195"/>
      <c r="F195"/>
      <c r="G195"/>
      <c r="I195"/>
      <c r="K195" s="2">
        <f t="shared" si="19"/>
        <v>190</v>
      </c>
      <c r="O195" s="2">
        <f t="shared" ca="1" si="20"/>
        <v>0</v>
      </c>
      <c r="P195" s="2">
        <f t="shared" ca="1" si="20"/>
        <v>0</v>
      </c>
    </row>
    <row r="196" spans="1:16" outlineLevel="1">
      <c r="A196" s="2" t="str">
        <f t="shared" si="21"/>
        <v/>
      </c>
      <c r="B196" t="str">
        <f t="shared" si="22"/>
        <v/>
      </c>
      <c r="C196" t="e">
        <f t="shared" si="23"/>
        <v>#REF!</v>
      </c>
      <c r="D196" s="330" t="s">
        <v>628</v>
      </c>
      <c r="E196"/>
      <c r="F196"/>
      <c r="G196"/>
      <c r="I196"/>
      <c r="K196" s="2">
        <f t="shared" si="19"/>
        <v>191</v>
      </c>
      <c r="O196" s="2">
        <f t="shared" ca="1" si="20"/>
        <v>0</v>
      </c>
      <c r="P196" s="2">
        <f t="shared" ca="1" si="20"/>
        <v>0</v>
      </c>
    </row>
    <row r="197" spans="1:16" outlineLevel="1">
      <c r="A197" s="2" t="str">
        <f t="shared" si="21"/>
        <v/>
      </c>
      <c r="B197" t="str">
        <f t="shared" si="22"/>
        <v/>
      </c>
      <c r="C197" t="e">
        <f t="shared" si="23"/>
        <v>#REF!</v>
      </c>
      <c r="D197" s="330" t="s">
        <v>628</v>
      </c>
      <c r="E197"/>
      <c r="F197"/>
      <c r="G197"/>
      <c r="I197"/>
      <c r="K197" s="2">
        <f t="shared" si="19"/>
        <v>192</v>
      </c>
      <c r="O197" s="2">
        <f t="shared" ca="1" si="20"/>
        <v>0</v>
      </c>
      <c r="P197" s="2">
        <f t="shared" ca="1" si="20"/>
        <v>0</v>
      </c>
    </row>
    <row r="198" spans="1:16" outlineLevel="1">
      <c r="A198" s="2" t="str">
        <f t="shared" si="21"/>
        <v/>
      </c>
      <c r="B198" t="str">
        <f t="shared" si="22"/>
        <v/>
      </c>
      <c r="C198" t="e">
        <f t="shared" si="23"/>
        <v>#REF!</v>
      </c>
      <c r="D198" s="330" t="s">
        <v>628</v>
      </c>
      <c r="E198"/>
      <c r="F198"/>
      <c r="G198"/>
      <c r="I198"/>
      <c r="K198" s="2">
        <f t="shared" si="19"/>
        <v>193</v>
      </c>
      <c r="O198" s="2">
        <f t="shared" ca="1" si="20"/>
        <v>0</v>
      </c>
      <c r="P198" s="2">
        <f t="shared" ca="1" si="20"/>
        <v>0</v>
      </c>
    </row>
    <row r="199" spans="1:16" outlineLevel="1">
      <c r="A199" s="2" t="str">
        <f t="shared" si="21"/>
        <v/>
      </c>
      <c r="B199" t="str">
        <f t="shared" si="22"/>
        <v/>
      </c>
      <c r="C199" t="e">
        <f t="shared" si="23"/>
        <v>#REF!</v>
      </c>
      <c r="D199" s="330" t="s">
        <v>628</v>
      </c>
      <c r="E199"/>
      <c r="F199"/>
      <c r="G199"/>
      <c r="I199"/>
      <c r="K199" s="2">
        <f t="shared" si="19"/>
        <v>194</v>
      </c>
      <c r="O199" s="2">
        <f t="shared" ca="1" si="20"/>
        <v>0</v>
      </c>
      <c r="P199" s="2">
        <f t="shared" ca="1" si="20"/>
        <v>0</v>
      </c>
    </row>
    <row r="200" spans="1:16" outlineLevel="1">
      <c r="A200" s="2" t="str">
        <f t="shared" si="21"/>
        <v/>
      </c>
      <c r="B200" t="str">
        <f t="shared" si="22"/>
        <v/>
      </c>
      <c r="C200" t="e">
        <f>IF(B200="*",RIGHT(E200,10),#REF!)</f>
        <v>#REF!</v>
      </c>
      <c r="D200" s="330" t="s">
        <v>628</v>
      </c>
      <c r="E200"/>
      <c r="F200"/>
      <c r="G200"/>
      <c r="I200"/>
      <c r="K200" s="2">
        <f t="shared" ref="K200:K263" si="24">K199+1</f>
        <v>195</v>
      </c>
      <c r="O200" s="2">
        <f t="shared" ca="1" si="20"/>
        <v>0</v>
      </c>
      <c r="P200" s="2">
        <f t="shared" ca="1" si="20"/>
        <v>0</v>
      </c>
    </row>
    <row r="201" spans="1:16" outlineLevel="1">
      <c r="A201" s="2" t="str">
        <f t="shared" si="21"/>
        <v/>
      </c>
      <c r="B201" t="str">
        <f t="shared" si="22"/>
        <v/>
      </c>
      <c r="C201" t="e">
        <f t="shared" si="23"/>
        <v>#REF!</v>
      </c>
      <c r="D201" s="330" t="s">
        <v>628</v>
      </c>
      <c r="E201"/>
      <c r="F201"/>
      <c r="G201"/>
      <c r="I201"/>
      <c r="K201" s="2">
        <f t="shared" si="24"/>
        <v>196</v>
      </c>
      <c r="O201" s="2">
        <f t="shared" ca="1" si="20"/>
        <v>0</v>
      </c>
      <c r="P201" s="2">
        <f t="shared" ca="1" si="20"/>
        <v>0</v>
      </c>
    </row>
    <row r="202" spans="1:16" outlineLevel="1">
      <c r="A202" s="2" t="str">
        <f t="shared" si="21"/>
        <v/>
      </c>
      <c r="B202" t="str">
        <f t="shared" si="22"/>
        <v/>
      </c>
      <c r="C202" t="e">
        <f t="shared" si="23"/>
        <v>#REF!</v>
      </c>
      <c r="D202" s="330" t="s">
        <v>628</v>
      </c>
      <c r="E202"/>
      <c r="F202"/>
      <c r="G202"/>
      <c r="I202"/>
      <c r="K202" s="2">
        <f t="shared" si="24"/>
        <v>197</v>
      </c>
      <c r="O202" s="2">
        <f t="shared" ca="1" si="20"/>
        <v>0</v>
      </c>
      <c r="P202" s="2">
        <f t="shared" ca="1" si="20"/>
        <v>0</v>
      </c>
    </row>
    <row r="203" spans="1:16" outlineLevel="1">
      <c r="A203" s="2" t="str">
        <f t="shared" si="21"/>
        <v/>
      </c>
      <c r="B203" t="str">
        <f t="shared" si="22"/>
        <v/>
      </c>
      <c r="C203" t="e">
        <f t="shared" si="23"/>
        <v>#REF!</v>
      </c>
      <c r="D203" s="330" t="s">
        <v>628</v>
      </c>
      <c r="E203"/>
      <c r="F203"/>
      <c r="G203"/>
      <c r="I203"/>
      <c r="K203" s="2">
        <f t="shared" si="24"/>
        <v>198</v>
      </c>
      <c r="O203" s="2">
        <f t="shared" ca="1" si="20"/>
        <v>0</v>
      </c>
      <c r="P203" s="2">
        <f t="shared" ca="1" si="20"/>
        <v>0</v>
      </c>
    </row>
    <row r="204" spans="1:16" outlineLevel="1">
      <c r="A204" s="2" t="str">
        <f t="shared" si="21"/>
        <v/>
      </c>
      <c r="B204" t="str">
        <f t="shared" si="22"/>
        <v/>
      </c>
      <c r="C204" t="e">
        <f t="shared" si="23"/>
        <v>#REF!</v>
      </c>
      <c r="D204" s="330" t="s">
        <v>628</v>
      </c>
      <c r="E204"/>
      <c r="F204"/>
      <c r="G204"/>
      <c r="I204"/>
      <c r="K204" s="2">
        <f t="shared" si="24"/>
        <v>199</v>
      </c>
      <c r="O204" s="2">
        <f t="shared" ca="1" si="20"/>
        <v>0</v>
      </c>
      <c r="P204" s="2">
        <f t="shared" ca="1" si="20"/>
        <v>0</v>
      </c>
    </row>
    <row r="205" spans="1:16" outlineLevel="1">
      <c r="A205" s="2" t="str">
        <f t="shared" si="21"/>
        <v/>
      </c>
      <c r="B205" t="str">
        <f t="shared" si="22"/>
        <v/>
      </c>
      <c r="C205" t="e">
        <f t="shared" si="23"/>
        <v>#REF!</v>
      </c>
      <c r="D205" s="330" t="s">
        <v>628</v>
      </c>
      <c r="E205"/>
      <c r="F205"/>
      <c r="G205"/>
      <c r="I205"/>
      <c r="K205" s="2">
        <f t="shared" si="24"/>
        <v>200</v>
      </c>
      <c r="O205" s="2">
        <f t="shared" ca="1" si="20"/>
        <v>0</v>
      </c>
      <c r="P205" s="2">
        <f t="shared" ca="1" si="20"/>
        <v>0</v>
      </c>
    </row>
    <row r="206" spans="1:16" outlineLevel="1">
      <c r="A206" s="2" t="str">
        <f t="shared" si="21"/>
        <v/>
      </c>
      <c r="B206" t="str">
        <f t="shared" si="22"/>
        <v/>
      </c>
      <c r="C206" t="e">
        <f t="shared" si="23"/>
        <v>#REF!</v>
      </c>
      <c r="D206" s="330" t="s">
        <v>628</v>
      </c>
      <c r="E206"/>
      <c r="F206"/>
      <c r="G206"/>
      <c r="I206"/>
      <c r="K206" s="2">
        <f t="shared" si="24"/>
        <v>201</v>
      </c>
      <c r="O206" s="2">
        <f t="shared" ca="1" si="20"/>
        <v>0</v>
      </c>
      <c r="P206" s="2">
        <f t="shared" ca="1" si="20"/>
        <v>0</v>
      </c>
    </row>
    <row r="207" spans="1:16" outlineLevel="1">
      <c r="A207" s="2" t="str">
        <f t="shared" si="21"/>
        <v/>
      </c>
      <c r="B207" t="str">
        <f t="shared" si="22"/>
        <v/>
      </c>
      <c r="C207" t="e">
        <f t="shared" si="23"/>
        <v>#REF!</v>
      </c>
      <c r="D207" s="330" t="s">
        <v>628</v>
      </c>
      <c r="E207"/>
      <c r="F207"/>
      <c r="G207"/>
      <c r="I207"/>
      <c r="K207" s="2">
        <f t="shared" si="24"/>
        <v>202</v>
      </c>
      <c r="O207" s="2">
        <f t="shared" ca="1" si="20"/>
        <v>0</v>
      </c>
      <c r="P207" s="2">
        <f t="shared" ca="1" si="20"/>
        <v>0</v>
      </c>
    </row>
    <row r="208" spans="1:16" outlineLevel="1">
      <c r="A208" s="2" t="str">
        <f t="shared" si="21"/>
        <v/>
      </c>
      <c r="B208" t="str">
        <f t="shared" si="22"/>
        <v/>
      </c>
      <c r="C208" t="e">
        <f t="shared" si="23"/>
        <v>#REF!</v>
      </c>
      <c r="D208" s="330" t="s">
        <v>628</v>
      </c>
      <c r="E208"/>
      <c r="F208"/>
      <c r="G208"/>
      <c r="I208"/>
      <c r="K208" s="2">
        <f t="shared" si="24"/>
        <v>203</v>
      </c>
      <c r="O208" s="2">
        <f t="shared" ca="1" si="20"/>
        <v>0</v>
      </c>
      <c r="P208" s="2">
        <f t="shared" ca="1" si="20"/>
        <v>0</v>
      </c>
    </row>
    <row r="209" spans="1:16" outlineLevel="1">
      <c r="A209" s="2" t="str">
        <f t="shared" si="21"/>
        <v/>
      </c>
      <c r="B209" t="str">
        <f t="shared" si="22"/>
        <v/>
      </c>
      <c r="C209" t="e">
        <f t="shared" si="23"/>
        <v>#REF!</v>
      </c>
      <c r="D209" s="330" t="s">
        <v>628</v>
      </c>
      <c r="E209"/>
      <c r="F209"/>
      <c r="G209"/>
      <c r="I209"/>
      <c r="K209" s="2">
        <f t="shared" si="24"/>
        <v>204</v>
      </c>
      <c r="O209" s="2">
        <f t="shared" ca="1" si="20"/>
        <v>0</v>
      </c>
      <c r="P209" s="2">
        <f t="shared" ca="1" si="20"/>
        <v>0</v>
      </c>
    </row>
    <row r="210" spans="1:16" outlineLevel="1">
      <c r="A210" s="2" t="str">
        <f t="shared" si="21"/>
        <v/>
      </c>
      <c r="B210" t="str">
        <f t="shared" si="22"/>
        <v/>
      </c>
      <c r="C210" t="e">
        <f t="shared" si="23"/>
        <v>#REF!</v>
      </c>
      <c r="D210" s="330" t="s">
        <v>628</v>
      </c>
      <c r="E210"/>
      <c r="F210"/>
      <c r="G210"/>
      <c r="I210"/>
      <c r="K210" s="2">
        <f t="shared" si="24"/>
        <v>205</v>
      </c>
      <c r="O210" s="2">
        <f t="shared" ca="1" si="20"/>
        <v>0</v>
      </c>
      <c r="P210" s="2">
        <f t="shared" ca="1" si="20"/>
        <v>0</v>
      </c>
    </row>
    <row r="211" spans="1:16" outlineLevel="1">
      <c r="A211" s="2" t="str">
        <f t="shared" si="21"/>
        <v/>
      </c>
      <c r="B211" t="str">
        <f t="shared" si="22"/>
        <v/>
      </c>
      <c r="C211" t="e">
        <f t="shared" si="23"/>
        <v>#REF!</v>
      </c>
      <c r="D211" s="330" t="s">
        <v>628</v>
      </c>
      <c r="E211"/>
      <c r="F211"/>
      <c r="G211"/>
      <c r="I211"/>
      <c r="K211" s="2">
        <f t="shared" si="24"/>
        <v>206</v>
      </c>
      <c r="O211" s="2">
        <f t="shared" ca="1" si="20"/>
        <v>0</v>
      </c>
      <c r="P211" s="2">
        <f t="shared" ca="1" si="20"/>
        <v>0</v>
      </c>
    </row>
    <row r="212" spans="1:16" outlineLevel="1">
      <c r="A212" s="2" t="str">
        <f t="shared" si="21"/>
        <v/>
      </c>
      <c r="B212" t="str">
        <f t="shared" si="22"/>
        <v/>
      </c>
      <c r="C212" t="e">
        <f t="shared" si="23"/>
        <v>#REF!</v>
      </c>
      <c r="D212" s="330" t="s">
        <v>628</v>
      </c>
      <c r="E212"/>
      <c r="F212"/>
      <c r="G212"/>
      <c r="I212"/>
      <c r="K212" s="2">
        <f t="shared" si="24"/>
        <v>207</v>
      </c>
      <c r="O212" s="2">
        <f t="shared" ca="1" si="20"/>
        <v>0</v>
      </c>
      <c r="P212" s="2">
        <f t="shared" ca="1" si="20"/>
        <v>0</v>
      </c>
    </row>
    <row r="213" spans="1:16" outlineLevel="1">
      <c r="A213" s="2" t="str">
        <f t="shared" si="21"/>
        <v/>
      </c>
      <c r="B213" t="str">
        <f t="shared" si="22"/>
        <v/>
      </c>
      <c r="C213" t="e">
        <f t="shared" si="23"/>
        <v>#REF!</v>
      </c>
      <c r="D213" s="330" t="s">
        <v>628</v>
      </c>
      <c r="E213"/>
      <c r="F213"/>
      <c r="G213"/>
      <c r="I213"/>
      <c r="K213" s="2">
        <f t="shared" si="24"/>
        <v>208</v>
      </c>
      <c r="O213" s="2">
        <f t="shared" ca="1" si="20"/>
        <v>0</v>
      </c>
      <c r="P213" s="2">
        <f t="shared" ca="1" si="20"/>
        <v>0</v>
      </c>
    </row>
    <row r="214" spans="1:16" outlineLevel="1">
      <c r="A214" s="2" t="str">
        <f t="shared" si="21"/>
        <v/>
      </c>
      <c r="B214" t="str">
        <f t="shared" si="22"/>
        <v/>
      </c>
      <c r="C214" t="e">
        <f t="shared" si="23"/>
        <v>#REF!</v>
      </c>
      <c r="D214" s="330" t="s">
        <v>628</v>
      </c>
      <c r="E214"/>
      <c r="F214"/>
      <c r="G214"/>
      <c r="I214"/>
      <c r="K214" s="2">
        <f t="shared" si="24"/>
        <v>209</v>
      </c>
      <c r="O214" s="2">
        <f t="shared" ca="1" si="20"/>
        <v>0</v>
      </c>
      <c r="P214" s="2">
        <f t="shared" ca="1" si="20"/>
        <v>0</v>
      </c>
    </row>
    <row r="215" spans="1:16" outlineLevel="1">
      <c r="A215" s="2" t="str">
        <f t="shared" si="21"/>
        <v/>
      </c>
      <c r="B215" t="str">
        <f t="shared" si="22"/>
        <v/>
      </c>
      <c r="C215" t="e">
        <f t="shared" si="23"/>
        <v>#REF!</v>
      </c>
      <c r="D215" s="330" t="s">
        <v>628</v>
      </c>
      <c r="E215"/>
      <c r="F215"/>
      <c r="G215"/>
      <c r="I215"/>
      <c r="K215" s="2">
        <f t="shared" si="24"/>
        <v>210</v>
      </c>
      <c r="O215" s="2">
        <f t="shared" ca="1" si="20"/>
        <v>0</v>
      </c>
      <c r="P215" s="2">
        <f t="shared" ca="1" si="20"/>
        <v>0</v>
      </c>
    </row>
    <row r="216" spans="1:16" outlineLevel="1">
      <c r="A216" s="2" t="str">
        <f t="shared" si="21"/>
        <v/>
      </c>
      <c r="B216" t="str">
        <f t="shared" si="22"/>
        <v/>
      </c>
      <c r="C216" t="e">
        <f t="shared" si="23"/>
        <v>#REF!</v>
      </c>
      <c r="D216" s="330" t="s">
        <v>628</v>
      </c>
      <c r="E216"/>
      <c r="F216"/>
      <c r="G216"/>
      <c r="I216"/>
      <c r="K216" s="2">
        <f t="shared" si="24"/>
        <v>211</v>
      </c>
      <c r="O216" s="2">
        <f t="shared" ca="1" si="20"/>
        <v>0</v>
      </c>
      <c r="P216" s="2">
        <f t="shared" ca="1" si="20"/>
        <v>0</v>
      </c>
    </row>
    <row r="217" spans="1:16" outlineLevel="1">
      <c r="A217" s="2" t="str">
        <f t="shared" si="21"/>
        <v/>
      </c>
      <c r="B217" t="str">
        <f t="shared" si="22"/>
        <v/>
      </c>
      <c r="C217" t="e">
        <f t="shared" si="23"/>
        <v>#REF!</v>
      </c>
      <c r="D217" s="330" t="s">
        <v>628</v>
      </c>
      <c r="E217"/>
      <c r="F217"/>
      <c r="G217"/>
      <c r="I217"/>
      <c r="K217" s="2">
        <f t="shared" si="24"/>
        <v>212</v>
      </c>
      <c r="O217" s="2">
        <f t="shared" ca="1" si="20"/>
        <v>0</v>
      </c>
      <c r="P217" s="2">
        <f t="shared" ca="1" si="20"/>
        <v>0</v>
      </c>
    </row>
    <row r="218" spans="1:16" outlineLevel="1">
      <c r="A218" s="2" t="str">
        <f t="shared" si="21"/>
        <v/>
      </c>
      <c r="B218" t="str">
        <f t="shared" si="22"/>
        <v/>
      </c>
      <c r="C218" t="e">
        <f t="shared" si="23"/>
        <v>#REF!</v>
      </c>
      <c r="D218" s="330" t="s">
        <v>628</v>
      </c>
      <c r="E218"/>
      <c r="F218"/>
      <c r="G218"/>
      <c r="I218"/>
      <c r="K218" s="2">
        <f t="shared" si="24"/>
        <v>213</v>
      </c>
      <c r="O218" s="2">
        <f t="shared" ca="1" si="20"/>
        <v>0</v>
      </c>
      <c r="P218" s="2">
        <f t="shared" ca="1" si="20"/>
        <v>0</v>
      </c>
    </row>
    <row r="219" spans="1:16" outlineLevel="1">
      <c r="A219" s="2" t="str">
        <f t="shared" si="21"/>
        <v/>
      </c>
      <c r="B219" t="str">
        <f t="shared" si="22"/>
        <v/>
      </c>
      <c r="C219" t="e">
        <f>IF(B219="*",RIGHT(E219,10),#REF!)</f>
        <v>#REF!</v>
      </c>
      <c r="D219" s="330" t="s">
        <v>628</v>
      </c>
      <c r="E219"/>
      <c r="F219"/>
      <c r="G219"/>
      <c r="I219"/>
      <c r="K219" s="2">
        <f t="shared" si="24"/>
        <v>214</v>
      </c>
      <c r="O219" s="2">
        <f t="shared" ca="1" si="20"/>
        <v>0</v>
      </c>
      <c r="P219" s="2">
        <f t="shared" ca="1" si="20"/>
        <v>0</v>
      </c>
    </row>
    <row r="220" spans="1:16" outlineLevel="1">
      <c r="A220" s="2" t="str">
        <f t="shared" si="21"/>
        <v/>
      </c>
      <c r="B220" t="str">
        <f t="shared" si="22"/>
        <v/>
      </c>
      <c r="C220" t="e">
        <f t="shared" si="23"/>
        <v>#REF!</v>
      </c>
      <c r="D220" s="330" t="s">
        <v>628</v>
      </c>
      <c r="E220"/>
      <c r="F220"/>
      <c r="G220"/>
      <c r="I220"/>
      <c r="K220" s="2">
        <f t="shared" si="24"/>
        <v>215</v>
      </c>
      <c r="O220" s="2">
        <f t="shared" ca="1" si="20"/>
        <v>0</v>
      </c>
      <c r="P220" s="2">
        <f t="shared" ca="1" si="20"/>
        <v>0</v>
      </c>
    </row>
    <row r="221" spans="1:16" outlineLevel="1">
      <c r="A221" s="2" t="str">
        <f t="shared" si="21"/>
        <v/>
      </c>
      <c r="B221" t="str">
        <f t="shared" si="22"/>
        <v/>
      </c>
      <c r="C221" t="e">
        <f t="shared" si="23"/>
        <v>#REF!</v>
      </c>
      <c r="D221" s="330" t="s">
        <v>628</v>
      </c>
      <c r="E221"/>
      <c r="F221"/>
      <c r="G221"/>
      <c r="I221"/>
      <c r="K221" s="2">
        <f t="shared" si="24"/>
        <v>216</v>
      </c>
      <c r="O221" s="2">
        <f t="shared" ref="O221:P284" ca="1" si="25">INDIRECT("E"&amp;O$4+$K221)</f>
        <v>0</v>
      </c>
      <c r="P221" s="2">
        <f t="shared" ca="1" si="25"/>
        <v>0</v>
      </c>
    </row>
    <row r="222" spans="1:16" outlineLevel="1">
      <c r="A222" s="2" t="str">
        <f t="shared" si="21"/>
        <v/>
      </c>
      <c r="B222" t="str">
        <f t="shared" si="22"/>
        <v/>
      </c>
      <c r="C222" t="e">
        <f t="shared" si="23"/>
        <v>#REF!</v>
      </c>
      <c r="D222" s="330" t="s">
        <v>628</v>
      </c>
      <c r="E222"/>
      <c r="F222"/>
      <c r="G222"/>
      <c r="I222"/>
      <c r="K222" s="2">
        <f t="shared" si="24"/>
        <v>217</v>
      </c>
      <c r="O222" s="2">
        <f t="shared" ca="1" si="25"/>
        <v>0</v>
      </c>
      <c r="P222" s="2">
        <f t="shared" ca="1" si="25"/>
        <v>0</v>
      </c>
    </row>
    <row r="223" spans="1:16" outlineLevel="1">
      <c r="A223" s="2" t="str">
        <f t="shared" si="21"/>
        <v/>
      </c>
      <c r="B223" t="str">
        <f t="shared" si="22"/>
        <v/>
      </c>
      <c r="C223" t="e">
        <f t="shared" si="23"/>
        <v>#REF!</v>
      </c>
      <c r="D223" s="330" t="s">
        <v>628</v>
      </c>
      <c r="E223"/>
      <c r="F223"/>
      <c r="G223"/>
      <c r="I223"/>
      <c r="K223" s="2">
        <f t="shared" si="24"/>
        <v>218</v>
      </c>
      <c r="O223" s="2">
        <f t="shared" ca="1" si="25"/>
        <v>0</v>
      </c>
      <c r="P223" s="2">
        <f t="shared" ca="1" si="25"/>
        <v>0</v>
      </c>
    </row>
    <row r="224" spans="1:16" outlineLevel="1">
      <c r="A224" s="2" t="str">
        <f t="shared" si="21"/>
        <v/>
      </c>
      <c r="B224" t="str">
        <f t="shared" si="22"/>
        <v/>
      </c>
      <c r="C224" t="e">
        <f t="shared" si="23"/>
        <v>#REF!</v>
      </c>
      <c r="D224" s="330" t="s">
        <v>628</v>
      </c>
      <c r="E224"/>
      <c r="F224"/>
      <c r="G224"/>
      <c r="I224"/>
      <c r="K224" s="2">
        <f t="shared" si="24"/>
        <v>219</v>
      </c>
      <c r="O224" s="2">
        <f t="shared" ca="1" si="25"/>
        <v>0</v>
      </c>
      <c r="P224" s="2">
        <f t="shared" ca="1" si="25"/>
        <v>0</v>
      </c>
    </row>
    <row r="225" spans="1:16" outlineLevel="1">
      <c r="A225" s="2" t="str">
        <f t="shared" si="21"/>
        <v/>
      </c>
      <c r="B225" t="str">
        <f t="shared" si="22"/>
        <v/>
      </c>
      <c r="C225" t="e">
        <f t="shared" si="23"/>
        <v>#REF!</v>
      </c>
      <c r="D225" s="330" t="s">
        <v>628</v>
      </c>
      <c r="E225"/>
      <c r="F225"/>
      <c r="G225"/>
      <c r="I225"/>
      <c r="K225" s="2">
        <f t="shared" si="24"/>
        <v>220</v>
      </c>
      <c r="O225" s="2">
        <f t="shared" ca="1" si="25"/>
        <v>0</v>
      </c>
      <c r="P225" s="2">
        <f t="shared" ca="1" si="25"/>
        <v>0</v>
      </c>
    </row>
    <row r="226" spans="1:16" outlineLevel="1">
      <c r="A226" s="2" t="str">
        <f t="shared" si="21"/>
        <v/>
      </c>
      <c r="B226" t="str">
        <f t="shared" si="22"/>
        <v/>
      </c>
      <c r="C226" t="e">
        <f t="shared" si="23"/>
        <v>#REF!</v>
      </c>
      <c r="D226" s="330" t="s">
        <v>628</v>
      </c>
      <c r="E226"/>
      <c r="F226"/>
      <c r="G226"/>
      <c r="I226"/>
      <c r="K226" s="2">
        <f t="shared" si="24"/>
        <v>221</v>
      </c>
      <c r="O226" s="2">
        <f t="shared" ca="1" si="25"/>
        <v>0</v>
      </c>
      <c r="P226" s="2">
        <f t="shared" ca="1" si="25"/>
        <v>0</v>
      </c>
    </row>
    <row r="227" spans="1:16" outlineLevel="1">
      <c r="A227" s="2" t="str">
        <f t="shared" si="21"/>
        <v/>
      </c>
      <c r="B227" t="str">
        <f t="shared" si="22"/>
        <v/>
      </c>
      <c r="C227" t="e">
        <f t="shared" si="23"/>
        <v>#REF!</v>
      </c>
      <c r="D227" s="330" t="s">
        <v>628</v>
      </c>
      <c r="E227"/>
      <c r="F227"/>
      <c r="G227"/>
      <c r="I227"/>
      <c r="K227" s="2">
        <f t="shared" si="24"/>
        <v>222</v>
      </c>
      <c r="O227" s="2">
        <f t="shared" ca="1" si="25"/>
        <v>0</v>
      </c>
      <c r="P227" s="2">
        <f t="shared" ca="1" si="25"/>
        <v>0</v>
      </c>
    </row>
    <row r="228" spans="1:16" outlineLevel="1">
      <c r="A228" s="2" t="str">
        <f t="shared" si="21"/>
        <v/>
      </c>
      <c r="B228" t="str">
        <f t="shared" si="22"/>
        <v/>
      </c>
      <c r="C228" t="e">
        <f t="shared" si="23"/>
        <v>#REF!</v>
      </c>
      <c r="D228" s="330" t="s">
        <v>628</v>
      </c>
      <c r="E228"/>
      <c r="F228"/>
      <c r="G228"/>
      <c r="I228"/>
      <c r="K228" s="2">
        <f t="shared" si="24"/>
        <v>223</v>
      </c>
      <c r="O228" s="2">
        <f t="shared" ca="1" si="25"/>
        <v>0</v>
      </c>
      <c r="P228" s="2">
        <f t="shared" ca="1" si="25"/>
        <v>0</v>
      </c>
    </row>
    <row r="229" spans="1:16" outlineLevel="1">
      <c r="A229" s="2" t="str">
        <f t="shared" si="21"/>
        <v/>
      </c>
      <c r="B229" t="str">
        <f t="shared" si="22"/>
        <v/>
      </c>
      <c r="C229" t="e">
        <f t="shared" si="23"/>
        <v>#REF!</v>
      </c>
      <c r="D229" s="330" t="s">
        <v>628</v>
      </c>
      <c r="E229"/>
      <c r="F229"/>
      <c r="G229"/>
      <c r="I229"/>
      <c r="K229" s="2">
        <f t="shared" si="24"/>
        <v>224</v>
      </c>
      <c r="O229" s="2">
        <f t="shared" ca="1" si="25"/>
        <v>0</v>
      </c>
      <c r="P229" s="2">
        <f t="shared" ca="1" si="25"/>
        <v>0</v>
      </c>
    </row>
    <row r="230" spans="1:16" outlineLevel="1">
      <c r="A230" s="2" t="str">
        <f t="shared" si="21"/>
        <v/>
      </c>
      <c r="B230" t="str">
        <f t="shared" si="22"/>
        <v/>
      </c>
      <c r="C230" t="e">
        <f>IF(B230="*",RIGHT(E230,10),#REF!)</f>
        <v>#REF!</v>
      </c>
      <c r="D230" s="330" t="s">
        <v>628</v>
      </c>
      <c r="E230"/>
      <c r="F230"/>
      <c r="G230"/>
      <c r="I230"/>
      <c r="K230" s="2">
        <f t="shared" si="24"/>
        <v>225</v>
      </c>
      <c r="O230" s="2">
        <f t="shared" ca="1" si="25"/>
        <v>0</v>
      </c>
      <c r="P230" s="2">
        <f t="shared" ca="1" si="25"/>
        <v>0</v>
      </c>
    </row>
    <row r="231" spans="1:16" outlineLevel="1">
      <c r="A231" s="2" t="str">
        <f t="shared" ref="A231:A290" si="26">IF(B231="*",ROW(),"")</f>
        <v/>
      </c>
      <c r="B231" t="str">
        <f t="shared" ref="B231:B290" si="27">LEFT(E231,1)</f>
        <v/>
      </c>
      <c r="C231" t="e">
        <f t="shared" ref="C231:C290" si="28">IF(B231="*",RIGHT(E231,10),C230)</f>
        <v>#REF!</v>
      </c>
      <c r="D231" s="330" t="s">
        <v>628</v>
      </c>
      <c r="E231"/>
      <c r="F231"/>
      <c r="G231"/>
      <c r="I231"/>
      <c r="K231" s="2">
        <f t="shared" si="24"/>
        <v>226</v>
      </c>
      <c r="O231" s="2">
        <f t="shared" ca="1" si="25"/>
        <v>0</v>
      </c>
      <c r="P231" s="2">
        <f t="shared" ca="1" si="25"/>
        <v>0</v>
      </c>
    </row>
    <row r="232" spans="1:16" outlineLevel="1">
      <c r="A232" s="2" t="str">
        <f t="shared" si="26"/>
        <v/>
      </c>
      <c r="B232" t="str">
        <f t="shared" si="27"/>
        <v/>
      </c>
      <c r="C232" t="e">
        <f t="shared" si="28"/>
        <v>#REF!</v>
      </c>
      <c r="D232" s="330" t="s">
        <v>628</v>
      </c>
      <c r="E232"/>
      <c r="F232"/>
      <c r="G232"/>
      <c r="I232"/>
      <c r="K232" s="2">
        <f t="shared" si="24"/>
        <v>227</v>
      </c>
      <c r="O232" s="2">
        <f t="shared" ca="1" si="25"/>
        <v>0</v>
      </c>
      <c r="P232" s="2">
        <f t="shared" ca="1" si="25"/>
        <v>0</v>
      </c>
    </row>
    <row r="233" spans="1:16" outlineLevel="1">
      <c r="A233" s="2" t="str">
        <f t="shared" si="26"/>
        <v/>
      </c>
      <c r="B233" t="str">
        <f t="shared" si="27"/>
        <v/>
      </c>
      <c r="C233" t="e">
        <f t="shared" si="28"/>
        <v>#REF!</v>
      </c>
      <c r="D233" s="330" t="s">
        <v>628</v>
      </c>
      <c r="E233"/>
      <c r="F233"/>
      <c r="G233"/>
      <c r="I233"/>
      <c r="K233" s="2">
        <f t="shared" si="24"/>
        <v>228</v>
      </c>
      <c r="O233" s="2">
        <f t="shared" ca="1" si="25"/>
        <v>0</v>
      </c>
      <c r="P233" s="2">
        <f t="shared" ca="1" si="25"/>
        <v>0</v>
      </c>
    </row>
    <row r="234" spans="1:16" outlineLevel="1">
      <c r="A234" s="2" t="str">
        <f t="shared" si="26"/>
        <v/>
      </c>
      <c r="B234" t="str">
        <f t="shared" si="27"/>
        <v/>
      </c>
      <c r="C234" t="e">
        <f t="shared" si="28"/>
        <v>#REF!</v>
      </c>
      <c r="D234" s="330" t="s">
        <v>628</v>
      </c>
      <c r="E234"/>
      <c r="F234"/>
      <c r="G234"/>
      <c r="I234"/>
      <c r="K234" s="2">
        <f t="shared" si="24"/>
        <v>229</v>
      </c>
      <c r="O234" s="2">
        <f t="shared" ca="1" si="25"/>
        <v>0</v>
      </c>
      <c r="P234" s="2">
        <f t="shared" ca="1" si="25"/>
        <v>0</v>
      </c>
    </row>
    <row r="235" spans="1:16" outlineLevel="1">
      <c r="A235" s="2" t="str">
        <f t="shared" si="26"/>
        <v/>
      </c>
      <c r="B235" t="str">
        <f t="shared" si="27"/>
        <v/>
      </c>
      <c r="C235" t="e">
        <f t="shared" si="28"/>
        <v>#REF!</v>
      </c>
      <c r="D235" s="330" t="s">
        <v>628</v>
      </c>
      <c r="E235"/>
      <c r="F235"/>
      <c r="G235"/>
      <c r="I235"/>
      <c r="K235" s="2">
        <f t="shared" si="24"/>
        <v>230</v>
      </c>
      <c r="O235" s="2">
        <f t="shared" ca="1" si="25"/>
        <v>0</v>
      </c>
      <c r="P235" s="2">
        <f t="shared" ca="1" si="25"/>
        <v>0</v>
      </c>
    </row>
    <row r="236" spans="1:16" outlineLevel="1">
      <c r="A236" s="2" t="str">
        <f t="shared" si="26"/>
        <v/>
      </c>
      <c r="B236" t="str">
        <f t="shared" si="27"/>
        <v/>
      </c>
      <c r="C236" t="e">
        <f t="shared" si="28"/>
        <v>#REF!</v>
      </c>
      <c r="D236" s="330" t="s">
        <v>628</v>
      </c>
      <c r="E236"/>
      <c r="F236"/>
      <c r="G236"/>
      <c r="I236"/>
      <c r="K236" s="2">
        <f t="shared" si="24"/>
        <v>231</v>
      </c>
      <c r="O236" s="2">
        <f t="shared" ca="1" si="25"/>
        <v>0</v>
      </c>
      <c r="P236" s="2">
        <f t="shared" ca="1" si="25"/>
        <v>0</v>
      </c>
    </row>
    <row r="237" spans="1:16" outlineLevel="1">
      <c r="A237" s="2" t="str">
        <f t="shared" si="26"/>
        <v/>
      </c>
      <c r="B237" t="str">
        <f t="shared" si="27"/>
        <v/>
      </c>
      <c r="C237" t="e">
        <f t="shared" si="28"/>
        <v>#REF!</v>
      </c>
      <c r="D237" s="330" t="s">
        <v>628</v>
      </c>
      <c r="E237"/>
      <c r="F237"/>
      <c r="G237"/>
      <c r="I237"/>
      <c r="K237" s="2">
        <f t="shared" si="24"/>
        <v>232</v>
      </c>
      <c r="O237" s="2">
        <f t="shared" ca="1" si="25"/>
        <v>0</v>
      </c>
      <c r="P237" s="2">
        <f t="shared" ca="1" si="25"/>
        <v>0</v>
      </c>
    </row>
    <row r="238" spans="1:16" outlineLevel="1">
      <c r="A238" s="2" t="str">
        <f t="shared" si="26"/>
        <v/>
      </c>
      <c r="B238" t="str">
        <f t="shared" si="27"/>
        <v/>
      </c>
      <c r="C238" t="e">
        <f t="shared" si="28"/>
        <v>#REF!</v>
      </c>
      <c r="D238" s="330" t="s">
        <v>628</v>
      </c>
      <c r="E238"/>
      <c r="F238"/>
      <c r="G238"/>
      <c r="I238"/>
      <c r="K238" s="2">
        <f t="shared" si="24"/>
        <v>233</v>
      </c>
      <c r="O238" s="2">
        <f t="shared" ca="1" si="25"/>
        <v>0</v>
      </c>
      <c r="P238" s="2">
        <f t="shared" ca="1" si="25"/>
        <v>0</v>
      </c>
    </row>
    <row r="239" spans="1:16" outlineLevel="1">
      <c r="A239" s="2" t="str">
        <f t="shared" si="26"/>
        <v/>
      </c>
      <c r="B239" t="str">
        <f t="shared" si="27"/>
        <v/>
      </c>
      <c r="C239" t="e">
        <f t="shared" si="28"/>
        <v>#REF!</v>
      </c>
      <c r="D239" s="330" t="s">
        <v>628</v>
      </c>
      <c r="E239"/>
      <c r="F239"/>
      <c r="G239"/>
      <c r="I239"/>
      <c r="K239" s="2">
        <f t="shared" si="24"/>
        <v>234</v>
      </c>
      <c r="O239" s="2">
        <f t="shared" ca="1" si="25"/>
        <v>0</v>
      </c>
      <c r="P239" s="2">
        <f t="shared" ca="1" si="25"/>
        <v>0</v>
      </c>
    </row>
    <row r="240" spans="1:16" outlineLevel="1">
      <c r="A240" s="2" t="str">
        <f t="shared" si="26"/>
        <v/>
      </c>
      <c r="B240" t="str">
        <f t="shared" si="27"/>
        <v/>
      </c>
      <c r="C240" t="e">
        <f t="shared" si="28"/>
        <v>#REF!</v>
      </c>
      <c r="D240" s="330" t="s">
        <v>628</v>
      </c>
      <c r="E240"/>
      <c r="F240"/>
      <c r="G240"/>
      <c r="I240"/>
      <c r="K240" s="2">
        <f t="shared" si="24"/>
        <v>235</v>
      </c>
      <c r="O240" s="2">
        <f t="shared" ca="1" si="25"/>
        <v>0</v>
      </c>
      <c r="P240" s="2">
        <f t="shared" ca="1" si="25"/>
        <v>0</v>
      </c>
    </row>
    <row r="241" spans="1:16" outlineLevel="1">
      <c r="A241" s="2" t="str">
        <f t="shared" si="26"/>
        <v/>
      </c>
      <c r="B241" t="str">
        <f t="shared" si="27"/>
        <v/>
      </c>
      <c r="C241" t="e">
        <f t="shared" si="28"/>
        <v>#REF!</v>
      </c>
      <c r="D241" s="330" t="s">
        <v>628</v>
      </c>
      <c r="E241"/>
      <c r="F241"/>
      <c r="G241"/>
      <c r="I241"/>
      <c r="K241" s="2">
        <f t="shared" si="24"/>
        <v>236</v>
      </c>
      <c r="O241" s="2">
        <f t="shared" ca="1" si="25"/>
        <v>0</v>
      </c>
      <c r="P241" s="2">
        <f t="shared" ca="1" si="25"/>
        <v>0</v>
      </c>
    </row>
    <row r="242" spans="1:16" outlineLevel="1">
      <c r="A242" s="2" t="str">
        <f t="shared" si="26"/>
        <v/>
      </c>
      <c r="B242" t="str">
        <f t="shared" si="27"/>
        <v/>
      </c>
      <c r="C242" t="e">
        <f t="shared" si="28"/>
        <v>#REF!</v>
      </c>
      <c r="D242" s="330" t="s">
        <v>628</v>
      </c>
      <c r="E242"/>
      <c r="F242"/>
      <c r="G242"/>
      <c r="I242"/>
      <c r="K242" s="2">
        <f t="shared" si="24"/>
        <v>237</v>
      </c>
      <c r="O242" s="2">
        <f t="shared" ca="1" si="25"/>
        <v>0</v>
      </c>
      <c r="P242" s="2">
        <f t="shared" ca="1" si="25"/>
        <v>0</v>
      </c>
    </row>
    <row r="243" spans="1:16" outlineLevel="1">
      <c r="A243" s="2" t="str">
        <f t="shared" si="26"/>
        <v/>
      </c>
      <c r="B243" t="str">
        <f t="shared" si="27"/>
        <v/>
      </c>
      <c r="C243" t="e">
        <f t="shared" si="28"/>
        <v>#REF!</v>
      </c>
      <c r="D243" s="330" t="s">
        <v>628</v>
      </c>
      <c r="E243"/>
      <c r="F243"/>
      <c r="G243"/>
      <c r="I243"/>
      <c r="K243" s="2">
        <f t="shared" si="24"/>
        <v>238</v>
      </c>
      <c r="O243" s="2">
        <f t="shared" ca="1" si="25"/>
        <v>0</v>
      </c>
      <c r="P243" s="2">
        <f t="shared" ca="1" si="25"/>
        <v>0</v>
      </c>
    </row>
    <row r="244" spans="1:16" outlineLevel="1">
      <c r="A244" s="2" t="str">
        <f t="shared" si="26"/>
        <v/>
      </c>
      <c r="B244" t="str">
        <f t="shared" si="27"/>
        <v/>
      </c>
      <c r="C244" t="e">
        <f t="shared" si="28"/>
        <v>#REF!</v>
      </c>
      <c r="D244" s="330" t="s">
        <v>628</v>
      </c>
      <c r="E244"/>
      <c r="F244"/>
      <c r="G244"/>
      <c r="I244"/>
      <c r="K244" s="2">
        <f t="shared" si="24"/>
        <v>239</v>
      </c>
      <c r="O244" s="2">
        <f t="shared" ca="1" si="25"/>
        <v>0</v>
      </c>
      <c r="P244" s="2">
        <f t="shared" ca="1" si="25"/>
        <v>0</v>
      </c>
    </row>
    <row r="245" spans="1:16" outlineLevel="1">
      <c r="A245" s="2" t="str">
        <f t="shared" si="26"/>
        <v/>
      </c>
      <c r="B245" t="str">
        <f t="shared" si="27"/>
        <v/>
      </c>
      <c r="C245" t="e">
        <f t="shared" si="28"/>
        <v>#REF!</v>
      </c>
      <c r="D245" s="330" t="s">
        <v>628</v>
      </c>
      <c r="E245"/>
      <c r="F245"/>
      <c r="G245"/>
      <c r="I245"/>
      <c r="K245" s="2">
        <f t="shared" si="24"/>
        <v>240</v>
      </c>
      <c r="O245" s="2">
        <f t="shared" ca="1" si="25"/>
        <v>0</v>
      </c>
      <c r="P245" s="2">
        <f t="shared" ca="1" si="25"/>
        <v>0</v>
      </c>
    </row>
    <row r="246" spans="1:16" outlineLevel="1">
      <c r="A246" s="2" t="str">
        <f t="shared" si="26"/>
        <v/>
      </c>
      <c r="B246" t="str">
        <f t="shared" si="27"/>
        <v/>
      </c>
      <c r="C246" t="e">
        <f t="shared" si="28"/>
        <v>#REF!</v>
      </c>
      <c r="D246" s="330" t="s">
        <v>628</v>
      </c>
      <c r="E246"/>
      <c r="F246"/>
      <c r="G246"/>
      <c r="I246"/>
      <c r="K246" s="2">
        <f t="shared" si="24"/>
        <v>241</v>
      </c>
      <c r="O246" s="2">
        <f t="shared" ca="1" si="25"/>
        <v>0</v>
      </c>
      <c r="P246" s="2">
        <f t="shared" ca="1" si="25"/>
        <v>0</v>
      </c>
    </row>
    <row r="247" spans="1:16" outlineLevel="1">
      <c r="A247" s="2" t="str">
        <f t="shared" si="26"/>
        <v/>
      </c>
      <c r="B247" t="str">
        <f t="shared" si="27"/>
        <v/>
      </c>
      <c r="C247" t="e">
        <f t="shared" si="28"/>
        <v>#REF!</v>
      </c>
      <c r="D247" s="330" t="s">
        <v>628</v>
      </c>
      <c r="E247"/>
      <c r="F247"/>
      <c r="G247"/>
      <c r="I247"/>
      <c r="K247" s="2">
        <f t="shared" si="24"/>
        <v>242</v>
      </c>
      <c r="O247" s="2">
        <f t="shared" ca="1" si="25"/>
        <v>0</v>
      </c>
      <c r="P247" s="2">
        <f t="shared" ca="1" si="25"/>
        <v>0</v>
      </c>
    </row>
    <row r="248" spans="1:16" outlineLevel="1">
      <c r="A248" s="2" t="str">
        <f t="shared" si="26"/>
        <v/>
      </c>
      <c r="B248" t="str">
        <f t="shared" si="27"/>
        <v/>
      </c>
      <c r="C248" t="e">
        <f t="shared" si="28"/>
        <v>#REF!</v>
      </c>
      <c r="D248" s="330" t="s">
        <v>628</v>
      </c>
      <c r="E248"/>
      <c r="F248"/>
      <c r="G248"/>
      <c r="I248"/>
      <c r="K248" s="2">
        <f t="shared" si="24"/>
        <v>243</v>
      </c>
      <c r="O248" s="2">
        <f t="shared" ca="1" si="25"/>
        <v>0</v>
      </c>
      <c r="P248" s="2">
        <f t="shared" ca="1" si="25"/>
        <v>0</v>
      </c>
    </row>
    <row r="249" spans="1:16" outlineLevel="1">
      <c r="A249" s="2" t="str">
        <f t="shared" si="26"/>
        <v/>
      </c>
      <c r="B249" t="str">
        <f t="shared" si="27"/>
        <v/>
      </c>
      <c r="C249" t="e">
        <f>IF(B249="*",RIGHT(E249,10),#REF!)</f>
        <v>#REF!</v>
      </c>
      <c r="D249" s="330" t="s">
        <v>628</v>
      </c>
      <c r="E249"/>
      <c r="F249"/>
      <c r="G249"/>
      <c r="I249"/>
      <c r="K249" s="2">
        <f t="shared" si="24"/>
        <v>244</v>
      </c>
      <c r="O249" s="2">
        <f t="shared" ca="1" si="25"/>
        <v>0</v>
      </c>
      <c r="P249" s="2">
        <f t="shared" ca="1" si="25"/>
        <v>0</v>
      </c>
    </row>
    <row r="250" spans="1:16" outlineLevel="1">
      <c r="A250" s="2" t="str">
        <f t="shared" si="26"/>
        <v/>
      </c>
      <c r="B250" t="str">
        <f t="shared" si="27"/>
        <v/>
      </c>
      <c r="C250" t="e">
        <f t="shared" si="28"/>
        <v>#REF!</v>
      </c>
      <c r="D250" s="330" t="s">
        <v>628</v>
      </c>
      <c r="E250"/>
      <c r="F250"/>
      <c r="G250"/>
      <c r="I250"/>
      <c r="K250" s="2">
        <f t="shared" si="24"/>
        <v>245</v>
      </c>
      <c r="O250" s="2">
        <f t="shared" ca="1" si="25"/>
        <v>0</v>
      </c>
      <c r="P250" s="2">
        <f t="shared" ca="1" si="25"/>
        <v>0</v>
      </c>
    </row>
    <row r="251" spans="1:16" outlineLevel="1">
      <c r="A251" s="2" t="str">
        <f t="shared" si="26"/>
        <v/>
      </c>
      <c r="B251" t="str">
        <f t="shared" si="27"/>
        <v/>
      </c>
      <c r="C251" t="e">
        <f t="shared" si="28"/>
        <v>#REF!</v>
      </c>
      <c r="D251" s="330" t="s">
        <v>628</v>
      </c>
      <c r="E251"/>
      <c r="F251"/>
      <c r="G251"/>
      <c r="I251"/>
      <c r="K251" s="2">
        <f t="shared" si="24"/>
        <v>246</v>
      </c>
      <c r="O251" s="2">
        <f t="shared" ca="1" si="25"/>
        <v>0</v>
      </c>
      <c r="P251" s="2">
        <f t="shared" ca="1" si="25"/>
        <v>0</v>
      </c>
    </row>
    <row r="252" spans="1:16" outlineLevel="1">
      <c r="A252" s="2" t="str">
        <f t="shared" si="26"/>
        <v/>
      </c>
      <c r="B252" t="str">
        <f t="shared" si="27"/>
        <v/>
      </c>
      <c r="C252" t="e">
        <f t="shared" si="28"/>
        <v>#REF!</v>
      </c>
      <c r="D252" s="330" t="s">
        <v>628</v>
      </c>
      <c r="E252"/>
      <c r="F252"/>
      <c r="G252"/>
      <c r="I252"/>
      <c r="K252" s="2">
        <f t="shared" si="24"/>
        <v>247</v>
      </c>
      <c r="O252" s="2">
        <f t="shared" ca="1" si="25"/>
        <v>0</v>
      </c>
      <c r="P252" s="2">
        <f t="shared" ca="1" si="25"/>
        <v>0</v>
      </c>
    </row>
    <row r="253" spans="1:16" outlineLevel="1">
      <c r="A253" s="2" t="str">
        <f t="shared" si="26"/>
        <v/>
      </c>
      <c r="B253" t="str">
        <f t="shared" si="27"/>
        <v/>
      </c>
      <c r="C253" t="e">
        <f t="shared" si="28"/>
        <v>#REF!</v>
      </c>
      <c r="D253" s="330" t="s">
        <v>628</v>
      </c>
      <c r="E253"/>
      <c r="F253"/>
      <c r="G253"/>
      <c r="I253"/>
      <c r="K253" s="2">
        <f t="shared" si="24"/>
        <v>248</v>
      </c>
      <c r="O253" s="2">
        <f t="shared" ca="1" si="25"/>
        <v>0</v>
      </c>
      <c r="P253" s="2">
        <f t="shared" ca="1" si="25"/>
        <v>0</v>
      </c>
    </row>
    <row r="254" spans="1:16" outlineLevel="1">
      <c r="A254" s="2" t="str">
        <f t="shared" si="26"/>
        <v/>
      </c>
      <c r="B254" t="str">
        <f t="shared" si="27"/>
        <v/>
      </c>
      <c r="C254" t="e">
        <f t="shared" si="28"/>
        <v>#REF!</v>
      </c>
      <c r="D254" s="330" t="s">
        <v>628</v>
      </c>
      <c r="E254"/>
      <c r="F254"/>
      <c r="G254"/>
      <c r="I254"/>
      <c r="K254" s="2">
        <f t="shared" si="24"/>
        <v>249</v>
      </c>
      <c r="O254" s="2">
        <f t="shared" ca="1" si="25"/>
        <v>0</v>
      </c>
      <c r="P254" s="2">
        <f t="shared" ca="1" si="25"/>
        <v>0</v>
      </c>
    </row>
    <row r="255" spans="1:16" outlineLevel="1">
      <c r="A255" s="2" t="str">
        <f t="shared" si="26"/>
        <v/>
      </c>
      <c r="B255" t="str">
        <f t="shared" si="27"/>
        <v/>
      </c>
      <c r="C255" t="e">
        <f t="shared" si="28"/>
        <v>#REF!</v>
      </c>
      <c r="D255" s="330" t="s">
        <v>628</v>
      </c>
      <c r="E255"/>
      <c r="F255"/>
      <c r="G255"/>
      <c r="I255"/>
      <c r="K255" s="2">
        <f t="shared" si="24"/>
        <v>250</v>
      </c>
      <c r="O255" s="2">
        <f t="shared" ca="1" si="25"/>
        <v>0</v>
      </c>
      <c r="P255" s="2">
        <f t="shared" ca="1" si="25"/>
        <v>0</v>
      </c>
    </row>
    <row r="256" spans="1:16" outlineLevel="1">
      <c r="A256" s="2" t="str">
        <f t="shared" si="26"/>
        <v/>
      </c>
      <c r="B256" t="str">
        <f t="shared" si="27"/>
        <v/>
      </c>
      <c r="C256" t="e">
        <f t="shared" si="28"/>
        <v>#REF!</v>
      </c>
      <c r="D256" s="330" t="s">
        <v>628</v>
      </c>
      <c r="E256"/>
      <c r="F256"/>
      <c r="G256"/>
      <c r="I256"/>
      <c r="K256" s="2">
        <f t="shared" si="24"/>
        <v>251</v>
      </c>
      <c r="O256" s="2">
        <f t="shared" ca="1" si="25"/>
        <v>0</v>
      </c>
      <c r="P256" s="2">
        <f t="shared" ca="1" si="25"/>
        <v>0</v>
      </c>
    </row>
    <row r="257" spans="1:16" outlineLevel="1">
      <c r="A257" s="2" t="str">
        <f t="shared" si="26"/>
        <v/>
      </c>
      <c r="B257" t="str">
        <f t="shared" si="27"/>
        <v/>
      </c>
      <c r="C257" t="e">
        <f t="shared" si="28"/>
        <v>#REF!</v>
      </c>
      <c r="D257" s="330" t="s">
        <v>628</v>
      </c>
      <c r="E257"/>
      <c r="F257"/>
      <c r="G257"/>
      <c r="I257"/>
      <c r="K257" s="2">
        <f t="shared" si="24"/>
        <v>252</v>
      </c>
      <c r="O257" s="2">
        <f t="shared" ca="1" si="25"/>
        <v>0</v>
      </c>
      <c r="P257" s="2">
        <f t="shared" ca="1" si="25"/>
        <v>0</v>
      </c>
    </row>
    <row r="258" spans="1:16" outlineLevel="1">
      <c r="A258" s="2" t="str">
        <f t="shared" si="26"/>
        <v/>
      </c>
      <c r="B258" t="str">
        <f t="shared" si="27"/>
        <v/>
      </c>
      <c r="C258" t="e">
        <f t="shared" si="28"/>
        <v>#REF!</v>
      </c>
      <c r="D258" s="330" t="s">
        <v>628</v>
      </c>
      <c r="E258"/>
      <c r="F258"/>
      <c r="G258"/>
      <c r="I258"/>
      <c r="K258" s="2">
        <f t="shared" si="24"/>
        <v>253</v>
      </c>
      <c r="O258" s="2">
        <f t="shared" ca="1" si="25"/>
        <v>0</v>
      </c>
      <c r="P258" s="2">
        <f t="shared" ca="1" si="25"/>
        <v>0</v>
      </c>
    </row>
    <row r="259" spans="1:16" outlineLevel="1">
      <c r="A259" s="2" t="str">
        <f t="shared" si="26"/>
        <v/>
      </c>
      <c r="B259" t="str">
        <f t="shared" si="27"/>
        <v/>
      </c>
      <c r="C259" t="e">
        <f t="shared" si="28"/>
        <v>#REF!</v>
      </c>
      <c r="D259" s="330" t="s">
        <v>628</v>
      </c>
      <c r="E259"/>
      <c r="F259"/>
      <c r="G259"/>
      <c r="I259"/>
      <c r="K259" s="2">
        <f t="shared" si="24"/>
        <v>254</v>
      </c>
      <c r="O259" s="2">
        <f t="shared" ca="1" si="25"/>
        <v>0</v>
      </c>
      <c r="P259" s="2">
        <f t="shared" ca="1" si="25"/>
        <v>0</v>
      </c>
    </row>
    <row r="260" spans="1:16" outlineLevel="1">
      <c r="A260" s="2" t="str">
        <f t="shared" si="26"/>
        <v/>
      </c>
      <c r="B260" t="str">
        <f t="shared" si="27"/>
        <v/>
      </c>
      <c r="C260" t="e">
        <f t="shared" si="28"/>
        <v>#REF!</v>
      </c>
      <c r="D260" s="330" t="s">
        <v>628</v>
      </c>
      <c r="E260"/>
      <c r="F260"/>
      <c r="G260"/>
      <c r="I260"/>
      <c r="K260" s="2">
        <f t="shared" si="24"/>
        <v>255</v>
      </c>
      <c r="O260" s="2">
        <f t="shared" ca="1" si="25"/>
        <v>0</v>
      </c>
      <c r="P260" s="2">
        <f t="shared" ca="1" si="25"/>
        <v>0</v>
      </c>
    </row>
    <row r="261" spans="1:16" outlineLevel="1">
      <c r="A261" s="2" t="str">
        <f t="shared" si="26"/>
        <v/>
      </c>
      <c r="B261" t="str">
        <f t="shared" si="27"/>
        <v/>
      </c>
      <c r="C261" t="e">
        <f t="shared" si="28"/>
        <v>#REF!</v>
      </c>
      <c r="D261" s="330" t="s">
        <v>628</v>
      </c>
      <c r="E261"/>
      <c r="F261"/>
      <c r="G261"/>
      <c r="I261"/>
      <c r="K261" s="2">
        <f t="shared" si="24"/>
        <v>256</v>
      </c>
      <c r="O261" s="2">
        <f t="shared" ca="1" si="25"/>
        <v>0</v>
      </c>
      <c r="P261" s="2">
        <f t="shared" ca="1" si="25"/>
        <v>0</v>
      </c>
    </row>
    <row r="262" spans="1:16" outlineLevel="1">
      <c r="A262" s="2" t="str">
        <f t="shared" si="26"/>
        <v/>
      </c>
      <c r="B262" t="str">
        <f t="shared" si="27"/>
        <v/>
      </c>
      <c r="C262" t="e">
        <f t="shared" si="28"/>
        <v>#REF!</v>
      </c>
      <c r="D262" s="330" t="s">
        <v>628</v>
      </c>
      <c r="E262"/>
      <c r="F262"/>
      <c r="G262"/>
      <c r="I262"/>
      <c r="K262" s="2">
        <f t="shared" si="24"/>
        <v>257</v>
      </c>
      <c r="O262" s="2">
        <f t="shared" ca="1" si="25"/>
        <v>0</v>
      </c>
      <c r="P262" s="2">
        <f t="shared" ca="1" si="25"/>
        <v>0</v>
      </c>
    </row>
    <row r="263" spans="1:16" outlineLevel="1">
      <c r="A263" s="2" t="str">
        <f t="shared" si="26"/>
        <v/>
      </c>
      <c r="B263" t="str">
        <f t="shared" si="27"/>
        <v/>
      </c>
      <c r="C263" t="e">
        <f t="shared" si="28"/>
        <v>#REF!</v>
      </c>
      <c r="D263" s="330" t="s">
        <v>628</v>
      </c>
      <c r="E263"/>
      <c r="F263"/>
      <c r="G263"/>
      <c r="I263"/>
      <c r="K263" s="2">
        <f t="shared" si="24"/>
        <v>258</v>
      </c>
      <c r="O263" s="2">
        <f t="shared" ca="1" si="25"/>
        <v>0</v>
      </c>
      <c r="P263" s="2">
        <f t="shared" ca="1" si="25"/>
        <v>0</v>
      </c>
    </row>
    <row r="264" spans="1:16" outlineLevel="1">
      <c r="A264" s="2" t="str">
        <f t="shared" si="26"/>
        <v/>
      </c>
      <c r="B264" t="str">
        <f t="shared" si="27"/>
        <v/>
      </c>
      <c r="C264" t="e">
        <f t="shared" si="28"/>
        <v>#REF!</v>
      </c>
      <c r="D264" s="330" t="s">
        <v>628</v>
      </c>
      <c r="E264"/>
      <c r="F264"/>
      <c r="G264"/>
      <c r="I264"/>
      <c r="K264" s="2">
        <f t="shared" ref="K264:K327" si="29">K263+1</f>
        <v>259</v>
      </c>
      <c r="O264" s="2">
        <f t="shared" ca="1" si="25"/>
        <v>0</v>
      </c>
      <c r="P264" s="2">
        <f t="shared" ca="1" si="25"/>
        <v>0</v>
      </c>
    </row>
    <row r="265" spans="1:16" outlineLevel="1">
      <c r="A265" s="2" t="str">
        <f t="shared" si="26"/>
        <v/>
      </c>
      <c r="B265" t="str">
        <f t="shared" si="27"/>
        <v/>
      </c>
      <c r="C265" t="e">
        <f t="shared" si="28"/>
        <v>#REF!</v>
      </c>
      <c r="D265" s="330" t="s">
        <v>628</v>
      </c>
      <c r="E265"/>
      <c r="F265"/>
      <c r="G265"/>
      <c r="I265"/>
      <c r="K265" s="2">
        <f t="shared" si="29"/>
        <v>260</v>
      </c>
      <c r="O265" s="2">
        <f t="shared" ca="1" si="25"/>
        <v>0</v>
      </c>
      <c r="P265" s="2">
        <f t="shared" ca="1" si="25"/>
        <v>0</v>
      </c>
    </row>
    <row r="266" spans="1:16" outlineLevel="1">
      <c r="A266" s="2" t="str">
        <f t="shared" si="26"/>
        <v/>
      </c>
      <c r="B266" t="str">
        <f t="shared" si="27"/>
        <v/>
      </c>
      <c r="C266" t="e">
        <f t="shared" si="28"/>
        <v>#REF!</v>
      </c>
      <c r="D266" s="330" t="s">
        <v>628</v>
      </c>
      <c r="E266"/>
      <c r="F266"/>
      <c r="G266"/>
      <c r="I266"/>
      <c r="K266" s="2">
        <f t="shared" si="29"/>
        <v>261</v>
      </c>
      <c r="O266" s="2">
        <f t="shared" ca="1" si="25"/>
        <v>0</v>
      </c>
      <c r="P266" s="2">
        <f t="shared" ca="1" si="25"/>
        <v>0</v>
      </c>
    </row>
    <row r="267" spans="1:16" outlineLevel="1">
      <c r="A267" s="2" t="str">
        <f t="shared" si="26"/>
        <v/>
      </c>
      <c r="B267" t="str">
        <f t="shared" si="27"/>
        <v/>
      </c>
      <c r="C267" t="e">
        <f t="shared" si="28"/>
        <v>#REF!</v>
      </c>
      <c r="D267" s="330" t="s">
        <v>628</v>
      </c>
      <c r="E267"/>
      <c r="F267"/>
      <c r="G267"/>
      <c r="I267"/>
      <c r="K267" s="2">
        <f t="shared" si="29"/>
        <v>262</v>
      </c>
      <c r="O267" s="2">
        <f t="shared" ca="1" si="25"/>
        <v>0</v>
      </c>
      <c r="P267" s="2">
        <f t="shared" ca="1" si="25"/>
        <v>0</v>
      </c>
    </row>
    <row r="268" spans="1:16" outlineLevel="1">
      <c r="A268" s="2" t="str">
        <f t="shared" si="26"/>
        <v/>
      </c>
      <c r="B268" t="str">
        <f t="shared" si="27"/>
        <v/>
      </c>
      <c r="C268" t="e">
        <f t="shared" si="28"/>
        <v>#REF!</v>
      </c>
      <c r="D268" s="330" t="s">
        <v>628</v>
      </c>
      <c r="E268"/>
      <c r="F268"/>
      <c r="G268"/>
      <c r="I268"/>
      <c r="K268" s="2">
        <f t="shared" si="29"/>
        <v>263</v>
      </c>
      <c r="O268" s="2">
        <f t="shared" ca="1" si="25"/>
        <v>0</v>
      </c>
      <c r="P268" s="2">
        <f t="shared" ca="1" si="25"/>
        <v>0</v>
      </c>
    </row>
    <row r="269" spans="1:16" outlineLevel="1">
      <c r="A269" s="2" t="str">
        <f t="shared" si="26"/>
        <v/>
      </c>
      <c r="B269" t="str">
        <f t="shared" si="27"/>
        <v/>
      </c>
      <c r="C269" t="e">
        <f t="shared" si="28"/>
        <v>#REF!</v>
      </c>
      <c r="D269" s="330" t="s">
        <v>628</v>
      </c>
      <c r="E269"/>
      <c r="F269"/>
      <c r="G269"/>
      <c r="I269"/>
      <c r="K269" s="2">
        <f t="shared" si="29"/>
        <v>264</v>
      </c>
      <c r="O269" s="2">
        <f t="shared" ca="1" si="25"/>
        <v>0</v>
      </c>
      <c r="P269" s="2">
        <f t="shared" ca="1" si="25"/>
        <v>0</v>
      </c>
    </row>
    <row r="270" spans="1:16" outlineLevel="1">
      <c r="A270" s="2" t="str">
        <f t="shared" si="26"/>
        <v/>
      </c>
      <c r="B270" t="str">
        <f t="shared" si="27"/>
        <v/>
      </c>
      <c r="C270" t="e">
        <f t="shared" si="28"/>
        <v>#REF!</v>
      </c>
      <c r="D270" s="330" t="s">
        <v>628</v>
      </c>
      <c r="E270"/>
      <c r="F270"/>
      <c r="G270"/>
      <c r="I270"/>
      <c r="K270" s="2">
        <f t="shared" si="29"/>
        <v>265</v>
      </c>
      <c r="O270" s="2">
        <f t="shared" ca="1" si="25"/>
        <v>0</v>
      </c>
      <c r="P270" s="2">
        <f t="shared" ca="1" si="25"/>
        <v>0</v>
      </c>
    </row>
    <row r="271" spans="1:16" outlineLevel="1">
      <c r="A271" s="2" t="str">
        <f t="shared" si="26"/>
        <v/>
      </c>
      <c r="B271" t="str">
        <f t="shared" si="27"/>
        <v/>
      </c>
      <c r="C271" t="e">
        <f t="shared" si="28"/>
        <v>#REF!</v>
      </c>
      <c r="D271" s="330" t="s">
        <v>628</v>
      </c>
      <c r="E271"/>
      <c r="F271"/>
      <c r="G271"/>
      <c r="I271"/>
      <c r="K271" s="2">
        <f t="shared" si="29"/>
        <v>266</v>
      </c>
      <c r="O271" s="2">
        <f t="shared" ca="1" si="25"/>
        <v>0</v>
      </c>
      <c r="P271" s="2">
        <f t="shared" ca="1" si="25"/>
        <v>0</v>
      </c>
    </row>
    <row r="272" spans="1:16" outlineLevel="1">
      <c r="A272" s="2" t="str">
        <f t="shared" si="26"/>
        <v/>
      </c>
      <c r="B272" t="str">
        <f t="shared" si="27"/>
        <v/>
      </c>
      <c r="C272" t="e">
        <f t="shared" si="28"/>
        <v>#REF!</v>
      </c>
      <c r="D272" s="330" t="s">
        <v>628</v>
      </c>
      <c r="E272"/>
      <c r="F272"/>
      <c r="G272"/>
      <c r="I272"/>
      <c r="K272" s="2">
        <f t="shared" si="29"/>
        <v>267</v>
      </c>
      <c r="O272" s="2">
        <f t="shared" ca="1" si="25"/>
        <v>0</v>
      </c>
      <c r="P272" s="2">
        <f t="shared" ca="1" si="25"/>
        <v>0</v>
      </c>
    </row>
    <row r="273" spans="1:16" outlineLevel="1">
      <c r="A273" s="2" t="str">
        <f t="shared" si="26"/>
        <v/>
      </c>
      <c r="B273" t="str">
        <f t="shared" si="27"/>
        <v/>
      </c>
      <c r="C273" t="e">
        <f t="shared" si="28"/>
        <v>#REF!</v>
      </c>
      <c r="D273" s="330" t="s">
        <v>628</v>
      </c>
      <c r="E273"/>
      <c r="F273"/>
      <c r="G273"/>
      <c r="I273"/>
      <c r="K273" s="2">
        <f t="shared" si="29"/>
        <v>268</v>
      </c>
      <c r="O273" s="2">
        <f t="shared" ca="1" si="25"/>
        <v>0</v>
      </c>
      <c r="P273" s="2">
        <f t="shared" ca="1" si="25"/>
        <v>0</v>
      </c>
    </row>
    <row r="274" spans="1:16" outlineLevel="1">
      <c r="A274" s="2" t="str">
        <f t="shared" si="26"/>
        <v/>
      </c>
      <c r="B274" t="str">
        <f t="shared" si="27"/>
        <v/>
      </c>
      <c r="C274" t="e">
        <f t="shared" si="28"/>
        <v>#REF!</v>
      </c>
      <c r="D274" s="330" t="s">
        <v>628</v>
      </c>
      <c r="E274"/>
      <c r="F274"/>
      <c r="G274"/>
      <c r="I274"/>
      <c r="K274" s="2">
        <f t="shared" si="29"/>
        <v>269</v>
      </c>
      <c r="O274" s="2">
        <f t="shared" ca="1" si="25"/>
        <v>0</v>
      </c>
      <c r="P274" s="2">
        <f t="shared" ca="1" si="25"/>
        <v>0</v>
      </c>
    </row>
    <row r="275" spans="1:16" outlineLevel="1">
      <c r="A275" s="2" t="str">
        <f t="shared" si="26"/>
        <v/>
      </c>
      <c r="B275" t="str">
        <f>LEFT(E275,1)</f>
        <v/>
      </c>
      <c r="C275" t="e">
        <f>IF(B275="*",RIGHT(E275,10),C274)</f>
        <v>#REF!</v>
      </c>
      <c r="D275" s="330" t="s">
        <v>628</v>
      </c>
      <c r="E275"/>
      <c r="F275"/>
      <c r="G275"/>
      <c r="I275"/>
      <c r="K275" s="2">
        <f t="shared" si="29"/>
        <v>270</v>
      </c>
      <c r="O275" s="2">
        <f t="shared" ca="1" si="25"/>
        <v>0</v>
      </c>
      <c r="P275" s="2">
        <f t="shared" ca="1" si="25"/>
        <v>0</v>
      </c>
    </row>
    <row r="276" spans="1:16" outlineLevel="1">
      <c r="A276" s="2" t="str">
        <f t="shared" si="26"/>
        <v/>
      </c>
      <c r="B276" t="str">
        <f t="shared" si="27"/>
        <v/>
      </c>
      <c r="C276" t="e">
        <f t="shared" si="28"/>
        <v>#REF!</v>
      </c>
      <c r="D276" s="330" t="s">
        <v>628</v>
      </c>
      <c r="E276"/>
      <c r="F276"/>
      <c r="G276"/>
      <c r="I276"/>
      <c r="K276" s="2">
        <f t="shared" si="29"/>
        <v>271</v>
      </c>
      <c r="O276" s="2">
        <f t="shared" ca="1" si="25"/>
        <v>0</v>
      </c>
      <c r="P276" s="2">
        <f t="shared" ca="1" si="25"/>
        <v>0</v>
      </c>
    </row>
    <row r="277" spans="1:16" outlineLevel="1">
      <c r="A277" s="2" t="str">
        <f t="shared" si="26"/>
        <v/>
      </c>
      <c r="B277" t="str">
        <f t="shared" si="27"/>
        <v/>
      </c>
      <c r="C277" t="e">
        <f t="shared" si="28"/>
        <v>#REF!</v>
      </c>
      <c r="D277" s="330" t="s">
        <v>628</v>
      </c>
      <c r="E277"/>
      <c r="F277"/>
      <c r="G277"/>
      <c r="I277"/>
      <c r="K277" s="2">
        <f t="shared" si="29"/>
        <v>272</v>
      </c>
      <c r="O277" s="2">
        <f t="shared" ca="1" si="25"/>
        <v>0</v>
      </c>
      <c r="P277" s="2">
        <f t="shared" ca="1" si="25"/>
        <v>0</v>
      </c>
    </row>
    <row r="278" spans="1:16" outlineLevel="1">
      <c r="A278" s="2" t="str">
        <f t="shared" si="26"/>
        <v/>
      </c>
      <c r="B278" t="str">
        <f t="shared" si="27"/>
        <v/>
      </c>
      <c r="C278" t="e">
        <f t="shared" si="28"/>
        <v>#REF!</v>
      </c>
      <c r="D278" s="330" t="s">
        <v>628</v>
      </c>
      <c r="E278"/>
      <c r="F278"/>
      <c r="G278"/>
      <c r="I278"/>
      <c r="K278" s="2">
        <f t="shared" si="29"/>
        <v>273</v>
      </c>
      <c r="O278" s="2">
        <f t="shared" ca="1" si="25"/>
        <v>0</v>
      </c>
      <c r="P278" s="2">
        <f t="shared" ca="1" si="25"/>
        <v>0</v>
      </c>
    </row>
    <row r="279" spans="1:16" outlineLevel="1">
      <c r="A279" s="2" t="str">
        <f t="shared" si="26"/>
        <v/>
      </c>
      <c r="B279" t="str">
        <f t="shared" si="27"/>
        <v/>
      </c>
      <c r="C279" t="e">
        <f t="shared" si="28"/>
        <v>#REF!</v>
      </c>
      <c r="D279" s="330" t="s">
        <v>628</v>
      </c>
      <c r="E279"/>
      <c r="F279"/>
      <c r="G279"/>
      <c r="I279"/>
      <c r="K279" s="2">
        <f t="shared" si="29"/>
        <v>274</v>
      </c>
      <c r="O279" s="2">
        <f t="shared" ca="1" si="25"/>
        <v>0</v>
      </c>
      <c r="P279" s="2">
        <f t="shared" ca="1" si="25"/>
        <v>0</v>
      </c>
    </row>
    <row r="280" spans="1:16" outlineLevel="1">
      <c r="A280" s="2" t="str">
        <f t="shared" si="26"/>
        <v/>
      </c>
      <c r="B280" t="str">
        <f t="shared" si="27"/>
        <v/>
      </c>
      <c r="C280" t="e">
        <f t="shared" si="28"/>
        <v>#REF!</v>
      </c>
      <c r="D280" s="330" t="s">
        <v>628</v>
      </c>
      <c r="E280"/>
      <c r="F280"/>
      <c r="G280"/>
      <c r="I280"/>
      <c r="K280" s="2">
        <f t="shared" si="29"/>
        <v>275</v>
      </c>
      <c r="O280" s="2">
        <f t="shared" ca="1" si="25"/>
        <v>0</v>
      </c>
      <c r="P280" s="2">
        <f t="shared" ca="1" si="25"/>
        <v>0</v>
      </c>
    </row>
    <row r="281" spans="1:16" outlineLevel="1">
      <c r="A281" s="2" t="str">
        <f t="shared" si="26"/>
        <v/>
      </c>
      <c r="B281" t="str">
        <f t="shared" si="27"/>
        <v/>
      </c>
      <c r="C281" t="e">
        <f t="shared" si="28"/>
        <v>#REF!</v>
      </c>
      <c r="D281" s="330" t="s">
        <v>628</v>
      </c>
      <c r="E281"/>
      <c r="F281"/>
      <c r="G281"/>
      <c r="I281"/>
      <c r="K281" s="2">
        <f t="shared" si="29"/>
        <v>276</v>
      </c>
      <c r="O281" s="2">
        <f t="shared" ca="1" si="25"/>
        <v>0</v>
      </c>
      <c r="P281" s="2">
        <f t="shared" ca="1" si="25"/>
        <v>0</v>
      </c>
    </row>
    <row r="282" spans="1:16" outlineLevel="1">
      <c r="A282" s="2" t="str">
        <f t="shared" si="26"/>
        <v/>
      </c>
      <c r="B282" t="str">
        <f t="shared" si="27"/>
        <v/>
      </c>
      <c r="C282" t="e">
        <f t="shared" si="28"/>
        <v>#REF!</v>
      </c>
      <c r="D282" s="330" t="s">
        <v>628</v>
      </c>
      <c r="E282"/>
      <c r="F282"/>
      <c r="G282"/>
      <c r="I282"/>
      <c r="K282" s="2">
        <f t="shared" si="29"/>
        <v>277</v>
      </c>
      <c r="O282" s="2">
        <f t="shared" ca="1" si="25"/>
        <v>0</v>
      </c>
      <c r="P282" s="2">
        <f t="shared" ca="1" si="25"/>
        <v>0</v>
      </c>
    </row>
    <row r="283" spans="1:16" outlineLevel="1">
      <c r="A283" s="2" t="str">
        <f t="shared" si="26"/>
        <v/>
      </c>
      <c r="B283" t="str">
        <f t="shared" si="27"/>
        <v/>
      </c>
      <c r="C283" t="e">
        <f t="shared" si="28"/>
        <v>#REF!</v>
      </c>
      <c r="D283" s="330" t="s">
        <v>628</v>
      </c>
      <c r="E283"/>
      <c r="F283"/>
      <c r="G283"/>
      <c r="I283"/>
      <c r="K283" s="2">
        <f t="shared" si="29"/>
        <v>278</v>
      </c>
      <c r="O283" s="2">
        <f t="shared" ca="1" si="25"/>
        <v>0</v>
      </c>
      <c r="P283" s="2">
        <f t="shared" ca="1" si="25"/>
        <v>0</v>
      </c>
    </row>
    <row r="284" spans="1:16" outlineLevel="1">
      <c r="A284" s="2" t="str">
        <f t="shared" si="26"/>
        <v/>
      </c>
      <c r="B284" t="str">
        <f t="shared" si="27"/>
        <v/>
      </c>
      <c r="C284" t="e">
        <f t="shared" si="28"/>
        <v>#REF!</v>
      </c>
      <c r="D284" s="330" t="s">
        <v>628</v>
      </c>
      <c r="E284"/>
      <c r="F284"/>
      <c r="G284"/>
      <c r="I284"/>
      <c r="K284" s="2">
        <f t="shared" si="29"/>
        <v>279</v>
      </c>
      <c r="O284" s="2">
        <f t="shared" ca="1" si="25"/>
        <v>0</v>
      </c>
      <c r="P284" s="2">
        <f t="shared" ca="1" si="25"/>
        <v>0</v>
      </c>
    </row>
    <row r="285" spans="1:16" outlineLevel="1">
      <c r="A285" s="2" t="str">
        <f t="shared" si="26"/>
        <v/>
      </c>
      <c r="B285" t="str">
        <f t="shared" si="27"/>
        <v/>
      </c>
      <c r="C285" t="e">
        <f>IF(B285="*",RIGHT(E285,10),#REF!)</f>
        <v>#REF!</v>
      </c>
      <c r="D285" s="330" t="s">
        <v>628</v>
      </c>
      <c r="E285"/>
      <c r="F285"/>
      <c r="G285"/>
      <c r="I285"/>
      <c r="K285" s="2">
        <f t="shared" si="29"/>
        <v>280</v>
      </c>
      <c r="O285" s="2">
        <f t="shared" ref="O285:P348" ca="1" si="30">INDIRECT("E"&amp;O$4+$K285)</f>
        <v>0</v>
      </c>
      <c r="P285" s="2">
        <f t="shared" ca="1" si="30"/>
        <v>0</v>
      </c>
    </row>
    <row r="286" spans="1:16" outlineLevel="1">
      <c r="A286" s="2" t="str">
        <f t="shared" si="26"/>
        <v/>
      </c>
      <c r="B286" t="str">
        <f t="shared" si="27"/>
        <v/>
      </c>
      <c r="C286" t="e">
        <f t="shared" si="28"/>
        <v>#REF!</v>
      </c>
      <c r="D286" s="330" t="s">
        <v>628</v>
      </c>
      <c r="E286"/>
      <c r="F286"/>
      <c r="G286"/>
      <c r="I286"/>
      <c r="K286" s="2">
        <f t="shared" si="29"/>
        <v>281</v>
      </c>
      <c r="O286" s="2">
        <f t="shared" ca="1" si="30"/>
        <v>0</v>
      </c>
      <c r="P286" s="2">
        <f t="shared" ca="1" si="30"/>
        <v>0</v>
      </c>
    </row>
    <row r="287" spans="1:16" outlineLevel="1">
      <c r="A287" s="2" t="str">
        <f t="shared" si="26"/>
        <v/>
      </c>
      <c r="B287" t="str">
        <f t="shared" si="27"/>
        <v/>
      </c>
      <c r="C287" t="e">
        <f t="shared" si="28"/>
        <v>#REF!</v>
      </c>
      <c r="D287" s="330" t="s">
        <v>628</v>
      </c>
      <c r="E287"/>
      <c r="F287"/>
      <c r="G287"/>
      <c r="I287"/>
      <c r="K287" s="2">
        <f t="shared" si="29"/>
        <v>282</v>
      </c>
      <c r="O287" s="2">
        <f t="shared" ca="1" si="30"/>
        <v>0</v>
      </c>
      <c r="P287" s="2">
        <f t="shared" ca="1" si="30"/>
        <v>0</v>
      </c>
    </row>
    <row r="288" spans="1:16" outlineLevel="1">
      <c r="A288" s="2" t="str">
        <f t="shared" si="26"/>
        <v/>
      </c>
      <c r="B288" t="str">
        <f t="shared" si="27"/>
        <v/>
      </c>
      <c r="C288" t="e">
        <f t="shared" si="28"/>
        <v>#REF!</v>
      </c>
      <c r="D288" s="330" t="s">
        <v>628</v>
      </c>
      <c r="E288"/>
      <c r="F288"/>
      <c r="G288"/>
      <c r="I288"/>
      <c r="K288" s="2">
        <f t="shared" si="29"/>
        <v>283</v>
      </c>
      <c r="O288" s="2">
        <f t="shared" ca="1" si="30"/>
        <v>0</v>
      </c>
      <c r="P288" s="2">
        <f t="shared" ca="1" si="30"/>
        <v>0</v>
      </c>
    </row>
    <row r="289" spans="1:16" outlineLevel="1">
      <c r="A289" s="2" t="str">
        <f t="shared" si="26"/>
        <v/>
      </c>
      <c r="B289" t="str">
        <f t="shared" si="27"/>
        <v/>
      </c>
      <c r="C289" t="e">
        <f t="shared" si="28"/>
        <v>#REF!</v>
      </c>
      <c r="D289" s="330" t="s">
        <v>628</v>
      </c>
      <c r="E289"/>
      <c r="F289"/>
      <c r="G289"/>
      <c r="I289"/>
      <c r="K289" s="2">
        <f t="shared" si="29"/>
        <v>284</v>
      </c>
      <c r="O289" s="2">
        <f t="shared" ca="1" si="30"/>
        <v>0</v>
      </c>
      <c r="P289" s="2">
        <f t="shared" ca="1" si="30"/>
        <v>0</v>
      </c>
    </row>
    <row r="290" spans="1:16" outlineLevel="1">
      <c r="A290" s="2" t="str">
        <f t="shared" si="26"/>
        <v/>
      </c>
      <c r="B290" t="str">
        <f t="shared" si="27"/>
        <v/>
      </c>
      <c r="C290" t="e">
        <f t="shared" si="28"/>
        <v>#REF!</v>
      </c>
      <c r="D290" s="330" t="s">
        <v>628</v>
      </c>
      <c r="E290"/>
      <c r="F290"/>
      <c r="G290"/>
      <c r="I290"/>
      <c r="K290" s="2">
        <f t="shared" si="29"/>
        <v>285</v>
      </c>
      <c r="O290" s="2">
        <f t="shared" ca="1" si="30"/>
        <v>0</v>
      </c>
      <c r="P290" s="2">
        <f t="shared" ca="1" si="30"/>
        <v>0</v>
      </c>
    </row>
    <row r="291" spans="1:16" outlineLevel="1">
      <c r="A291" s="2" t="str">
        <f t="shared" ref="A291:A352" si="31">IF(B291="*",ROW(),"")</f>
        <v/>
      </c>
      <c r="B291" t="str">
        <f t="shared" ref="B291:B352" si="32">LEFT(E291,1)</f>
        <v/>
      </c>
      <c r="C291" t="e">
        <f t="shared" ref="C291:C352" si="33">IF(B291="*",RIGHT(E291,10),C290)</f>
        <v>#REF!</v>
      </c>
      <c r="D291" s="330" t="s">
        <v>628</v>
      </c>
      <c r="E291"/>
      <c r="F291"/>
      <c r="G291"/>
      <c r="I291"/>
      <c r="K291" s="2">
        <f t="shared" si="29"/>
        <v>286</v>
      </c>
      <c r="O291" s="2">
        <f t="shared" ca="1" si="30"/>
        <v>0</v>
      </c>
      <c r="P291" s="2">
        <f t="shared" ca="1" si="30"/>
        <v>0</v>
      </c>
    </row>
    <row r="292" spans="1:16" outlineLevel="1">
      <c r="A292" s="2" t="str">
        <f t="shared" si="31"/>
        <v/>
      </c>
      <c r="B292" t="str">
        <f t="shared" si="32"/>
        <v/>
      </c>
      <c r="C292" t="e">
        <f t="shared" si="33"/>
        <v>#REF!</v>
      </c>
      <c r="D292" s="330" t="s">
        <v>628</v>
      </c>
      <c r="E292"/>
      <c r="F292"/>
      <c r="G292"/>
      <c r="I292"/>
      <c r="K292" s="2">
        <f t="shared" si="29"/>
        <v>287</v>
      </c>
      <c r="O292" s="2">
        <f t="shared" ca="1" si="30"/>
        <v>0</v>
      </c>
      <c r="P292" s="2">
        <f t="shared" ca="1" si="30"/>
        <v>0</v>
      </c>
    </row>
    <row r="293" spans="1:16" outlineLevel="1">
      <c r="A293" s="2" t="str">
        <f t="shared" si="31"/>
        <v/>
      </c>
      <c r="B293" t="str">
        <f t="shared" si="32"/>
        <v/>
      </c>
      <c r="C293" t="e">
        <f t="shared" si="33"/>
        <v>#REF!</v>
      </c>
      <c r="D293" s="330" t="s">
        <v>628</v>
      </c>
      <c r="E293"/>
      <c r="F293"/>
      <c r="G293"/>
      <c r="I293"/>
      <c r="K293" s="2">
        <f t="shared" si="29"/>
        <v>288</v>
      </c>
      <c r="O293" s="2">
        <f t="shared" ca="1" si="30"/>
        <v>0</v>
      </c>
      <c r="P293" s="2">
        <f t="shared" ca="1" si="30"/>
        <v>0</v>
      </c>
    </row>
    <row r="294" spans="1:16" outlineLevel="1">
      <c r="A294" s="2" t="str">
        <f t="shared" si="31"/>
        <v/>
      </c>
      <c r="B294" t="str">
        <f t="shared" si="32"/>
        <v/>
      </c>
      <c r="C294" t="e">
        <f t="shared" si="33"/>
        <v>#REF!</v>
      </c>
      <c r="D294" s="330" t="s">
        <v>628</v>
      </c>
      <c r="E294"/>
      <c r="F294"/>
      <c r="G294"/>
      <c r="I294"/>
      <c r="K294" s="2">
        <f t="shared" si="29"/>
        <v>289</v>
      </c>
      <c r="O294" s="2">
        <f t="shared" ca="1" si="30"/>
        <v>0</v>
      </c>
      <c r="P294" s="2">
        <f t="shared" ca="1" si="30"/>
        <v>0</v>
      </c>
    </row>
    <row r="295" spans="1:16" outlineLevel="1">
      <c r="A295" s="2" t="str">
        <f t="shared" si="31"/>
        <v/>
      </c>
      <c r="B295" t="str">
        <f t="shared" si="32"/>
        <v/>
      </c>
      <c r="C295" t="e">
        <f t="shared" si="33"/>
        <v>#REF!</v>
      </c>
      <c r="D295" s="330" t="s">
        <v>628</v>
      </c>
      <c r="E295"/>
      <c r="F295"/>
      <c r="G295"/>
      <c r="I295"/>
      <c r="K295" s="2">
        <f t="shared" si="29"/>
        <v>290</v>
      </c>
      <c r="O295" s="2">
        <f t="shared" ca="1" si="30"/>
        <v>0</v>
      </c>
      <c r="P295" s="2">
        <f t="shared" ca="1" si="30"/>
        <v>0</v>
      </c>
    </row>
    <row r="296" spans="1:16" outlineLevel="1">
      <c r="A296" s="2" t="str">
        <f t="shared" si="31"/>
        <v/>
      </c>
      <c r="B296" t="str">
        <f t="shared" si="32"/>
        <v/>
      </c>
      <c r="C296" t="e">
        <f t="shared" si="33"/>
        <v>#REF!</v>
      </c>
      <c r="D296" s="330" t="s">
        <v>628</v>
      </c>
      <c r="E296"/>
      <c r="F296"/>
      <c r="G296"/>
      <c r="I296"/>
      <c r="K296" s="2">
        <f t="shared" si="29"/>
        <v>291</v>
      </c>
      <c r="O296" s="2">
        <f t="shared" ca="1" si="30"/>
        <v>0</v>
      </c>
      <c r="P296" s="2">
        <f t="shared" ca="1" si="30"/>
        <v>0</v>
      </c>
    </row>
    <row r="297" spans="1:16" outlineLevel="1">
      <c r="A297" s="2" t="str">
        <f t="shared" si="31"/>
        <v/>
      </c>
      <c r="B297" t="str">
        <f t="shared" si="32"/>
        <v/>
      </c>
      <c r="C297" t="e">
        <f t="shared" si="33"/>
        <v>#REF!</v>
      </c>
      <c r="D297" s="330" t="s">
        <v>628</v>
      </c>
      <c r="E297"/>
      <c r="F297"/>
      <c r="G297"/>
      <c r="I297"/>
      <c r="K297" s="2">
        <f t="shared" si="29"/>
        <v>292</v>
      </c>
      <c r="O297" s="2">
        <f t="shared" ca="1" si="30"/>
        <v>0</v>
      </c>
      <c r="P297" s="2">
        <f t="shared" ca="1" si="30"/>
        <v>0</v>
      </c>
    </row>
    <row r="298" spans="1:16" outlineLevel="1">
      <c r="A298" s="2" t="str">
        <f t="shared" si="31"/>
        <v/>
      </c>
      <c r="B298" t="str">
        <f t="shared" si="32"/>
        <v/>
      </c>
      <c r="C298" t="e">
        <f t="shared" si="33"/>
        <v>#REF!</v>
      </c>
      <c r="D298" s="330" t="s">
        <v>628</v>
      </c>
      <c r="E298"/>
      <c r="F298"/>
      <c r="G298"/>
      <c r="I298"/>
      <c r="K298" s="2">
        <f t="shared" si="29"/>
        <v>293</v>
      </c>
      <c r="O298" s="2">
        <f t="shared" ca="1" si="30"/>
        <v>0</v>
      </c>
      <c r="P298" s="2">
        <f t="shared" ca="1" si="30"/>
        <v>0</v>
      </c>
    </row>
    <row r="299" spans="1:16" outlineLevel="1">
      <c r="A299" s="2" t="str">
        <f t="shared" si="31"/>
        <v/>
      </c>
      <c r="B299" t="str">
        <f t="shared" si="32"/>
        <v/>
      </c>
      <c r="C299" t="e">
        <f t="shared" si="33"/>
        <v>#REF!</v>
      </c>
      <c r="D299" s="330" t="s">
        <v>628</v>
      </c>
      <c r="E299"/>
      <c r="F299"/>
      <c r="G299"/>
      <c r="I299"/>
      <c r="K299" s="2">
        <f t="shared" si="29"/>
        <v>294</v>
      </c>
      <c r="O299" s="2">
        <f t="shared" ca="1" si="30"/>
        <v>0</v>
      </c>
      <c r="P299" s="2">
        <f t="shared" ca="1" si="30"/>
        <v>0</v>
      </c>
    </row>
    <row r="300" spans="1:16" outlineLevel="1">
      <c r="A300" s="2" t="str">
        <f t="shared" si="31"/>
        <v/>
      </c>
      <c r="B300" t="str">
        <f t="shared" si="32"/>
        <v/>
      </c>
      <c r="C300" t="e">
        <f t="shared" si="33"/>
        <v>#REF!</v>
      </c>
      <c r="D300" s="330" t="s">
        <v>628</v>
      </c>
      <c r="E300"/>
      <c r="F300"/>
      <c r="G300"/>
      <c r="I300"/>
      <c r="K300" s="2">
        <f t="shared" si="29"/>
        <v>295</v>
      </c>
      <c r="O300" s="2">
        <f t="shared" ca="1" si="30"/>
        <v>0</v>
      </c>
      <c r="P300" s="2">
        <f t="shared" ca="1" si="30"/>
        <v>0</v>
      </c>
    </row>
    <row r="301" spans="1:16" outlineLevel="1">
      <c r="A301" s="2" t="str">
        <f t="shared" si="31"/>
        <v/>
      </c>
      <c r="B301" t="str">
        <f t="shared" si="32"/>
        <v/>
      </c>
      <c r="C301" t="e">
        <f t="shared" si="33"/>
        <v>#REF!</v>
      </c>
      <c r="D301" s="330" t="s">
        <v>628</v>
      </c>
      <c r="E301"/>
      <c r="F301"/>
      <c r="G301"/>
      <c r="I301"/>
      <c r="K301" s="2">
        <f t="shared" si="29"/>
        <v>296</v>
      </c>
      <c r="O301" s="2">
        <f t="shared" ca="1" si="30"/>
        <v>0</v>
      </c>
      <c r="P301" s="2">
        <f t="shared" ca="1" si="30"/>
        <v>0</v>
      </c>
    </row>
    <row r="302" spans="1:16" outlineLevel="1">
      <c r="A302" s="2" t="str">
        <f t="shared" si="31"/>
        <v/>
      </c>
      <c r="B302" t="str">
        <f t="shared" si="32"/>
        <v/>
      </c>
      <c r="C302" t="e">
        <f t="shared" si="33"/>
        <v>#REF!</v>
      </c>
      <c r="D302" s="330" t="s">
        <v>628</v>
      </c>
      <c r="E302"/>
      <c r="F302"/>
      <c r="G302"/>
      <c r="I302"/>
      <c r="K302" s="2">
        <f t="shared" si="29"/>
        <v>297</v>
      </c>
      <c r="O302" s="2">
        <f t="shared" ca="1" si="30"/>
        <v>0</v>
      </c>
      <c r="P302" s="2">
        <f t="shared" ca="1" si="30"/>
        <v>0</v>
      </c>
    </row>
    <row r="303" spans="1:16" outlineLevel="1">
      <c r="A303" s="2" t="str">
        <f t="shared" si="31"/>
        <v/>
      </c>
      <c r="B303" t="str">
        <f t="shared" si="32"/>
        <v/>
      </c>
      <c r="C303" t="e">
        <f t="shared" si="33"/>
        <v>#REF!</v>
      </c>
      <c r="D303" s="330" t="s">
        <v>628</v>
      </c>
      <c r="E303"/>
      <c r="F303"/>
      <c r="G303"/>
      <c r="I303"/>
      <c r="K303" s="2">
        <f t="shared" si="29"/>
        <v>298</v>
      </c>
      <c r="O303" s="2">
        <f t="shared" ca="1" si="30"/>
        <v>0</v>
      </c>
      <c r="P303" s="2">
        <f t="shared" ca="1" si="30"/>
        <v>0</v>
      </c>
    </row>
    <row r="304" spans="1:16" outlineLevel="1">
      <c r="A304" s="2" t="str">
        <f t="shared" si="31"/>
        <v/>
      </c>
      <c r="B304" t="str">
        <f t="shared" si="32"/>
        <v/>
      </c>
      <c r="C304" t="e">
        <f t="shared" si="33"/>
        <v>#REF!</v>
      </c>
      <c r="D304" s="330" t="s">
        <v>628</v>
      </c>
      <c r="E304"/>
      <c r="F304"/>
      <c r="G304"/>
      <c r="I304"/>
      <c r="K304" s="2">
        <f t="shared" si="29"/>
        <v>299</v>
      </c>
      <c r="O304" s="2">
        <f t="shared" ca="1" si="30"/>
        <v>0</v>
      </c>
      <c r="P304" s="2">
        <f t="shared" ca="1" si="30"/>
        <v>0</v>
      </c>
    </row>
    <row r="305" spans="1:16" outlineLevel="1">
      <c r="A305" s="2" t="str">
        <f t="shared" si="31"/>
        <v/>
      </c>
      <c r="B305" t="str">
        <f t="shared" si="32"/>
        <v/>
      </c>
      <c r="C305" t="e">
        <f t="shared" si="33"/>
        <v>#REF!</v>
      </c>
      <c r="D305" s="330" t="s">
        <v>628</v>
      </c>
      <c r="E305"/>
      <c r="F305"/>
      <c r="G305"/>
      <c r="I305"/>
      <c r="K305" s="2">
        <f t="shared" si="29"/>
        <v>300</v>
      </c>
      <c r="O305" s="2">
        <f t="shared" ca="1" si="30"/>
        <v>0</v>
      </c>
      <c r="P305" s="2">
        <f t="shared" ca="1" si="30"/>
        <v>0</v>
      </c>
    </row>
    <row r="306" spans="1:16" outlineLevel="1">
      <c r="A306" s="2" t="str">
        <f t="shared" si="31"/>
        <v/>
      </c>
      <c r="B306" t="str">
        <f t="shared" si="32"/>
        <v/>
      </c>
      <c r="C306" t="e">
        <f t="shared" si="33"/>
        <v>#REF!</v>
      </c>
      <c r="D306" s="330" t="s">
        <v>628</v>
      </c>
      <c r="E306"/>
      <c r="F306"/>
      <c r="G306"/>
      <c r="I306"/>
      <c r="K306" s="2">
        <f t="shared" si="29"/>
        <v>301</v>
      </c>
      <c r="O306" s="2">
        <f t="shared" ca="1" si="30"/>
        <v>0</v>
      </c>
      <c r="P306" s="2">
        <f t="shared" ca="1" si="30"/>
        <v>0</v>
      </c>
    </row>
    <row r="307" spans="1:16" outlineLevel="1">
      <c r="A307" s="2" t="str">
        <f t="shared" si="31"/>
        <v/>
      </c>
      <c r="B307" t="str">
        <f t="shared" si="32"/>
        <v/>
      </c>
      <c r="C307" t="e">
        <f t="shared" si="33"/>
        <v>#REF!</v>
      </c>
      <c r="D307" s="330" t="s">
        <v>628</v>
      </c>
      <c r="E307"/>
      <c r="F307"/>
      <c r="G307"/>
      <c r="I307"/>
      <c r="K307" s="2">
        <f t="shared" si="29"/>
        <v>302</v>
      </c>
      <c r="O307" s="2">
        <f t="shared" ca="1" si="30"/>
        <v>0</v>
      </c>
      <c r="P307" s="2">
        <f t="shared" ca="1" si="30"/>
        <v>0</v>
      </c>
    </row>
    <row r="308" spans="1:16" outlineLevel="1">
      <c r="A308" s="2" t="str">
        <f t="shared" si="31"/>
        <v/>
      </c>
      <c r="B308" t="str">
        <f t="shared" si="32"/>
        <v/>
      </c>
      <c r="C308" t="e">
        <f t="shared" si="33"/>
        <v>#REF!</v>
      </c>
      <c r="D308" s="330" t="s">
        <v>628</v>
      </c>
      <c r="E308"/>
      <c r="F308"/>
      <c r="G308"/>
      <c r="I308"/>
      <c r="K308" s="2">
        <f t="shared" si="29"/>
        <v>303</v>
      </c>
      <c r="O308" s="2">
        <f t="shared" ca="1" si="30"/>
        <v>0</v>
      </c>
      <c r="P308" s="2">
        <f t="shared" ca="1" si="30"/>
        <v>0</v>
      </c>
    </row>
    <row r="309" spans="1:16" outlineLevel="1">
      <c r="A309" s="2" t="str">
        <f t="shared" si="31"/>
        <v/>
      </c>
      <c r="B309" t="str">
        <f t="shared" si="32"/>
        <v/>
      </c>
      <c r="C309" t="e">
        <f t="shared" si="33"/>
        <v>#REF!</v>
      </c>
      <c r="D309" s="330" t="s">
        <v>628</v>
      </c>
      <c r="E309"/>
      <c r="F309"/>
      <c r="G309"/>
      <c r="I309"/>
      <c r="K309" s="2">
        <f t="shared" si="29"/>
        <v>304</v>
      </c>
      <c r="O309" s="2">
        <f t="shared" ca="1" si="30"/>
        <v>0</v>
      </c>
      <c r="P309" s="2">
        <f t="shared" ca="1" si="30"/>
        <v>0</v>
      </c>
    </row>
    <row r="310" spans="1:16" outlineLevel="1">
      <c r="A310" s="2" t="str">
        <f t="shared" si="31"/>
        <v/>
      </c>
      <c r="B310" t="str">
        <f t="shared" si="32"/>
        <v/>
      </c>
      <c r="C310" t="e">
        <f t="shared" si="33"/>
        <v>#REF!</v>
      </c>
      <c r="D310" s="330" t="s">
        <v>628</v>
      </c>
      <c r="E310"/>
      <c r="F310"/>
      <c r="G310"/>
      <c r="I310"/>
      <c r="K310" s="2">
        <f t="shared" si="29"/>
        <v>305</v>
      </c>
      <c r="O310" s="2">
        <f t="shared" ca="1" si="30"/>
        <v>0</v>
      </c>
      <c r="P310" s="2">
        <f t="shared" ca="1" si="30"/>
        <v>0</v>
      </c>
    </row>
    <row r="311" spans="1:16" outlineLevel="1">
      <c r="A311" s="2" t="str">
        <f t="shared" si="31"/>
        <v/>
      </c>
      <c r="B311" t="str">
        <f t="shared" si="32"/>
        <v/>
      </c>
      <c r="C311" t="e">
        <f t="shared" si="33"/>
        <v>#REF!</v>
      </c>
      <c r="D311" s="330" t="s">
        <v>628</v>
      </c>
      <c r="E311"/>
      <c r="F311"/>
      <c r="G311"/>
      <c r="I311"/>
      <c r="K311" s="2">
        <f t="shared" si="29"/>
        <v>306</v>
      </c>
      <c r="O311" s="2">
        <f t="shared" ca="1" si="30"/>
        <v>0</v>
      </c>
      <c r="P311" s="2">
        <f t="shared" ca="1" si="30"/>
        <v>0</v>
      </c>
    </row>
    <row r="312" spans="1:16" outlineLevel="1">
      <c r="A312" s="2" t="str">
        <f t="shared" si="31"/>
        <v/>
      </c>
      <c r="B312" t="str">
        <f t="shared" si="32"/>
        <v/>
      </c>
      <c r="C312" t="e">
        <f t="shared" si="33"/>
        <v>#REF!</v>
      </c>
      <c r="D312" s="330" t="s">
        <v>628</v>
      </c>
      <c r="E312"/>
      <c r="F312"/>
      <c r="G312"/>
      <c r="I312"/>
      <c r="K312" s="2">
        <f t="shared" si="29"/>
        <v>307</v>
      </c>
      <c r="O312" s="2">
        <f t="shared" ca="1" si="30"/>
        <v>0</v>
      </c>
      <c r="P312" s="2">
        <f t="shared" ca="1" si="30"/>
        <v>0</v>
      </c>
    </row>
    <row r="313" spans="1:16" outlineLevel="1">
      <c r="A313" s="2" t="str">
        <f t="shared" si="31"/>
        <v/>
      </c>
      <c r="B313" t="str">
        <f t="shared" si="32"/>
        <v/>
      </c>
      <c r="C313" t="e">
        <f t="shared" si="33"/>
        <v>#REF!</v>
      </c>
      <c r="D313" s="330" t="s">
        <v>628</v>
      </c>
      <c r="E313"/>
      <c r="F313"/>
      <c r="G313"/>
      <c r="I313"/>
      <c r="K313" s="2">
        <f t="shared" si="29"/>
        <v>308</v>
      </c>
      <c r="O313" s="2">
        <f t="shared" ca="1" si="30"/>
        <v>0</v>
      </c>
      <c r="P313" s="2">
        <f t="shared" ca="1" si="30"/>
        <v>0</v>
      </c>
    </row>
    <row r="314" spans="1:16" outlineLevel="1">
      <c r="A314" s="2" t="str">
        <f t="shared" si="31"/>
        <v/>
      </c>
      <c r="B314" t="str">
        <f t="shared" si="32"/>
        <v/>
      </c>
      <c r="C314" t="e">
        <f t="shared" si="33"/>
        <v>#REF!</v>
      </c>
      <c r="D314" s="330" t="s">
        <v>628</v>
      </c>
      <c r="E314"/>
      <c r="F314"/>
      <c r="G314"/>
      <c r="I314"/>
      <c r="K314" s="2">
        <f t="shared" si="29"/>
        <v>309</v>
      </c>
      <c r="O314" s="2">
        <f t="shared" ca="1" si="30"/>
        <v>0</v>
      </c>
      <c r="P314" s="2">
        <f t="shared" ca="1" si="30"/>
        <v>0</v>
      </c>
    </row>
    <row r="315" spans="1:16" outlineLevel="1">
      <c r="A315" s="2" t="str">
        <f t="shared" si="31"/>
        <v/>
      </c>
      <c r="B315" t="str">
        <f t="shared" si="32"/>
        <v/>
      </c>
      <c r="C315" t="e">
        <f t="shared" si="33"/>
        <v>#REF!</v>
      </c>
      <c r="D315" s="330" t="s">
        <v>628</v>
      </c>
      <c r="E315"/>
      <c r="F315"/>
      <c r="G315"/>
      <c r="I315"/>
      <c r="K315" s="2">
        <f t="shared" si="29"/>
        <v>310</v>
      </c>
      <c r="O315" s="2">
        <f t="shared" ca="1" si="30"/>
        <v>0</v>
      </c>
      <c r="P315" s="2">
        <f t="shared" ca="1" si="30"/>
        <v>0</v>
      </c>
    </row>
    <row r="316" spans="1:16" outlineLevel="1">
      <c r="A316" s="2" t="str">
        <f t="shared" si="31"/>
        <v/>
      </c>
      <c r="B316" t="str">
        <f t="shared" si="32"/>
        <v/>
      </c>
      <c r="C316" t="e">
        <f t="shared" si="33"/>
        <v>#REF!</v>
      </c>
      <c r="D316" s="330" t="s">
        <v>628</v>
      </c>
      <c r="E316"/>
      <c r="F316"/>
      <c r="G316"/>
      <c r="I316"/>
      <c r="K316" s="2">
        <f t="shared" si="29"/>
        <v>311</v>
      </c>
      <c r="O316" s="2">
        <f t="shared" ca="1" si="30"/>
        <v>0</v>
      </c>
      <c r="P316" s="2">
        <f t="shared" ca="1" si="30"/>
        <v>0</v>
      </c>
    </row>
    <row r="317" spans="1:16" outlineLevel="1">
      <c r="A317" s="2" t="str">
        <f t="shared" si="31"/>
        <v/>
      </c>
      <c r="B317" t="str">
        <f t="shared" si="32"/>
        <v/>
      </c>
      <c r="C317" t="e">
        <f t="shared" si="33"/>
        <v>#REF!</v>
      </c>
      <c r="D317" s="330" t="s">
        <v>628</v>
      </c>
      <c r="E317"/>
      <c r="F317"/>
      <c r="G317"/>
      <c r="I317"/>
      <c r="K317" s="2">
        <f t="shared" si="29"/>
        <v>312</v>
      </c>
      <c r="O317" s="2">
        <f t="shared" ca="1" si="30"/>
        <v>0</v>
      </c>
      <c r="P317" s="2">
        <f t="shared" ca="1" si="30"/>
        <v>0</v>
      </c>
    </row>
    <row r="318" spans="1:16" outlineLevel="1">
      <c r="A318" s="2" t="str">
        <f t="shared" si="31"/>
        <v/>
      </c>
      <c r="B318" t="str">
        <f t="shared" si="32"/>
        <v/>
      </c>
      <c r="C318" t="e">
        <f t="shared" si="33"/>
        <v>#REF!</v>
      </c>
      <c r="D318" s="330" t="s">
        <v>628</v>
      </c>
      <c r="E318"/>
      <c r="F318"/>
      <c r="G318"/>
      <c r="I318"/>
      <c r="K318" s="2">
        <f t="shared" si="29"/>
        <v>313</v>
      </c>
      <c r="O318" s="2">
        <f t="shared" ca="1" si="30"/>
        <v>0</v>
      </c>
      <c r="P318" s="2">
        <f t="shared" ca="1" si="30"/>
        <v>0</v>
      </c>
    </row>
    <row r="319" spans="1:16" outlineLevel="1">
      <c r="A319" s="2" t="str">
        <f t="shared" si="31"/>
        <v/>
      </c>
      <c r="B319" t="str">
        <f t="shared" si="32"/>
        <v/>
      </c>
      <c r="C319" t="e">
        <f t="shared" si="33"/>
        <v>#REF!</v>
      </c>
      <c r="D319" s="330" t="s">
        <v>628</v>
      </c>
      <c r="E319"/>
      <c r="F319"/>
      <c r="G319"/>
      <c r="I319"/>
      <c r="K319" s="2">
        <f t="shared" si="29"/>
        <v>314</v>
      </c>
      <c r="O319" s="2">
        <f t="shared" ca="1" si="30"/>
        <v>0</v>
      </c>
      <c r="P319" s="2">
        <f t="shared" ca="1" si="30"/>
        <v>0</v>
      </c>
    </row>
    <row r="320" spans="1:16" outlineLevel="1">
      <c r="A320" s="2" t="str">
        <f t="shared" si="31"/>
        <v/>
      </c>
      <c r="B320" t="str">
        <f t="shared" si="32"/>
        <v/>
      </c>
      <c r="C320" t="e">
        <f t="shared" si="33"/>
        <v>#REF!</v>
      </c>
      <c r="D320" s="330" t="s">
        <v>628</v>
      </c>
      <c r="E320"/>
      <c r="F320"/>
      <c r="G320"/>
      <c r="I320"/>
      <c r="K320" s="2">
        <f t="shared" si="29"/>
        <v>315</v>
      </c>
      <c r="O320" s="2">
        <f t="shared" ca="1" si="30"/>
        <v>0</v>
      </c>
      <c r="P320" s="2">
        <f t="shared" ca="1" si="30"/>
        <v>0</v>
      </c>
    </row>
    <row r="321" spans="1:16" outlineLevel="1">
      <c r="A321" s="2" t="str">
        <f t="shared" si="31"/>
        <v/>
      </c>
      <c r="B321" t="str">
        <f t="shared" si="32"/>
        <v/>
      </c>
      <c r="C321" t="e">
        <f t="shared" si="33"/>
        <v>#REF!</v>
      </c>
      <c r="D321" s="330" t="s">
        <v>628</v>
      </c>
      <c r="E321"/>
      <c r="F321"/>
      <c r="G321"/>
      <c r="I321"/>
      <c r="K321" s="2">
        <f t="shared" si="29"/>
        <v>316</v>
      </c>
      <c r="O321" s="2">
        <f t="shared" ca="1" si="30"/>
        <v>0</v>
      </c>
      <c r="P321" s="2">
        <f t="shared" ca="1" si="30"/>
        <v>0</v>
      </c>
    </row>
    <row r="322" spans="1:16" outlineLevel="1">
      <c r="A322" s="2" t="str">
        <f t="shared" si="31"/>
        <v/>
      </c>
      <c r="B322" t="str">
        <f t="shared" si="32"/>
        <v/>
      </c>
      <c r="C322" t="e">
        <f t="shared" si="33"/>
        <v>#REF!</v>
      </c>
      <c r="D322" s="330" t="s">
        <v>628</v>
      </c>
      <c r="E322"/>
      <c r="F322"/>
      <c r="G322"/>
      <c r="I322"/>
      <c r="K322" s="2">
        <f t="shared" si="29"/>
        <v>317</v>
      </c>
      <c r="O322" s="2">
        <f t="shared" ca="1" si="30"/>
        <v>0</v>
      </c>
      <c r="P322" s="2">
        <f t="shared" ca="1" si="30"/>
        <v>0</v>
      </c>
    </row>
    <row r="323" spans="1:16" outlineLevel="1">
      <c r="A323" s="2" t="str">
        <f t="shared" si="31"/>
        <v/>
      </c>
      <c r="B323" t="str">
        <f t="shared" si="32"/>
        <v/>
      </c>
      <c r="C323" t="e">
        <f t="shared" si="33"/>
        <v>#REF!</v>
      </c>
      <c r="D323" s="330" t="s">
        <v>628</v>
      </c>
      <c r="E323"/>
      <c r="F323"/>
      <c r="G323"/>
      <c r="I323"/>
      <c r="K323" s="2">
        <f t="shared" si="29"/>
        <v>318</v>
      </c>
      <c r="O323" s="2">
        <f t="shared" ca="1" si="30"/>
        <v>0</v>
      </c>
      <c r="P323" s="2">
        <f t="shared" ca="1" si="30"/>
        <v>0</v>
      </c>
    </row>
    <row r="324" spans="1:16" outlineLevel="1">
      <c r="A324" s="2" t="str">
        <f t="shared" si="31"/>
        <v/>
      </c>
      <c r="B324" t="str">
        <f t="shared" si="32"/>
        <v/>
      </c>
      <c r="C324" t="e">
        <f t="shared" si="33"/>
        <v>#REF!</v>
      </c>
      <c r="D324" s="330" t="s">
        <v>628</v>
      </c>
      <c r="E324"/>
      <c r="F324"/>
      <c r="G324"/>
      <c r="I324"/>
      <c r="K324" s="2">
        <f t="shared" si="29"/>
        <v>319</v>
      </c>
      <c r="O324" s="2">
        <f t="shared" ca="1" si="30"/>
        <v>0</v>
      </c>
      <c r="P324" s="2">
        <f t="shared" ca="1" si="30"/>
        <v>0</v>
      </c>
    </row>
    <row r="325" spans="1:16" outlineLevel="1">
      <c r="A325" s="2" t="str">
        <f t="shared" si="31"/>
        <v/>
      </c>
      <c r="B325" t="str">
        <f t="shared" si="32"/>
        <v/>
      </c>
      <c r="C325" t="e">
        <f t="shared" si="33"/>
        <v>#REF!</v>
      </c>
      <c r="D325" s="330" t="s">
        <v>628</v>
      </c>
      <c r="E325"/>
      <c r="F325"/>
      <c r="G325"/>
      <c r="I325"/>
      <c r="K325" s="2">
        <f t="shared" si="29"/>
        <v>320</v>
      </c>
      <c r="O325" s="2">
        <f t="shared" ca="1" si="30"/>
        <v>0</v>
      </c>
      <c r="P325" s="2">
        <f t="shared" ca="1" si="30"/>
        <v>0</v>
      </c>
    </row>
    <row r="326" spans="1:16" outlineLevel="1">
      <c r="A326" s="2" t="str">
        <f t="shared" si="31"/>
        <v/>
      </c>
      <c r="B326" t="str">
        <f t="shared" si="32"/>
        <v/>
      </c>
      <c r="C326" t="e">
        <f t="shared" si="33"/>
        <v>#REF!</v>
      </c>
      <c r="D326" s="330" t="s">
        <v>628</v>
      </c>
      <c r="E326"/>
      <c r="F326"/>
      <c r="G326"/>
      <c r="I326"/>
      <c r="K326" s="2">
        <f t="shared" si="29"/>
        <v>321</v>
      </c>
      <c r="O326" s="2">
        <f t="shared" ca="1" si="30"/>
        <v>0</v>
      </c>
      <c r="P326" s="2">
        <f t="shared" ca="1" si="30"/>
        <v>0</v>
      </c>
    </row>
    <row r="327" spans="1:16" outlineLevel="1">
      <c r="A327" s="2" t="str">
        <f t="shared" si="31"/>
        <v/>
      </c>
      <c r="B327" t="str">
        <f t="shared" si="32"/>
        <v/>
      </c>
      <c r="C327" t="e">
        <f t="shared" si="33"/>
        <v>#REF!</v>
      </c>
      <c r="D327" s="330" t="s">
        <v>628</v>
      </c>
      <c r="E327"/>
      <c r="F327"/>
      <c r="G327"/>
      <c r="I327"/>
      <c r="K327" s="2">
        <f t="shared" si="29"/>
        <v>322</v>
      </c>
      <c r="O327" s="2">
        <f t="shared" ca="1" si="30"/>
        <v>0</v>
      </c>
      <c r="P327" s="2">
        <f t="shared" ca="1" si="30"/>
        <v>0</v>
      </c>
    </row>
    <row r="328" spans="1:16" outlineLevel="1">
      <c r="A328" s="2" t="str">
        <f t="shared" si="31"/>
        <v/>
      </c>
      <c r="B328" t="str">
        <f t="shared" si="32"/>
        <v/>
      </c>
      <c r="C328" t="e">
        <f t="shared" si="33"/>
        <v>#REF!</v>
      </c>
      <c r="D328" s="330" t="s">
        <v>628</v>
      </c>
      <c r="E328"/>
      <c r="F328"/>
      <c r="G328"/>
      <c r="I328"/>
      <c r="K328" s="2">
        <f t="shared" ref="K328:K391" si="34">K327+1</f>
        <v>323</v>
      </c>
      <c r="O328" s="2">
        <f t="shared" ca="1" si="30"/>
        <v>0</v>
      </c>
      <c r="P328" s="2">
        <f t="shared" ca="1" si="30"/>
        <v>0</v>
      </c>
    </row>
    <row r="329" spans="1:16" outlineLevel="1">
      <c r="A329" s="2" t="str">
        <f t="shared" si="31"/>
        <v/>
      </c>
      <c r="B329" t="str">
        <f t="shared" si="32"/>
        <v/>
      </c>
      <c r="C329" t="e">
        <f t="shared" si="33"/>
        <v>#REF!</v>
      </c>
      <c r="D329" s="330" t="s">
        <v>628</v>
      </c>
      <c r="E329"/>
      <c r="F329"/>
      <c r="G329"/>
      <c r="I329"/>
      <c r="K329" s="2">
        <f t="shared" si="34"/>
        <v>324</v>
      </c>
      <c r="O329" s="2">
        <f t="shared" ca="1" si="30"/>
        <v>0</v>
      </c>
      <c r="P329" s="2">
        <f t="shared" ca="1" si="30"/>
        <v>0</v>
      </c>
    </row>
    <row r="330" spans="1:16" outlineLevel="1">
      <c r="A330" s="2" t="str">
        <f t="shared" si="31"/>
        <v/>
      </c>
      <c r="B330" t="str">
        <f t="shared" si="32"/>
        <v/>
      </c>
      <c r="C330" t="e">
        <f t="shared" si="33"/>
        <v>#REF!</v>
      </c>
      <c r="D330" s="330" t="s">
        <v>628</v>
      </c>
      <c r="E330"/>
      <c r="F330"/>
      <c r="G330"/>
      <c r="I330"/>
      <c r="K330" s="2">
        <f t="shared" si="34"/>
        <v>325</v>
      </c>
      <c r="O330" s="2">
        <f t="shared" ca="1" si="30"/>
        <v>0</v>
      </c>
      <c r="P330" s="2">
        <f t="shared" ca="1" si="30"/>
        <v>0</v>
      </c>
    </row>
    <row r="331" spans="1:16" outlineLevel="1">
      <c r="A331" s="2" t="str">
        <f t="shared" si="31"/>
        <v/>
      </c>
      <c r="B331" t="str">
        <f t="shared" si="32"/>
        <v/>
      </c>
      <c r="C331" t="e">
        <f t="shared" si="33"/>
        <v>#REF!</v>
      </c>
      <c r="D331" s="330" t="s">
        <v>628</v>
      </c>
      <c r="E331"/>
      <c r="F331"/>
      <c r="G331"/>
      <c r="I331"/>
      <c r="K331" s="2">
        <f t="shared" si="34"/>
        <v>326</v>
      </c>
      <c r="O331" s="2">
        <f t="shared" ca="1" si="30"/>
        <v>0</v>
      </c>
      <c r="P331" s="2">
        <f t="shared" ca="1" si="30"/>
        <v>0</v>
      </c>
    </row>
    <row r="332" spans="1:16" outlineLevel="1">
      <c r="A332" s="2" t="str">
        <f t="shared" si="31"/>
        <v/>
      </c>
      <c r="B332" t="str">
        <f t="shared" si="32"/>
        <v/>
      </c>
      <c r="C332" t="e">
        <f t="shared" si="33"/>
        <v>#REF!</v>
      </c>
      <c r="D332" s="330" t="s">
        <v>628</v>
      </c>
      <c r="E332"/>
      <c r="F332"/>
      <c r="G332"/>
      <c r="I332"/>
      <c r="K332" s="2">
        <f t="shared" si="34"/>
        <v>327</v>
      </c>
      <c r="O332" s="2">
        <f t="shared" ca="1" si="30"/>
        <v>0</v>
      </c>
      <c r="P332" s="2">
        <f t="shared" ca="1" si="30"/>
        <v>0</v>
      </c>
    </row>
    <row r="333" spans="1:16" outlineLevel="1">
      <c r="A333" s="2" t="str">
        <f t="shared" si="31"/>
        <v/>
      </c>
      <c r="B333" t="str">
        <f t="shared" si="32"/>
        <v/>
      </c>
      <c r="C333" t="e">
        <f t="shared" si="33"/>
        <v>#REF!</v>
      </c>
      <c r="D333" s="330" t="s">
        <v>628</v>
      </c>
      <c r="E333"/>
      <c r="F333"/>
      <c r="G333"/>
      <c r="I333"/>
      <c r="K333" s="2">
        <f t="shared" si="34"/>
        <v>328</v>
      </c>
      <c r="O333" s="2">
        <f t="shared" ca="1" si="30"/>
        <v>0</v>
      </c>
      <c r="P333" s="2">
        <f t="shared" ca="1" si="30"/>
        <v>0</v>
      </c>
    </row>
    <row r="334" spans="1:16" outlineLevel="1">
      <c r="A334" s="2" t="str">
        <f t="shared" si="31"/>
        <v/>
      </c>
      <c r="B334" t="str">
        <f t="shared" si="32"/>
        <v/>
      </c>
      <c r="C334" t="e">
        <f t="shared" si="33"/>
        <v>#REF!</v>
      </c>
      <c r="D334" s="330" t="s">
        <v>628</v>
      </c>
      <c r="E334"/>
      <c r="F334"/>
      <c r="G334"/>
      <c r="I334"/>
      <c r="K334" s="2">
        <f t="shared" si="34"/>
        <v>329</v>
      </c>
      <c r="O334" s="2">
        <f t="shared" ca="1" si="30"/>
        <v>0</v>
      </c>
      <c r="P334" s="2">
        <f t="shared" ca="1" si="30"/>
        <v>0</v>
      </c>
    </row>
    <row r="335" spans="1:16" outlineLevel="1">
      <c r="A335" s="2" t="str">
        <f t="shared" si="31"/>
        <v/>
      </c>
      <c r="B335" t="str">
        <f t="shared" si="32"/>
        <v/>
      </c>
      <c r="C335" t="e">
        <f t="shared" si="33"/>
        <v>#REF!</v>
      </c>
      <c r="D335" s="330" t="s">
        <v>628</v>
      </c>
      <c r="E335"/>
      <c r="F335"/>
      <c r="G335"/>
      <c r="I335"/>
      <c r="K335" s="2">
        <f t="shared" si="34"/>
        <v>330</v>
      </c>
      <c r="O335" s="2">
        <f t="shared" ca="1" si="30"/>
        <v>0</v>
      </c>
      <c r="P335" s="2">
        <f t="shared" ca="1" si="30"/>
        <v>0</v>
      </c>
    </row>
    <row r="336" spans="1:16" outlineLevel="1">
      <c r="A336" s="2" t="str">
        <f t="shared" si="31"/>
        <v/>
      </c>
      <c r="B336" t="str">
        <f t="shared" si="32"/>
        <v/>
      </c>
      <c r="C336" t="e">
        <f t="shared" si="33"/>
        <v>#REF!</v>
      </c>
      <c r="D336" s="330" t="s">
        <v>628</v>
      </c>
      <c r="E336"/>
      <c r="F336"/>
      <c r="G336"/>
      <c r="I336"/>
      <c r="K336" s="2">
        <f t="shared" si="34"/>
        <v>331</v>
      </c>
      <c r="O336" s="2">
        <f t="shared" ca="1" si="30"/>
        <v>0</v>
      </c>
      <c r="P336" s="2">
        <f t="shared" ca="1" si="30"/>
        <v>0</v>
      </c>
    </row>
    <row r="337" spans="1:16" outlineLevel="1">
      <c r="A337" s="2" t="str">
        <f t="shared" si="31"/>
        <v/>
      </c>
      <c r="B337" t="str">
        <f t="shared" si="32"/>
        <v/>
      </c>
      <c r="C337" t="e">
        <f t="shared" si="33"/>
        <v>#REF!</v>
      </c>
      <c r="D337" s="330" t="s">
        <v>628</v>
      </c>
      <c r="E337"/>
      <c r="F337"/>
      <c r="G337"/>
      <c r="I337"/>
      <c r="K337" s="2">
        <f t="shared" si="34"/>
        <v>332</v>
      </c>
      <c r="O337" s="2">
        <f t="shared" ca="1" si="30"/>
        <v>0</v>
      </c>
      <c r="P337" s="2">
        <f t="shared" ca="1" si="30"/>
        <v>0</v>
      </c>
    </row>
    <row r="338" spans="1:16" outlineLevel="1">
      <c r="A338" s="2" t="str">
        <f t="shared" si="31"/>
        <v/>
      </c>
      <c r="B338" t="str">
        <f t="shared" si="32"/>
        <v/>
      </c>
      <c r="C338" t="e">
        <f t="shared" si="33"/>
        <v>#REF!</v>
      </c>
      <c r="D338" s="330" t="s">
        <v>628</v>
      </c>
      <c r="E338"/>
      <c r="F338"/>
      <c r="G338"/>
      <c r="I338"/>
      <c r="K338" s="2">
        <f t="shared" si="34"/>
        <v>333</v>
      </c>
      <c r="O338" s="2">
        <f t="shared" ca="1" si="30"/>
        <v>0</v>
      </c>
      <c r="P338" s="2">
        <f t="shared" ca="1" si="30"/>
        <v>0</v>
      </c>
    </row>
    <row r="339" spans="1:16" outlineLevel="1">
      <c r="A339" s="2" t="str">
        <f t="shared" si="31"/>
        <v/>
      </c>
      <c r="B339" t="str">
        <f t="shared" si="32"/>
        <v/>
      </c>
      <c r="C339" t="e">
        <f t="shared" si="33"/>
        <v>#REF!</v>
      </c>
      <c r="D339" s="330" t="s">
        <v>628</v>
      </c>
      <c r="E339"/>
      <c r="F339"/>
      <c r="G339"/>
      <c r="I339"/>
      <c r="K339" s="2">
        <f t="shared" si="34"/>
        <v>334</v>
      </c>
      <c r="O339" s="2">
        <f t="shared" ca="1" si="30"/>
        <v>0</v>
      </c>
      <c r="P339" s="2">
        <f t="shared" ca="1" si="30"/>
        <v>0</v>
      </c>
    </row>
    <row r="340" spans="1:16" outlineLevel="1">
      <c r="A340" s="2" t="str">
        <f t="shared" si="31"/>
        <v/>
      </c>
      <c r="B340" t="str">
        <f t="shared" si="32"/>
        <v/>
      </c>
      <c r="C340" t="e">
        <f t="shared" si="33"/>
        <v>#REF!</v>
      </c>
      <c r="D340" s="330" t="s">
        <v>628</v>
      </c>
      <c r="E340"/>
      <c r="F340"/>
      <c r="G340"/>
      <c r="I340"/>
      <c r="K340" s="2">
        <f t="shared" si="34"/>
        <v>335</v>
      </c>
      <c r="O340" s="2">
        <f t="shared" ca="1" si="30"/>
        <v>0</v>
      </c>
      <c r="P340" s="2">
        <f t="shared" ca="1" si="30"/>
        <v>0</v>
      </c>
    </row>
    <row r="341" spans="1:16" outlineLevel="1">
      <c r="A341" s="2" t="str">
        <f t="shared" si="31"/>
        <v/>
      </c>
      <c r="B341" t="str">
        <f t="shared" si="32"/>
        <v/>
      </c>
      <c r="C341" t="e">
        <f t="shared" si="33"/>
        <v>#REF!</v>
      </c>
      <c r="D341" s="330" t="s">
        <v>628</v>
      </c>
      <c r="E341"/>
      <c r="F341"/>
      <c r="G341"/>
      <c r="I341"/>
      <c r="K341" s="2">
        <f t="shared" si="34"/>
        <v>336</v>
      </c>
      <c r="O341" s="2">
        <f t="shared" ca="1" si="30"/>
        <v>0</v>
      </c>
      <c r="P341" s="2">
        <f t="shared" ca="1" si="30"/>
        <v>0</v>
      </c>
    </row>
    <row r="342" spans="1:16" outlineLevel="1">
      <c r="A342" s="2" t="str">
        <f t="shared" si="31"/>
        <v/>
      </c>
      <c r="B342" t="str">
        <f t="shared" si="32"/>
        <v/>
      </c>
      <c r="C342" t="e">
        <f t="shared" si="33"/>
        <v>#REF!</v>
      </c>
      <c r="D342" s="330" t="s">
        <v>628</v>
      </c>
      <c r="E342"/>
      <c r="F342"/>
      <c r="G342"/>
      <c r="I342"/>
      <c r="K342" s="2">
        <f t="shared" si="34"/>
        <v>337</v>
      </c>
      <c r="O342" s="2">
        <f t="shared" ca="1" si="30"/>
        <v>0</v>
      </c>
      <c r="P342" s="2">
        <f t="shared" ca="1" si="30"/>
        <v>0</v>
      </c>
    </row>
    <row r="343" spans="1:16" outlineLevel="1">
      <c r="A343" s="2" t="str">
        <f t="shared" si="31"/>
        <v/>
      </c>
      <c r="B343" t="str">
        <f t="shared" si="32"/>
        <v/>
      </c>
      <c r="C343" t="e">
        <f t="shared" si="33"/>
        <v>#REF!</v>
      </c>
      <c r="D343" s="330" t="s">
        <v>628</v>
      </c>
      <c r="E343"/>
      <c r="F343"/>
      <c r="G343"/>
      <c r="I343"/>
      <c r="K343" s="2">
        <f t="shared" si="34"/>
        <v>338</v>
      </c>
      <c r="O343" s="2">
        <f t="shared" ca="1" si="30"/>
        <v>0</v>
      </c>
      <c r="P343" s="2">
        <f t="shared" ca="1" si="30"/>
        <v>0</v>
      </c>
    </row>
    <row r="344" spans="1:16" outlineLevel="1">
      <c r="A344" s="2" t="str">
        <f t="shared" si="31"/>
        <v/>
      </c>
      <c r="B344" t="str">
        <f t="shared" si="32"/>
        <v/>
      </c>
      <c r="C344" t="e">
        <f t="shared" si="33"/>
        <v>#REF!</v>
      </c>
      <c r="D344" s="330" t="s">
        <v>628</v>
      </c>
      <c r="E344"/>
      <c r="F344"/>
      <c r="G344"/>
      <c r="I344"/>
      <c r="K344" s="2">
        <f t="shared" si="34"/>
        <v>339</v>
      </c>
      <c r="O344" s="2">
        <f t="shared" ca="1" si="30"/>
        <v>0</v>
      </c>
      <c r="P344" s="2">
        <f t="shared" ca="1" si="30"/>
        <v>0</v>
      </c>
    </row>
    <row r="345" spans="1:16" outlineLevel="1">
      <c r="A345" s="2" t="str">
        <f t="shared" si="31"/>
        <v/>
      </c>
      <c r="B345" t="str">
        <f t="shared" si="32"/>
        <v/>
      </c>
      <c r="C345" t="e">
        <f t="shared" si="33"/>
        <v>#REF!</v>
      </c>
      <c r="D345" s="330" t="s">
        <v>628</v>
      </c>
      <c r="E345"/>
      <c r="F345"/>
      <c r="G345"/>
      <c r="I345"/>
      <c r="K345" s="2">
        <f t="shared" si="34"/>
        <v>340</v>
      </c>
      <c r="O345" s="2">
        <f t="shared" ca="1" si="30"/>
        <v>0</v>
      </c>
      <c r="P345" s="2">
        <f t="shared" ca="1" si="30"/>
        <v>0</v>
      </c>
    </row>
    <row r="346" spans="1:16" outlineLevel="1">
      <c r="A346" s="2" t="str">
        <f t="shared" si="31"/>
        <v/>
      </c>
      <c r="B346" t="str">
        <f t="shared" si="32"/>
        <v/>
      </c>
      <c r="C346" t="e">
        <f t="shared" si="33"/>
        <v>#REF!</v>
      </c>
      <c r="D346" s="330" t="s">
        <v>628</v>
      </c>
      <c r="E346"/>
      <c r="F346"/>
      <c r="G346"/>
      <c r="I346"/>
      <c r="K346" s="2">
        <f t="shared" si="34"/>
        <v>341</v>
      </c>
      <c r="O346" s="2">
        <f t="shared" ca="1" si="30"/>
        <v>0</v>
      </c>
      <c r="P346" s="2">
        <f t="shared" ca="1" si="30"/>
        <v>0</v>
      </c>
    </row>
    <row r="347" spans="1:16" outlineLevel="1">
      <c r="A347" s="2" t="str">
        <f t="shared" si="31"/>
        <v/>
      </c>
      <c r="B347" t="str">
        <f t="shared" si="32"/>
        <v/>
      </c>
      <c r="C347" t="e">
        <f t="shared" si="33"/>
        <v>#REF!</v>
      </c>
      <c r="D347" s="330" t="s">
        <v>628</v>
      </c>
      <c r="E347"/>
      <c r="F347"/>
      <c r="G347"/>
      <c r="I347"/>
      <c r="K347" s="2">
        <f t="shared" si="34"/>
        <v>342</v>
      </c>
      <c r="O347" s="2">
        <f t="shared" ca="1" si="30"/>
        <v>0</v>
      </c>
      <c r="P347" s="2">
        <f t="shared" ca="1" si="30"/>
        <v>0</v>
      </c>
    </row>
    <row r="348" spans="1:16" outlineLevel="1">
      <c r="A348" s="2" t="str">
        <f t="shared" si="31"/>
        <v/>
      </c>
      <c r="B348" t="str">
        <f t="shared" si="32"/>
        <v/>
      </c>
      <c r="C348" t="e">
        <f t="shared" si="33"/>
        <v>#REF!</v>
      </c>
      <c r="D348" s="330" t="s">
        <v>628</v>
      </c>
      <c r="E348"/>
      <c r="F348"/>
      <c r="G348"/>
      <c r="I348"/>
      <c r="K348" s="2">
        <f t="shared" si="34"/>
        <v>343</v>
      </c>
      <c r="O348" s="2">
        <f t="shared" ca="1" si="30"/>
        <v>0</v>
      </c>
      <c r="P348" s="2">
        <f t="shared" ca="1" si="30"/>
        <v>0</v>
      </c>
    </row>
    <row r="349" spans="1:16" outlineLevel="1">
      <c r="A349" s="2" t="str">
        <f t="shared" si="31"/>
        <v/>
      </c>
      <c r="B349" t="str">
        <f t="shared" si="32"/>
        <v/>
      </c>
      <c r="C349" t="e">
        <f t="shared" si="33"/>
        <v>#REF!</v>
      </c>
      <c r="D349" s="330" t="s">
        <v>628</v>
      </c>
      <c r="E349"/>
      <c r="F349"/>
      <c r="G349"/>
      <c r="I349"/>
      <c r="K349" s="2">
        <f t="shared" si="34"/>
        <v>344</v>
      </c>
      <c r="O349" s="2">
        <f t="shared" ref="O349:P412" ca="1" si="35">INDIRECT("E"&amp;O$4+$K349)</f>
        <v>0</v>
      </c>
      <c r="P349" s="2">
        <f t="shared" ca="1" si="35"/>
        <v>0</v>
      </c>
    </row>
    <row r="350" spans="1:16" outlineLevel="1">
      <c r="A350" s="2" t="str">
        <f t="shared" si="31"/>
        <v/>
      </c>
      <c r="B350" t="str">
        <f t="shared" si="32"/>
        <v/>
      </c>
      <c r="C350" t="e">
        <f t="shared" si="33"/>
        <v>#REF!</v>
      </c>
      <c r="D350" s="330" t="s">
        <v>628</v>
      </c>
      <c r="E350"/>
      <c r="F350"/>
      <c r="G350"/>
      <c r="I350"/>
      <c r="K350" s="2">
        <f t="shared" si="34"/>
        <v>345</v>
      </c>
      <c r="O350" s="2">
        <f t="shared" ca="1" si="35"/>
        <v>0</v>
      </c>
      <c r="P350" s="2">
        <f t="shared" ca="1" si="35"/>
        <v>0</v>
      </c>
    </row>
    <row r="351" spans="1:16" outlineLevel="1">
      <c r="A351" s="2" t="str">
        <f t="shared" si="31"/>
        <v/>
      </c>
      <c r="B351" t="str">
        <f t="shared" si="32"/>
        <v/>
      </c>
      <c r="C351" t="e">
        <f t="shared" si="33"/>
        <v>#REF!</v>
      </c>
      <c r="D351" s="330" t="s">
        <v>628</v>
      </c>
      <c r="E351"/>
      <c r="F351"/>
      <c r="G351"/>
      <c r="I351"/>
      <c r="K351" s="2">
        <f t="shared" si="34"/>
        <v>346</v>
      </c>
      <c r="O351" s="2">
        <f t="shared" ca="1" si="35"/>
        <v>0</v>
      </c>
      <c r="P351" s="2">
        <f t="shared" ca="1" si="35"/>
        <v>0</v>
      </c>
    </row>
    <row r="352" spans="1:16" outlineLevel="1">
      <c r="A352" s="2" t="str">
        <f t="shared" si="31"/>
        <v/>
      </c>
      <c r="B352" t="str">
        <f t="shared" si="32"/>
        <v/>
      </c>
      <c r="C352" t="e">
        <f t="shared" si="33"/>
        <v>#REF!</v>
      </c>
      <c r="D352" s="330" t="s">
        <v>628</v>
      </c>
      <c r="E352"/>
      <c r="F352"/>
      <c r="G352"/>
      <c r="I352"/>
      <c r="K352" s="2">
        <f t="shared" si="34"/>
        <v>347</v>
      </c>
      <c r="O352" s="2">
        <f t="shared" ca="1" si="35"/>
        <v>0</v>
      </c>
      <c r="P352" s="2">
        <f t="shared" ca="1" si="35"/>
        <v>0</v>
      </c>
    </row>
    <row r="353" spans="1:16" outlineLevel="1">
      <c r="A353" s="2" t="str">
        <f t="shared" ref="A353:A416" si="36">IF(B353="*",ROW(),"")</f>
        <v/>
      </c>
      <c r="B353" t="str">
        <f t="shared" ref="B353:B416" si="37">LEFT(E353,1)</f>
        <v/>
      </c>
      <c r="C353" t="e">
        <f t="shared" ref="C353:C416" si="38">IF(B353="*",RIGHT(E353,10),C352)</f>
        <v>#REF!</v>
      </c>
      <c r="D353" s="330" t="s">
        <v>628</v>
      </c>
      <c r="E353"/>
      <c r="F353"/>
      <c r="G353"/>
      <c r="I353"/>
      <c r="K353" s="2">
        <f t="shared" si="34"/>
        <v>348</v>
      </c>
      <c r="O353" s="2">
        <f t="shared" ca="1" si="35"/>
        <v>0</v>
      </c>
      <c r="P353" s="2">
        <f t="shared" ca="1" si="35"/>
        <v>0</v>
      </c>
    </row>
    <row r="354" spans="1:16" outlineLevel="1">
      <c r="A354" s="2" t="str">
        <f t="shared" si="36"/>
        <v/>
      </c>
      <c r="B354" t="str">
        <f t="shared" si="37"/>
        <v/>
      </c>
      <c r="C354" t="e">
        <f t="shared" si="38"/>
        <v>#REF!</v>
      </c>
      <c r="D354" s="330" t="s">
        <v>628</v>
      </c>
      <c r="E354"/>
      <c r="F354"/>
      <c r="G354"/>
      <c r="I354"/>
      <c r="K354" s="2">
        <f t="shared" si="34"/>
        <v>349</v>
      </c>
      <c r="O354" s="2">
        <f t="shared" ca="1" si="35"/>
        <v>0</v>
      </c>
      <c r="P354" s="2">
        <f t="shared" ca="1" si="35"/>
        <v>0</v>
      </c>
    </row>
    <row r="355" spans="1:16" outlineLevel="1">
      <c r="A355" s="2" t="str">
        <f t="shared" si="36"/>
        <v/>
      </c>
      <c r="B355" t="str">
        <f t="shared" si="37"/>
        <v/>
      </c>
      <c r="C355" t="e">
        <f t="shared" si="38"/>
        <v>#REF!</v>
      </c>
      <c r="D355" s="330" t="s">
        <v>628</v>
      </c>
      <c r="E355"/>
      <c r="F355"/>
      <c r="G355"/>
      <c r="I355"/>
      <c r="K355" s="2">
        <f t="shared" si="34"/>
        <v>350</v>
      </c>
      <c r="O355" s="2">
        <f t="shared" ca="1" si="35"/>
        <v>0</v>
      </c>
      <c r="P355" s="2">
        <f t="shared" ca="1" si="35"/>
        <v>0</v>
      </c>
    </row>
    <row r="356" spans="1:16" outlineLevel="1">
      <c r="A356" s="2" t="str">
        <f t="shared" si="36"/>
        <v/>
      </c>
      <c r="B356" t="str">
        <f t="shared" si="37"/>
        <v/>
      </c>
      <c r="C356" t="e">
        <f t="shared" si="38"/>
        <v>#REF!</v>
      </c>
      <c r="D356" s="330" t="s">
        <v>628</v>
      </c>
      <c r="E356"/>
      <c r="F356"/>
      <c r="G356"/>
      <c r="I356"/>
      <c r="K356" s="2">
        <f t="shared" si="34"/>
        <v>351</v>
      </c>
      <c r="O356" s="2">
        <f t="shared" ca="1" si="35"/>
        <v>0</v>
      </c>
      <c r="P356" s="2">
        <f t="shared" ca="1" si="35"/>
        <v>0</v>
      </c>
    </row>
    <row r="357" spans="1:16" outlineLevel="1">
      <c r="A357" s="2" t="str">
        <f t="shared" si="36"/>
        <v/>
      </c>
      <c r="B357" t="str">
        <f t="shared" si="37"/>
        <v/>
      </c>
      <c r="C357" t="e">
        <f t="shared" si="38"/>
        <v>#REF!</v>
      </c>
      <c r="D357" s="330" t="s">
        <v>628</v>
      </c>
      <c r="E357"/>
      <c r="F357"/>
      <c r="G357"/>
      <c r="I357"/>
      <c r="K357" s="2">
        <f t="shared" si="34"/>
        <v>352</v>
      </c>
      <c r="O357" s="2">
        <f t="shared" ca="1" si="35"/>
        <v>0</v>
      </c>
      <c r="P357" s="2">
        <f t="shared" ca="1" si="35"/>
        <v>0</v>
      </c>
    </row>
    <row r="358" spans="1:16" outlineLevel="1">
      <c r="A358" s="2" t="str">
        <f t="shared" si="36"/>
        <v/>
      </c>
      <c r="B358" t="str">
        <f t="shared" si="37"/>
        <v/>
      </c>
      <c r="C358" t="e">
        <f t="shared" si="38"/>
        <v>#REF!</v>
      </c>
      <c r="D358" s="330" t="s">
        <v>628</v>
      </c>
      <c r="E358"/>
      <c r="F358"/>
      <c r="G358"/>
      <c r="I358"/>
      <c r="K358" s="2">
        <f t="shared" si="34"/>
        <v>353</v>
      </c>
      <c r="O358" s="2">
        <f t="shared" ca="1" si="35"/>
        <v>0</v>
      </c>
      <c r="P358" s="2">
        <f t="shared" ca="1" si="35"/>
        <v>0</v>
      </c>
    </row>
    <row r="359" spans="1:16" outlineLevel="1">
      <c r="A359" s="2" t="str">
        <f t="shared" si="36"/>
        <v/>
      </c>
      <c r="B359" t="str">
        <f t="shared" si="37"/>
        <v/>
      </c>
      <c r="C359" t="e">
        <f t="shared" si="38"/>
        <v>#REF!</v>
      </c>
      <c r="D359" s="330" t="s">
        <v>628</v>
      </c>
      <c r="E359"/>
      <c r="F359"/>
      <c r="G359"/>
      <c r="I359"/>
      <c r="K359" s="2">
        <f t="shared" si="34"/>
        <v>354</v>
      </c>
      <c r="O359" s="2">
        <f t="shared" ca="1" si="35"/>
        <v>0</v>
      </c>
      <c r="P359" s="2">
        <f t="shared" ca="1" si="35"/>
        <v>0</v>
      </c>
    </row>
    <row r="360" spans="1:16" outlineLevel="1">
      <c r="A360" s="2" t="str">
        <f t="shared" si="36"/>
        <v/>
      </c>
      <c r="B360" t="str">
        <f t="shared" si="37"/>
        <v/>
      </c>
      <c r="C360" t="e">
        <f t="shared" si="38"/>
        <v>#REF!</v>
      </c>
      <c r="D360" s="330" t="s">
        <v>628</v>
      </c>
      <c r="E360"/>
      <c r="F360"/>
      <c r="G360"/>
      <c r="I360"/>
      <c r="K360" s="2">
        <f t="shared" si="34"/>
        <v>355</v>
      </c>
      <c r="O360" s="2">
        <f t="shared" ca="1" si="35"/>
        <v>0</v>
      </c>
      <c r="P360" s="2">
        <f t="shared" ca="1" si="35"/>
        <v>0</v>
      </c>
    </row>
    <row r="361" spans="1:16" outlineLevel="1">
      <c r="A361" s="2" t="str">
        <f t="shared" si="36"/>
        <v/>
      </c>
      <c r="B361" t="str">
        <f t="shared" si="37"/>
        <v/>
      </c>
      <c r="C361" t="e">
        <f t="shared" si="38"/>
        <v>#REF!</v>
      </c>
      <c r="D361" s="330" t="s">
        <v>628</v>
      </c>
      <c r="E361"/>
      <c r="F361"/>
      <c r="G361"/>
      <c r="I361"/>
      <c r="K361" s="2">
        <f t="shared" si="34"/>
        <v>356</v>
      </c>
      <c r="O361" s="2">
        <f t="shared" ca="1" si="35"/>
        <v>0</v>
      </c>
      <c r="P361" s="2">
        <f t="shared" ca="1" si="35"/>
        <v>0</v>
      </c>
    </row>
    <row r="362" spans="1:16" outlineLevel="1">
      <c r="A362" s="2" t="str">
        <f t="shared" si="36"/>
        <v/>
      </c>
      <c r="B362" t="str">
        <f t="shared" si="37"/>
        <v/>
      </c>
      <c r="C362" t="e">
        <f t="shared" si="38"/>
        <v>#REF!</v>
      </c>
      <c r="D362" s="330" t="s">
        <v>628</v>
      </c>
      <c r="E362"/>
      <c r="F362"/>
      <c r="G362"/>
      <c r="I362"/>
      <c r="K362" s="2">
        <f t="shared" si="34"/>
        <v>357</v>
      </c>
      <c r="O362" s="2">
        <f t="shared" ca="1" si="35"/>
        <v>0</v>
      </c>
      <c r="P362" s="2">
        <f t="shared" ca="1" si="35"/>
        <v>0</v>
      </c>
    </row>
    <row r="363" spans="1:16" outlineLevel="1">
      <c r="A363" s="2" t="str">
        <f t="shared" si="36"/>
        <v/>
      </c>
      <c r="B363" t="str">
        <f t="shared" si="37"/>
        <v/>
      </c>
      <c r="C363" t="e">
        <f t="shared" si="38"/>
        <v>#REF!</v>
      </c>
      <c r="D363" s="330" t="s">
        <v>628</v>
      </c>
      <c r="E363"/>
      <c r="F363"/>
      <c r="G363"/>
      <c r="I363"/>
      <c r="K363" s="2">
        <f t="shared" si="34"/>
        <v>358</v>
      </c>
      <c r="O363" s="2">
        <f t="shared" ca="1" si="35"/>
        <v>0</v>
      </c>
      <c r="P363" s="2">
        <f t="shared" ca="1" si="35"/>
        <v>0</v>
      </c>
    </row>
    <row r="364" spans="1:16" outlineLevel="1">
      <c r="A364" s="2" t="str">
        <f t="shared" si="36"/>
        <v/>
      </c>
      <c r="B364" t="str">
        <f t="shared" si="37"/>
        <v/>
      </c>
      <c r="C364" t="e">
        <f t="shared" si="38"/>
        <v>#REF!</v>
      </c>
      <c r="D364" s="330" t="s">
        <v>628</v>
      </c>
      <c r="E364"/>
      <c r="F364"/>
      <c r="G364"/>
      <c r="I364"/>
      <c r="K364" s="2">
        <f t="shared" si="34"/>
        <v>359</v>
      </c>
      <c r="O364" s="2">
        <f t="shared" ca="1" si="35"/>
        <v>0</v>
      </c>
      <c r="P364" s="2">
        <f t="shared" ca="1" si="35"/>
        <v>0</v>
      </c>
    </row>
    <row r="365" spans="1:16" outlineLevel="1">
      <c r="A365" s="2" t="str">
        <f t="shared" si="36"/>
        <v/>
      </c>
      <c r="B365" t="str">
        <f t="shared" si="37"/>
        <v/>
      </c>
      <c r="C365" t="e">
        <f t="shared" si="38"/>
        <v>#REF!</v>
      </c>
      <c r="D365" s="330" t="s">
        <v>628</v>
      </c>
      <c r="E365"/>
      <c r="F365"/>
      <c r="G365"/>
      <c r="I365"/>
      <c r="K365" s="2">
        <f t="shared" si="34"/>
        <v>360</v>
      </c>
      <c r="O365" s="2">
        <f t="shared" ca="1" si="35"/>
        <v>0</v>
      </c>
      <c r="P365" s="2">
        <f t="shared" ca="1" si="35"/>
        <v>0</v>
      </c>
    </row>
    <row r="366" spans="1:16" outlineLevel="1">
      <c r="A366" s="2" t="str">
        <f t="shared" si="36"/>
        <v/>
      </c>
      <c r="B366" t="str">
        <f t="shared" si="37"/>
        <v/>
      </c>
      <c r="C366" t="e">
        <f t="shared" si="38"/>
        <v>#REF!</v>
      </c>
      <c r="D366" s="330" t="s">
        <v>628</v>
      </c>
      <c r="E366"/>
      <c r="F366"/>
      <c r="G366"/>
      <c r="I366"/>
      <c r="K366" s="2">
        <f t="shared" si="34"/>
        <v>361</v>
      </c>
      <c r="O366" s="2">
        <f t="shared" ca="1" si="35"/>
        <v>0</v>
      </c>
      <c r="P366" s="2">
        <f t="shared" ca="1" si="35"/>
        <v>0</v>
      </c>
    </row>
    <row r="367" spans="1:16" outlineLevel="1">
      <c r="A367" s="2" t="str">
        <f t="shared" si="36"/>
        <v/>
      </c>
      <c r="B367" t="str">
        <f t="shared" si="37"/>
        <v/>
      </c>
      <c r="C367" t="e">
        <f t="shared" si="38"/>
        <v>#REF!</v>
      </c>
      <c r="D367" s="330" t="s">
        <v>628</v>
      </c>
      <c r="E367"/>
      <c r="F367"/>
      <c r="G367"/>
      <c r="I367"/>
      <c r="K367" s="2">
        <f t="shared" si="34"/>
        <v>362</v>
      </c>
      <c r="O367" s="2">
        <f t="shared" ca="1" si="35"/>
        <v>0</v>
      </c>
      <c r="P367" s="2">
        <f t="shared" ca="1" si="35"/>
        <v>0</v>
      </c>
    </row>
    <row r="368" spans="1:16" outlineLevel="1">
      <c r="A368" s="2" t="str">
        <f t="shared" si="36"/>
        <v/>
      </c>
      <c r="B368" t="str">
        <f t="shared" si="37"/>
        <v/>
      </c>
      <c r="C368" t="e">
        <f t="shared" si="38"/>
        <v>#REF!</v>
      </c>
      <c r="D368" s="330" t="s">
        <v>628</v>
      </c>
      <c r="E368"/>
      <c r="F368"/>
      <c r="G368"/>
      <c r="I368"/>
      <c r="K368" s="2">
        <f t="shared" si="34"/>
        <v>363</v>
      </c>
      <c r="O368" s="2">
        <f t="shared" ca="1" si="35"/>
        <v>0</v>
      </c>
      <c r="P368" s="2">
        <f t="shared" ca="1" si="35"/>
        <v>0</v>
      </c>
    </row>
    <row r="369" spans="1:16" outlineLevel="1">
      <c r="A369" s="2" t="str">
        <f t="shared" si="36"/>
        <v/>
      </c>
      <c r="B369" t="str">
        <f t="shared" si="37"/>
        <v/>
      </c>
      <c r="C369" t="e">
        <f t="shared" si="38"/>
        <v>#REF!</v>
      </c>
      <c r="D369" s="330" t="s">
        <v>628</v>
      </c>
      <c r="E369"/>
      <c r="F369"/>
      <c r="G369"/>
      <c r="I369"/>
      <c r="K369" s="2">
        <f t="shared" si="34"/>
        <v>364</v>
      </c>
      <c r="O369" s="2">
        <f t="shared" ca="1" si="35"/>
        <v>0</v>
      </c>
      <c r="P369" s="2">
        <f t="shared" ca="1" si="35"/>
        <v>0</v>
      </c>
    </row>
    <row r="370" spans="1:16" outlineLevel="1">
      <c r="A370" s="2" t="str">
        <f t="shared" si="36"/>
        <v/>
      </c>
      <c r="B370" t="str">
        <f t="shared" si="37"/>
        <v/>
      </c>
      <c r="C370" t="e">
        <f t="shared" si="38"/>
        <v>#REF!</v>
      </c>
      <c r="D370" s="330" t="s">
        <v>628</v>
      </c>
      <c r="E370"/>
      <c r="F370"/>
      <c r="G370"/>
      <c r="I370"/>
      <c r="K370" s="2">
        <f t="shared" si="34"/>
        <v>365</v>
      </c>
      <c r="O370" s="2">
        <f t="shared" ca="1" si="35"/>
        <v>0</v>
      </c>
      <c r="P370" s="2">
        <f t="shared" ca="1" si="35"/>
        <v>0</v>
      </c>
    </row>
    <row r="371" spans="1:16" outlineLevel="1">
      <c r="A371" s="2" t="str">
        <f t="shared" si="36"/>
        <v/>
      </c>
      <c r="B371" t="str">
        <f t="shared" si="37"/>
        <v/>
      </c>
      <c r="C371" t="e">
        <f t="shared" si="38"/>
        <v>#REF!</v>
      </c>
      <c r="D371" s="330" t="s">
        <v>628</v>
      </c>
      <c r="E371"/>
      <c r="F371"/>
      <c r="G371"/>
      <c r="I371"/>
      <c r="K371" s="2">
        <f t="shared" si="34"/>
        <v>366</v>
      </c>
      <c r="O371" s="2">
        <f t="shared" ca="1" si="35"/>
        <v>0</v>
      </c>
      <c r="P371" s="2">
        <f t="shared" ca="1" si="35"/>
        <v>0</v>
      </c>
    </row>
    <row r="372" spans="1:16" outlineLevel="1">
      <c r="A372" s="2" t="str">
        <f t="shared" si="36"/>
        <v/>
      </c>
      <c r="B372" t="str">
        <f t="shared" si="37"/>
        <v/>
      </c>
      <c r="C372" t="e">
        <f t="shared" si="38"/>
        <v>#REF!</v>
      </c>
      <c r="D372" s="330" t="s">
        <v>628</v>
      </c>
      <c r="E372"/>
      <c r="F372"/>
      <c r="G372"/>
      <c r="I372"/>
      <c r="K372" s="2">
        <f t="shared" si="34"/>
        <v>367</v>
      </c>
      <c r="O372" s="2">
        <f t="shared" ca="1" si="35"/>
        <v>0</v>
      </c>
      <c r="P372" s="2">
        <f t="shared" ca="1" si="35"/>
        <v>0</v>
      </c>
    </row>
    <row r="373" spans="1:16" outlineLevel="1">
      <c r="A373" s="2" t="str">
        <f t="shared" si="36"/>
        <v/>
      </c>
      <c r="B373" t="str">
        <f t="shared" si="37"/>
        <v/>
      </c>
      <c r="C373" t="e">
        <f t="shared" si="38"/>
        <v>#REF!</v>
      </c>
      <c r="D373" s="330" t="s">
        <v>628</v>
      </c>
      <c r="E373"/>
      <c r="F373"/>
      <c r="G373"/>
      <c r="I373"/>
      <c r="K373" s="2">
        <f t="shared" si="34"/>
        <v>368</v>
      </c>
      <c r="O373" s="2">
        <f t="shared" ca="1" si="35"/>
        <v>0</v>
      </c>
      <c r="P373" s="2">
        <f t="shared" ca="1" si="35"/>
        <v>0</v>
      </c>
    </row>
    <row r="374" spans="1:16" outlineLevel="1">
      <c r="A374" s="2" t="str">
        <f t="shared" si="36"/>
        <v/>
      </c>
      <c r="B374" t="str">
        <f t="shared" si="37"/>
        <v/>
      </c>
      <c r="C374" t="e">
        <f t="shared" si="38"/>
        <v>#REF!</v>
      </c>
      <c r="D374" s="330" t="s">
        <v>628</v>
      </c>
      <c r="E374"/>
      <c r="F374"/>
      <c r="G374"/>
      <c r="I374"/>
      <c r="K374" s="2">
        <f t="shared" si="34"/>
        <v>369</v>
      </c>
      <c r="O374" s="2">
        <f t="shared" ca="1" si="35"/>
        <v>0</v>
      </c>
      <c r="P374" s="2">
        <f t="shared" ca="1" si="35"/>
        <v>0</v>
      </c>
    </row>
    <row r="375" spans="1:16" outlineLevel="1">
      <c r="A375" s="2" t="str">
        <f t="shared" si="36"/>
        <v/>
      </c>
      <c r="B375" t="str">
        <f t="shared" si="37"/>
        <v/>
      </c>
      <c r="C375" t="e">
        <f t="shared" si="38"/>
        <v>#REF!</v>
      </c>
      <c r="D375" s="330" t="s">
        <v>628</v>
      </c>
      <c r="E375"/>
      <c r="F375"/>
      <c r="G375"/>
      <c r="I375"/>
      <c r="K375" s="2">
        <f t="shared" si="34"/>
        <v>370</v>
      </c>
      <c r="O375" s="2">
        <f t="shared" ca="1" si="35"/>
        <v>0</v>
      </c>
      <c r="P375" s="2">
        <f t="shared" ca="1" si="35"/>
        <v>0</v>
      </c>
    </row>
    <row r="376" spans="1:16" outlineLevel="1">
      <c r="A376" s="2" t="str">
        <f t="shared" si="36"/>
        <v/>
      </c>
      <c r="B376" t="str">
        <f t="shared" si="37"/>
        <v/>
      </c>
      <c r="C376" t="e">
        <f t="shared" si="38"/>
        <v>#REF!</v>
      </c>
      <c r="D376" s="330" t="s">
        <v>628</v>
      </c>
      <c r="E376"/>
      <c r="F376"/>
      <c r="G376"/>
      <c r="I376"/>
      <c r="K376" s="2">
        <f t="shared" si="34"/>
        <v>371</v>
      </c>
      <c r="O376" s="2">
        <f t="shared" ca="1" si="35"/>
        <v>0</v>
      </c>
      <c r="P376" s="2">
        <f t="shared" ca="1" si="35"/>
        <v>0</v>
      </c>
    </row>
    <row r="377" spans="1:16" outlineLevel="1">
      <c r="A377" s="2" t="str">
        <f t="shared" si="36"/>
        <v/>
      </c>
      <c r="B377" t="str">
        <f t="shared" si="37"/>
        <v/>
      </c>
      <c r="C377" t="e">
        <f t="shared" si="38"/>
        <v>#REF!</v>
      </c>
      <c r="D377" s="330" t="s">
        <v>628</v>
      </c>
      <c r="E377"/>
      <c r="F377"/>
      <c r="G377"/>
      <c r="I377"/>
      <c r="K377" s="2">
        <f t="shared" si="34"/>
        <v>372</v>
      </c>
      <c r="O377" s="2">
        <f t="shared" ca="1" si="35"/>
        <v>0</v>
      </c>
      <c r="P377" s="2">
        <f t="shared" ca="1" si="35"/>
        <v>0</v>
      </c>
    </row>
    <row r="378" spans="1:16" outlineLevel="1">
      <c r="A378" s="2" t="str">
        <f t="shared" si="36"/>
        <v/>
      </c>
      <c r="B378" t="str">
        <f t="shared" si="37"/>
        <v/>
      </c>
      <c r="C378" t="e">
        <f t="shared" si="38"/>
        <v>#REF!</v>
      </c>
      <c r="D378" s="330" t="s">
        <v>628</v>
      </c>
      <c r="E378"/>
      <c r="F378"/>
      <c r="G378"/>
      <c r="I378"/>
      <c r="K378" s="2">
        <f t="shared" si="34"/>
        <v>373</v>
      </c>
      <c r="O378" s="2">
        <f t="shared" ca="1" si="35"/>
        <v>0</v>
      </c>
      <c r="P378" s="2">
        <f t="shared" ca="1" si="35"/>
        <v>0</v>
      </c>
    </row>
    <row r="379" spans="1:16" outlineLevel="1">
      <c r="A379" s="2" t="str">
        <f t="shared" si="36"/>
        <v/>
      </c>
      <c r="B379" t="str">
        <f t="shared" si="37"/>
        <v/>
      </c>
      <c r="C379" t="e">
        <f t="shared" si="38"/>
        <v>#REF!</v>
      </c>
      <c r="D379" s="330" t="s">
        <v>628</v>
      </c>
      <c r="E379"/>
      <c r="F379"/>
      <c r="G379"/>
      <c r="I379"/>
      <c r="K379" s="2">
        <f t="shared" si="34"/>
        <v>374</v>
      </c>
      <c r="O379" s="2">
        <f t="shared" ca="1" si="35"/>
        <v>0</v>
      </c>
      <c r="P379" s="2">
        <f t="shared" ca="1" si="35"/>
        <v>0</v>
      </c>
    </row>
    <row r="380" spans="1:16" outlineLevel="1">
      <c r="A380" s="2" t="str">
        <f t="shared" si="36"/>
        <v/>
      </c>
      <c r="B380" t="str">
        <f t="shared" si="37"/>
        <v/>
      </c>
      <c r="C380" t="e">
        <f t="shared" si="38"/>
        <v>#REF!</v>
      </c>
      <c r="D380" s="330" t="s">
        <v>628</v>
      </c>
      <c r="E380"/>
      <c r="F380"/>
      <c r="G380"/>
      <c r="I380"/>
      <c r="K380" s="2">
        <f t="shared" si="34"/>
        <v>375</v>
      </c>
      <c r="O380" s="2">
        <f t="shared" ca="1" si="35"/>
        <v>0</v>
      </c>
      <c r="P380" s="2">
        <f t="shared" ca="1" si="35"/>
        <v>0</v>
      </c>
    </row>
    <row r="381" spans="1:16" outlineLevel="1">
      <c r="A381" s="2" t="str">
        <f t="shared" si="36"/>
        <v/>
      </c>
      <c r="B381" t="str">
        <f t="shared" si="37"/>
        <v/>
      </c>
      <c r="C381" t="e">
        <f t="shared" si="38"/>
        <v>#REF!</v>
      </c>
      <c r="D381" s="330" t="s">
        <v>628</v>
      </c>
      <c r="E381"/>
      <c r="F381"/>
      <c r="G381"/>
      <c r="I381"/>
      <c r="K381" s="2">
        <f t="shared" si="34"/>
        <v>376</v>
      </c>
      <c r="O381" s="2">
        <f t="shared" ca="1" si="35"/>
        <v>0</v>
      </c>
      <c r="P381" s="2">
        <f t="shared" ca="1" si="35"/>
        <v>0</v>
      </c>
    </row>
    <row r="382" spans="1:16" outlineLevel="1">
      <c r="A382" s="2" t="str">
        <f t="shared" si="36"/>
        <v/>
      </c>
      <c r="B382" t="str">
        <f t="shared" si="37"/>
        <v/>
      </c>
      <c r="C382" t="e">
        <f t="shared" si="38"/>
        <v>#REF!</v>
      </c>
      <c r="D382" s="330" t="s">
        <v>628</v>
      </c>
      <c r="E382"/>
      <c r="F382"/>
      <c r="G382"/>
      <c r="I382"/>
      <c r="K382" s="2">
        <f t="shared" si="34"/>
        <v>377</v>
      </c>
      <c r="O382" s="2">
        <f t="shared" ca="1" si="35"/>
        <v>0</v>
      </c>
      <c r="P382" s="2">
        <f t="shared" ca="1" si="35"/>
        <v>0</v>
      </c>
    </row>
    <row r="383" spans="1:16" outlineLevel="1">
      <c r="A383" s="2" t="str">
        <f t="shared" si="36"/>
        <v/>
      </c>
      <c r="B383" t="str">
        <f t="shared" si="37"/>
        <v/>
      </c>
      <c r="C383" t="e">
        <f t="shared" si="38"/>
        <v>#REF!</v>
      </c>
      <c r="D383" s="330" t="s">
        <v>628</v>
      </c>
      <c r="E383"/>
      <c r="F383"/>
      <c r="G383"/>
      <c r="I383"/>
      <c r="K383" s="2">
        <f t="shared" si="34"/>
        <v>378</v>
      </c>
      <c r="O383" s="2">
        <f t="shared" ca="1" si="35"/>
        <v>0</v>
      </c>
      <c r="P383" s="2">
        <f t="shared" ca="1" si="35"/>
        <v>0</v>
      </c>
    </row>
    <row r="384" spans="1:16" outlineLevel="1">
      <c r="A384" s="2" t="str">
        <f t="shared" si="36"/>
        <v/>
      </c>
      <c r="B384" t="str">
        <f t="shared" si="37"/>
        <v/>
      </c>
      <c r="C384" t="e">
        <f t="shared" si="38"/>
        <v>#REF!</v>
      </c>
      <c r="D384" s="330" t="s">
        <v>628</v>
      </c>
      <c r="E384"/>
      <c r="F384"/>
      <c r="G384"/>
      <c r="I384"/>
      <c r="K384" s="2">
        <f t="shared" si="34"/>
        <v>379</v>
      </c>
      <c r="O384" s="2">
        <f t="shared" ca="1" si="35"/>
        <v>0</v>
      </c>
      <c r="P384" s="2">
        <f t="shared" ca="1" si="35"/>
        <v>0</v>
      </c>
    </row>
    <row r="385" spans="1:16" outlineLevel="1">
      <c r="A385" s="2" t="str">
        <f t="shared" si="36"/>
        <v/>
      </c>
      <c r="B385" t="str">
        <f t="shared" si="37"/>
        <v/>
      </c>
      <c r="C385" t="e">
        <f t="shared" si="38"/>
        <v>#REF!</v>
      </c>
      <c r="D385" s="330" t="s">
        <v>628</v>
      </c>
      <c r="E385"/>
      <c r="F385"/>
      <c r="G385"/>
      <c r="I385"/>
      <c r="K385" s="2">
        <f t="shared" si="34"/>
        <v>380</v>
      </c>
      <c r="O385" s="2">
        <f t="shared" ca="1" si="35"/>
        <v>0</v>
      </c>
      <c r="P385" s="2">
        <f t="shared" ca="1" si="35"/>
        <v>0</v>
      </c>
    </row>
    <row r="386" spans="1:16" outlineLevel="1">
      <c r="A386" s="2" t="str">
        <f t="shared" si="36"/>
        <v/>
      </c>
      <c r="B386" t="str">
        <f t="shared" si="37"/>
        <v/>
      </c>
      <c r="C386" t="e">
        <f t="shared" si="38"/>
        <v>#REF!</v>
      </c>
      <c r="D386" s="330" t="s">
        <v>628</v>
      </c>
      <c r="E386"/>
      <c r="F386"/>
      <c r="G386"/>
      <c r="I386"/>
      <c r="K386" s="2">
        <f t="shared" si="34"/>
        <v>381</v>
      </c>
      <c r="O386" s="2">
        <f t="shared" ca="1" si="35"/>
        <v>0</v>
      </c>
      <c r="P386" s="2">
        <f t="shared" ca="1" si="35"/>
        <v>0</v>
      </c>
    </row>
    <row r="387" spans="1:16" outlineLevel="1">
      <c r="A387" s="2" t="str">
        <f t="shared" si="36"/>
        <v/>
      </c>
      <c r="B387" t="str">
        <f t="shared" si="37"/>
        <v/>
      </c>
      <c r="C387" t="e">
        <f t="shared" si="38"/>
        <v>#REF!</v>
      </c>
      <c r="D387" s="330" t="s">
        <v>628</v>
      </c>
      <c r="E387"/>
      <c r="F387"/>
      <c r="G387"/>
      <c r="I387"/>
      <c r="K387" s="2">
        <f t="shared" si="34"/>
        <v>382</v>
      </c>
      <c r="O387" s="2">
        <f t="shared" ca="1" si="35"/>
        <v>0</v>
      </c>
      <c r="P387" s="2">
        <f t="shared" ca="1" si="35"/>
        <v>0</v>
      </c>
    </row>
    <row r="388" spans="1:16" outlineLevel="1">
      <c r="A388" s="2" t="str">
        <f t="shared" si="36"/>
        <v/>
      </c>
      <c r="B388" t="str">
        <f t="shared" si="37"/>
        <v/>
      </c>
      <c r="C388" t="e">
        <f t="shared" si="38"/>
        <v>#REF!</v>
      </c>
      <c r="D388" s="330" t="s">
        <v>628</v>
      </c>
      <c r="E388"/>
      <c r="F388"/>
      <c r="G388"/>
      <c r="I388"/>
      <c r="K388" s="2">
        <f t="shared" si="34"/>
        <v>383</v>
      </c>
      <c r="O388" s="2">
        <f t="shared" ca="1" si="35"/>
        <v>0</v>
      </c>
      <c r="P388" s="2">
        <f t="shared" ca="1" si="35"/>
        <v>0</v>
      </c>
    </row>
    <row r="389" spans="1:16" outlineLevel="1">
      <c r="A389" s="2" t="str">
        <f t="shared" si="36"/>
        <v/>
      </c>
      <c r="B389" t="str">
        <f t="shared" si="37"/>
        <v/>
      </c>
      <c r="C389" t="e">
        <f t="shared" si="38"/>
        <v>#REF!</v>
      </c>
      <c r="D389" s="330" t="s">
        <v>628</v>
      </c>
      <c r="E389"/>
      <c r="F389"/>
      <c r="G389"/>
      <c r="I389"/>
      <c r="K389" s="2">
        <f t="shared" si="34"/>
        <v>384</v>
      </c>
      <c r="O389" s="2">
        <f t="shared" ca="1" si="35"/>
        <v>0</v>
      </c>
      <c r="P389" s="2">
        <f t="shared" ca="1" si="35"/>
        <v>0</v>
      </c>
    </row>
    <row r="390" spans="1:16" outlineLevel="1">
      <c r="A390" s="2" t="str">
        <f t="shared" si="36"/>
        <v/>
      </c>
      <c r="B390" t="str">
        <f t="shared" si="37"/>
        <v/>
      </c>
      <c r="C390" t="e">
        <f t="shared" si="38"/>
        <v>#REF!</v>
      </c>
      <c r="D390" s="330" t="s">
        <v>628</v>
      </c>
      <c r="E390"/>
      <c r="F390"/>
      <c r="G390"/>
      <c r="I390"/>
      <c r="K390" s="2">
        <f t="shared" si="34"/>
        <v>385</v>
      </c>
      <c r="O390" s="2">
        <f t="shared" ca="1" si="35"/>
        <v>0</v>
      </c>
      <c r="P390" s="2">
        <f t="shared" ca="1" si="35"/>
        <v>0</v>
      </c>
    </row>
    <row r="391" spans="1:16" outlineLevel="1">
      <c r="A391" s="2" t="str">
        <f t="shared" si="36"/>
        <v/>
      </c>
      <c r="B391" t="str">
        <f t="shared" si="37"/>
        <v/>
      </c>
      <c r="C391" t="e">
        <f t="shared" si="38"/>
        <v>#REF!</v>
      </c>
      <c r="D391" s="330" t="s">
        <v>628</v>
      </c>
      <c r="E391"/>
      <c r="F391"/>
      <c r="G391"/>
      <c r="I391"/>
      <c r="K391" s="2">
        <f t="shared" si="34"/>
        <v>386</v>
      </c>
      <c r="O391" s="2">
        <f t="shared" ca="1" si="35"/>
        <v>0</v>
      </c>
      <c r="P391" s="2">
        <f t="shared" ca="1" si="35"/>
        <v>0</v>
      </c>
    </row>
    <row r="392" spans="1:16" outlineLevel="1">
      <c r="A392" s="2" t="str">
        <f t="shared" si="36"/>
        <v/>
      </c>
      <c r="B392" t="str">
        <f t="shared" si="37"/>
        <v/>
      </c>
      <c r="C392" t="e">
        <f t="shared" si="38"/>
        <v>#REF!</v>
      </c>
      <c r="D392" s="330" t="s">
        <v>628</v>
      </c>
      <c r="E392"/>
      <c r="F392"/>
      <c r="G392"/>
      <c r="I392"/>
      <c r="K392" s="2">
        <f t="shared" ref="K392:K455" si="39">K391+1</f>
        <v>387</v>
      </c>
      <c r="O392" s="2">
        <f t="shared" ca="1" si="35"/>
        <v>0</v>
      </c>
      <c r="P392" s="2">
        <f t="shared" ca="1" si="35"/>
        <v>0</v>
      </c>
    </row>
    <row r="393" spans="1:16" outlineLevel="1">
      <c r="A393" s="2" t="str">
        <f t="shared" si="36"/>
        <v/>
      </c>
      <c r="B393" t="str">
        <f t="shared" si="37"/>
        <v/>
      </c>
      <c r="C393" t="e">
        <f t="shared" si="38"/>
        <v>#REF!</v>
      </c>
      <c r="D393" s="330" t="s">
        <v>628</v>
      </c>
      <c r="E393"/>
      <c r="F393"/>
      <c r="G393"/>
      <c r="I393"/>
      <c r="K393" s="2">
        <f t="shared" si="39"/>
        <v>388</v>
      </c>
      <c r="O393" s="2">
        <f t="shared" ca="1" si="35"/>
        <v>0</v>
      </c>
      <c r="P393" s="2">
        <f t="shared" ca="1" si="35"/>
        <v>0</v>
      </c>
    </row>
    <row r="394" spans="1:16" outlineLevel="1">
      <c r="A394" s="2" t="str">
        <f t="shared" si="36"/>
        <v/>
      </c>
      <c r="B394" t="str">
        <f t="shared" si="37"/>
        <v/>
      </c>
      <c r="C394" t="e">
        <f t="shared" si="38"/>
        <v>#REF!</v>
      </c>
      <c r="D394" s="330" t="s">
        <v>628</v>
      </c>
      <c r="E394"/>
      <c r="F394"/>
      <c r="G394"/>
      <c r="I394"/>
      <c r="K394" s="2">
        <f t="shared" si="39"/>
        <v>389</v>
      </c>
      <c r="O394" s="2">
        <f t="shared" ca="1" si="35"/>
        <v>0</v>
      </c>
      <c r="P394" s="2">
        <f t="shared" ca="1" si="35"/>
        <v>0</v>
      </c>
    </row>
    <row r="395" spans="1:16" outlineLevel="1">
      <c r="A395" s="2" t="str">
        <f t="shared" si="36"/>
        <v/>
      </c>
      <c r="B395" t="str">
        <f t="shared" si="37"/>
        <v/>
      </c>
      <c r="C395" t="e">
        <f t="shared" si="38"/>
        <v>#REF!</v>
      </c>
      <c r="D395" s="330" t="s">
        <v>628</v>
      </c>
      <c r="E395"/>
      <c r="F395"/>
      <c r="G395"/>
      <c r="I395"/>
      <c r="K395" s="2">
        <f t="shared" si="39"/>
        <v>390</v>
      </c>
      <c r="O395" s="2">
        <f t="shared" ca="1" si="35"/>
        <v>0</v>
      </c>
      <c r="P395" s="2">
        <f t="shared" ca="1" si="35"/>
        <v>0</v>
      </c>
    </row>
    <row r="396" spans="1:16" outlineLevel="1">
      <c r="A396" s="2" t="str">
        <f t="shared" si="36"/>
        <v/>
      </c>
      <c r="B396" t="str">
        <f t="shared" si="37"/>
        <v/>
      </c>
      <c r="C396" t="e">
        <f t="shared" si="38"/>
        <v>#REF!</v>
      </c>
      <c r="D396" s="330" t="s">
        <v>628</v>
      </c>
      <c r="E396"/>
      <c r="F396"/>
      <c r="G396"/>
      <c r="I396"/>
      <c r="K396" s="2">
        <f t="shared" si="39"/>
        <v>391</v>
      </c>
      <c r="O396" s="2">
        <f t="shared" ca="1" si="35"/>
        <v>0</v>
      </c>
      <c r="P396" s="2">
        <f t="shared" ca="1" si="35"/>
        <v>0</v>
      </c>
    </row>
    <row r="397" spans="1:16" outlineLevel="1">
      <c r="A397" s="2" t="str">
        <f t="shared" si="36"/>
        <v/>
      </c>
      <c r="B397" t="str">
        <f t="shared" si="37"/>
        <v/>
      </c>
      <c r="C397" t="e">
        <f t="shared" si="38"/>
        <v>#REF!</v>
      </c>
      <c r="D397" s="330" t="s">
        <v>628</v>
      </c>
      <c r="E397"/>
      <c r="F397"/>
      <c r="G397"/>
      <c r="I397"/>
      <c r="K397" s="2">
        <f t="shared" si="39"/>
        <v>392</v>
      </c>
      <c r="O397" s="2">
        <f t="shared" ca="1" si="35"/>
        <v>0</v>
      </c>
      <c r="P397" s="2">
        <f t="shared" ca="1" si="35"/>
        <v>0</v>
      </c>
    </row>
    <row r="398" spans="1:16" outlineLevel="1">
      <c r="A398" s="2" t="str">
        <f t="shared" si="36"/>
        <v/>
      </c>
      <c r="B398" t="str">
        <f t="shared" si="37"/>
        <v/>
      </c>
      <c r="C398" t="e">
        <f t="shared" si="38"/>
        <v>#REF!</v>
      </c>
      <c r="D398" s="330" t="s">
        <v>628</v>
      </c>
      <c r="E398"/>
      <c r="F398"/>
      <c r="G398"/>
      <c r="I398"/>
      <c r="K398" s="2">
        <f t="shared" si="39"/>
        <v>393</v>
      </c>
      <c r="O398" s="2">
        <f t="shared" ca="1" si="35"/>
        <v>0</v>
      </c>
      <c r="P398" s="2">
        <f t="shared" ca="1" si="35"/>
        <v>0</v>
      </c>
    </row>
    <row r="399" spans="1:16" outlineLevel="1">
      <c r="A399" s="2" t="str">
        <f t="shared" si="36"/>
        <v/>
      </c>
      <c r="B399" t="str">
        <f t="shared" si="37"/>
        <v/>
      </c>
      <c r="C399" t="e">
        <f t="shared" si="38"/>
        <v>#REF!</v>
      </c>
      <c r="D399" s="330" t="s">
        <v>628</v>
      </c>
      <c r="E399"/>
      <c r="F399"/>
      <c r="G399"/>
      <c r="I399"/>
      <c r="K399" s="2">
        <f t="shared" si="39"/>
        <v>394</v>
      </c>
      <c r="O399" s="2">
        <f t="shared" ca="1" si="35"/>
        <v>0</v>
      </c>
      <c r="P399" s="2">
        <f t="shared" ca="1" si="35"/>
        <v>0</v>
      </c>
    </row>
    <row r="400" spans="1:16" outlineLevel="1">
      <c r="A400" s="2" t="str">
        <f t="shared" si="36"/>
        <v/>
      </c>
      <c r="B400" t="str">
        <f t="shared" si="37"/>
        <v/>
      </c>
      <c r="C400" t="e">
        <f t="shared" si="38"/>
        <v>#REF!</v>
      </c>
      <c r="D400" s="330" t="s">
        <v>628</v>
      </c>
      <c r="E400"/>
      <c r="F400"/>
      <c r="G400"/>
      <c r="I400"/>
      <c r="K400" s="2">
        <f t="shared" si="39"/>
        <v>395</v>
      </c>
      <c r="O400" s="2">
        <f t="shared" ca="1" si="35"/>
        <v>0</v>
      </c>
      <c r="P400" s="2">
        <f t="shared" ca="1" si="35"/>
        <v>0</v>
      </c>
    </row>
    <row r="401" spans="1:16" outlineLevel="1">
      <c r="A401" s="2" t="str">
        <f t="shared" si="36"/>
        <v/>
      </c>
      <c r="B401" t="str">
        <f t="shared" si="37"/>
        <v/>
      </c>
      <c r="C401" t="e">
        <f t="shared" si="38"/>
        <v>#REF!</v>
      </c>
      <c r="D401" s="330" t="s">
        <v>628</v>
      </c>
      <c r="E401"/>
      <c r="F401"/>
      <c r="G401"/>
      <c r="I401"/>
      <c r="K401" s="2">
        <f t="shared" si="39"/>
        <v>396</v>
      </c>
      <c r="O401" s="2">
        <f t="shared" ca="1" si="35"/>
        <v>0</v>
      </c>
      <c r="P401" s="2">
        <f t="shared" ca="1" si="35"/>
        <v>0</v>
      </c>
    </row>
    <row r="402" spans="1:16" outlineLevel="1">
      <c r="A402" s="2" t="str">
        <f t="shared" si="36"/>
        <v/>
      </c>
      <c r="B402" t="str">
        <f t="shared" si="37"/>
        <v/>
      </c>
      <c r="C402" t="e">
        <f t="shared" si="38"/>
        <v>#REF!</v>
      </c>
      <c r="D402" s="330" t="s">
        <v>628</v>
      </c>
      <c r="E402"/>
      <c r="F402"/>
      <c r="G402"/>
      <c r="I402"/>
      <c r="K402" s="2">
        <f t="shared" si="39"/>
        <v>397</v>
      </c>
      <c r="O402" s="2">
        <f t="shared" ca="1" si="35"/>
        <v>0</v>
      </c>
      <c r="P402" s="2">
        <f t="shared" ca="1" si="35"/>
        <v>0</v>
      </c>
    </row>
    <row r="403" spans="1:16" outlineLevel="1">
      <c r="A403" s="2" t="str">
        <f t="shared" si="36"/>
        <v/>
      </c>
      <c r="B403" t="str">
        <f t="shared" si="37"/>
        <v/>
      </c>
      <c r="C403" t="e">
        <f t="shared" si="38"/>
        <v>#REF!</v>
      </c>
      <c r="D403" s="330" t="s">
        <v>628</v>
      </c>
      <c r="E403"/>
      <c r="F403"/>
      <c r="G403"/>
      <c r="I403"/>
      <c r="K403" s="2">
        <f t="shared" si="39"/>
        <v>398</v>
      </c>
      <c r="O403" s="2">
        <f t="shared" ca="1" si="35"/>
        <v>0</v>
      </c>
      <c r="P403" s="2">
        <f t="shared" ca="1" si="35"/>
        <v>0</v>
      </c>
    </row>
    <row r="404" spans="1:16" outlineLevel="1">
      <c r="A404" s="2" t="str">
        <f t="shared" si="36"/>
        <v/>
      </c>
      <c r="B404" t="str">
        <f t="shared" si="37"/>
        <v/>
      </c>
      <c r="C404" t="e">
        <f t="shared" si="38"/>
        <v>#REF!</v>
      </c>
      <c r="D404" s="330" t="s">
        <v>628</v>
      </c>
      <c r="E404"/>
      <c r="F404"/>
      <c r="G404"/>
      <c r="I404"/>
      <c r="K404" s="2">
        <f t="shared" si="39"/>
        <v>399</v>
      </c>
      <c r="O404" s="2">
        <f t="shared" ca="1" si="35"/>
        <v>0</v>
      </c>
      <c r="P404" s="2">
        <f t="shared" ca="1" si="35"/>
        <v>0</v>
      </c>
    </row>
    <row r="405" spans="1:16" outlineLevel="1">
      <c r="A405" s="2" t="str">
        <f t="shared" si="36"/>
        <v/>
      </c>
      <c r="B405" t="str">
        <f t="shared" si="37"/>
        <v/>
      </c>
      <c r="C405" t="e">
        <f t="shared" si="38"/>
        <v>#REF!</v>
      </c>
      <c r="D405" s="330" t="s">
        <v>628</v>
      </c>
      <c r="E405"/>
      <c r="F405"/>
      <c r="G405"/>
      <c r="I405"/>
      <c r="K405" s="2">
        <f t="shared" si="39"/>
        <v>400</v>
      </c>
      <c r="O405" s="2">
        <f t="shared" ca="1" si="35"/>
        <v>0</v>
      </c>
      <c r="P405" s="2">
        <f t="shared" ca="1" si="35"/>
        <v>0</v>
      </c>
    </row>
    <row r="406" spans="1:16" outlineLevel="1">
      <c r="A406" s="2" t="str">
        <f t="shared" si="36"/>
        <v/>
      </c>
      <c r="B406" t="str">
        <f t="shared" si="37"/>
        <v/>
      </c>
      <c r="C406" t="e">
        <f t="shared" si="38"/>
        <v>#REF!</v>
      </c>
      <c r="D406" s="330" t="s">
        <v>628</v>
      </c>
      <c r="E406"/>
      <c r="F406"/>
      <c r="G406"/>
      <c r="I406"/>
      <c r="K406" s="2">
        <f t="shared" si="39"/>
        <v>401</v>
      </c>
      <c r="O406" s="2">
        <f t="shared" ca="1" si="35"/>
        <v>0</v>
      </c>
      <c r="P406" s="2">
        <f t="shared" ca="1" si="35"/>
        <v>0</v>
      </c>
    </row>
    <row r="407" spans="1:16" outlineLevel="1">
      <c r="A407" s="2" t="str">
        <f t="shared" si="36"/>
        <v/>
      </c>
      <c r="B407" t="str">
        <f t="shared" si="37"/>
        <v/>
      </c>
      <c r="C407" t="e">
        <f t="shared" si="38"/>
        <v>#REF!</v>
      </c>
      <c r="D407" s="330" t="s">
        <v>628</v>
      </c>
      <c r="E407"/>
      <c r="F407"/>
      <c r="G407"/>
      <c r="I407"/>
      <c r="K407" s="2">
        <f t="shared" si="39"/>
        <v>402</v>
      </c>
      <c r="O407" s="2">
        <f t="shared" ca="1" si="35"/>
        <v>0</v>
      </c>
      <c r="P407" s="2">
        <f t="shared" ca="1" si="35"/>
        <v>0</v>
      </c>
    </row>
    <row r="408" spans="1:16" outlineLevel="1">
      <c r="A408" s="2" t="str">
        <f t="shared" si="36"/>
        <v/>
      </c>
      <c r="B408" t="str">
        <f t="shared" si="37"/>
        <v/>
      </c>
      <c r="C408" t="e">
        <f t="shared" si="38"/>
        <v>#REF!</v>
      </c>
      <c r="D408" s="330" t="s">
        <v>628</v>
      </c>
      <c r="E408"/>
      <c r="F408"/>
      <c r="G408"/>
      <c r="I408"/>
      <c r="K408" s="2">
        <f t="shared" si="39"/>
        <v>403</v>
      </c>
      <c r="O408" s="2">
        <f t="shared" ca="1" si="35"/>
        <v>0</v>
      </c>
      <c r="P408" s="2">
        <f t="shared" ca="1" si="35"/>
        <v>0</v>
      </c>
    </row>
    <row r="409" spans="1:16" outlineLevel="1">
      <c r="A409" s="2" t="str">
        <f t="shared" si="36"/>
        <v/>
      </c>
      <c r="B409" t="str">
        <f t="shared" si="37"/>
        <v/>
      </c>
      <c r="C409" t="e">
        <f t="shared" si="38"/>
        <v>#REF!</v>
      </c>
      <c r="D409" s="330" t="s">
        <v>628</v>
      </c>
      <c r="E409"/>
      <c r="F409"/>
      <c r="G409"/>
      <c r="I409"/>
      <c r="K409" s="2">
        <f t="shared" si="39"/>
        <v>404</v>
      </c>
      <c r="O409" s="2">
        <f t="shared" ca="1" si="35"/>
        <v>0</v>
      </c>
      <c r="P409" s="2">
        <f t="shared" ca="1" si="35"/>
        <v>0</v>
      </c>
    </row>
    <row r="410" spans="1:16" outlineLevel="1">
      <c r="A410" s="2" t="str">
        <f t="shared" si="36"/>
        <v/>
      </c>
      <c r="B410" t="str">
        <f t="shared" si="37"/>
        <v/>
      </c>
      <c r="C410" t="e">
        <f t="shared" si="38"/>
        <v>#REF!</v>
      </c>
      <c r="D410" s="330" t="s">
        <v>628</v>
      </c>
      <c r="E410"/>
      <c r="F410"/>
      <c r="G410"/>
      <c r="I410"/>
      <c r="K410" s="2">
        <f t="shared" si="39"/>
        <v>405</v>
      </c>
      <c r="O410" s="2">
        <f t="shared" ca="1" si="35"/>
        <v>0</v>
      </c>
      <c r="P410" s="2">
        <f t="shared" ca="1" si="35"/>
        <v>0</v>
      </c>
    </row>
    <row r="411" spans="1:16" outlineLevel="1">
      <c r="A411" s="2" t="str">
        <f t="shared" si="36"/>
        <v/>
      </c>
      <c r="B411" t="str">
        <f t="shared" si="37"/>
        <v/>
      </c>
      <c r="C411" t="e">
        <f t="shared" si="38"/>
        <v>#REF!</v>
      </c>
      <c r="D411" s="330" t="s">
        <v>628</v>
      </c>
      <c r="E411"/>
      <c r="F411"/>
      <c r="G411"/>
      <c r="I411"/>
      <c r="K411" s="2">
        <f t="shared" si="39"/>
        <v>406</v>
      </c>
      <c r="O411" s="2">
        <f t="shared" ca="1" si="35"/>
        <v>0</v>
      </c>
      <c r="P411" s="2">
        <f t="shared" ca="1" si="35"/>
        <v>0</v>
      </c>
    </row>
    <row r="412" spans="1:16" outlineLevel="1">
      <c r="A412" s="2" t="str">
        <f t="shared" si="36"/>
        <v/>
      </c>
      <c r="B412" t="str">
        <f t="shared" si="37"/>
        <v/>
      </c>
      <c r="C412" t="e">
        <f t="shared" si="38"/>
        <v>#REF!</v>
      </c>
      <c r="D412" s="330" t="s">
        <v>628</v>
      </c>
      <c r="E412"/>
      <c r="F412"/>
      <c r="G412"/>
      <c r="I412"/>
      <c r="K412" s="2">
        <f t="shared" si="39"/>
        <v>407</v>
      </c>
      <c r="O412" s="2">
        <f t="shared" ca="1" si="35"/>
        <v>0</v>
      </c>
      <c r="P412" s="2">
        <f t="shared" ca="1" si="35"/>
        <v>0</v>
      </c>
    </row>
    <row r="413" spans="1:16" outlineLevel="1">
      <c r="A413" s="2" t="str">
        <f t="shared" si="36"/>
        <v/>
      </c>
      <c r="B413" t="str">
        <f t="shared" si="37"/>
        <v/>
      </c>
      <c r="C413" t="e">
        <f t="shared" si="38"/>
        <v>#REF!</v>
      </c>
      <c r="D413" s="330" t="s">
        <v>628</v>
      </c>
      <c r="E413"/>
      <c r="F413"/>
      <c r="G413"/>
      <c r="I413"/>
      <c r="K413" s="2">
        <f t="shared" si="39"/>
        <v>408</v>
      </c>
      <c r="O413" s="2">
        <f t="shared" ref="O413:P476" ca="1" si="40">INDIRECT("E"&amp;O$4+$K413)</f>
        <v>0</v>
      </c>
      <c r="P413" s="2">
        <f t="shared" ca="1" si="40"/>
        <v>0</v>
      </c>
    </row>
    <row r="414" spans="1:16" outlineLevel="1">
      <c r="A414" s="2" t="str">
        <f t="shared" si="36"/>
        <v/>
      </c>
      <c r="B414" t="str">
        <f t="shared" si="37"/>
        <v/>
      </c>
      <c r="C414" t="e">
        <f t="shared" si="38"/>
        <v>#REF!</v>
      </c>
      <c r="D414" s="330" t="s">
        <v>628</v>
      </c>
      <c r="E414"/>
      <c r="F414"/>
      <c r="G414"/>
      <c r="I414"/>
      <c r="K414" s="2">
        <f t="shared" si="39"/>
        <v>409</v>
      </c>
      <c r="O414" s="2">
        <f t="shared" ca="1" si="40"/>
        <v>0</v>
      </c>
      <c r="P414" s="2">
        <f t="shared" ca="1" si="40"/>
        <v>0</v>
      </c>
    </row>
    <row r="415" spans="1:16" outlineLevel="1">
      <c r="A415" s="2" t="str">
        <f t="shared" si="36"/>
        <v/>
      </c>
      <c r="B415" t="str">
        <f t="shared" si="37"/>
        <v/>
      </c>
      <c r="C415" t="e">
        <f t="shared" si="38"/>
        <v>#REF!</v>
      </c>
      <c r="D415" s="330" t="s">
        <v>628</v>
      </c>
      <c r="E415"/>
      <c r="F415"/>
      <c r="G415"/>
      <c r="I415"/>
      <c r="K415" s="2">
        <f t="shared" si="39"/>
        <v>410</v>
      </c>
      <c r="O415" s="2">
        <f t="shared" ca="1" si="40"/>
        <v>0</v>
      </c>
      <c r="P415" s="2">
        <f t="shared" ca="1" si="40"/>
        <v>0</v>
      </c>
    </row>
    <row r="416" spans="1:16" outlineLevel="1">
      <c r="A416" s="2" t="str">
        <f t="shared" si="36"/>
        <v/>
      </c>
      <c r="B416" t="str">
        <f t="shared" si="37"/>
        <v/>
      </c>
      <c r="C416" t="e">
        <f t="shared" si="38"/>
        <v>#REF!</v>
      </c>
      <c r="D416" s="330" t="s">
        <v>628</v>
      </c>
      <c r="E416"/>
      <c r="F416"/>
      <c r="G416"/>
      <c r="I416"/>
      <c r="K416" s="2">
        <f t="shared" si="39"/>
        <v>411</v>
      </c>
      <c r="O416" s="2">
        <f t="shared" ca="1" si="40"/>
        <v>0</v>
      </c>
      <c r="P416" s="2">
        <f t="shared" ca="1" si="40"/>
        <v>0</v>
      </c>
    </row>
    <row r="417" spans="1:16" outlineLevel="1">
      <c r="A417" s="2" t="str">
        <f t="shared" ref="A417:A478" si="41">IF(B417="*",ROW(),"")</f>
        <v/>
      </c>
      <c r="B417" t="str">
        <f t="shared" ref="B417:B478" si="42">LEFT(E417,1)</f>
        <v/>
      </c>
      <c r="C417" t="e">
        <f t="shared" ref="C417:C478" si="43">IF(B417="*",RIGHT(E417,10),C416)</f>
        <v>#REF!</v>
      </c>
      <c r="D417" s="330" t="s">
        <v>628</v>
      </c>
      <c r="E417"/>
      <c r="F417"/>
      <c r="G417"/>
      <c r="I417"/>
      <c r="K417" s="2">
        <f t="shared" si="39"/>
        <v>412</v>
      </c>
      <c r="O417" s="2">
        <f t="shared" ca="1" si="40"/>
        <v>0</v>
      </c>
      <c r="P417" s="2">
        <f t="shared" ca="1" si="40"/>
        <v>0</v>
      </c>
    </row>
    <row r="418" spans="1:16" outlineLevel="1">
      <c r="A418" s="2" t="str">
        <f t="shared" si="41"/>
        <v/>
      </c>
      <c r="B418" t="str">
        <f t="shared" si="42"/>
        <v/>
      </c>
      <c r="C418" t="e">
        <f t="shared" si="43"/>
        <v>#REF!</v>
      </c>
      <c r="D418" s="330" t="s">
        <v>628</v>
      </c>
      <c r="E418"/>
      <c r="F418"/>
      <c r="G418"/>
      <c r="I418"/>
      <c r="K418" s="2">
        <f t="shared" si="39"/>
        <v>413</v>
      </c>
      <c r="O418" s="2">
        <f t="shared" ca="1" si="40"/>
        <v>0</v>
      </c>
      <c r="P418" s="2">
        <f t="shared" ca="1" si="40"/>
        <v>0</v>
      </c>
    </row>
    <row r="419" spans="1:16" outlineLevel="1">
      <c r="A419" s="2" t="str">
        <f t="shared" si="41"/>
        <v/>
      </c>
      <c r="B419" t="str">
        <f t="shared" si="42"/>
        <v/>
      </c>
      <c r="C419" t="e">
        <f t="shared" si="43"/>
        <v>#REF!</v>
      </c>
      <c r="D419" s="330" t="s">
        <v>628</v>
      </c>
      <c r="E419"/>
      <c r="F419"/>
      <c r="G419"/>
      <c r="I419"/>
      <c r="K419" s="2">
        <f t="shared" si="39"/>
        <v>414</v>
      </c>
      <c r="O419" s="2">
        <f t="shared" ca="1" si="40"/>
        <v>0</v>
      </c>
      <c r="P419" s="2">
        <f t="shared" ca="1" si="40"/>
        <v>0</v>
      </c>
    </row>
    <row r="420" spans="1:16" outlineLevel="1">
      <c r="A420" s="2" t="str">
        <f t="shared" si="41"/>
        <v/>
      </c>
      <c r="B420" t="str">
        <f t="shared" si="42"/>
        <v/>
      </c>
      <c r="C420" t="e">
        <f t="shared" si="43"/>
        <v>#REF!</v>
      </c>
      <c r="D420" s="330" t="s">
        <v>628</v>
      </c>
      <c r="E420"/>
      <c r="F420"/>
      <c r="G420"/>
      <c r="I420"/>
      <c r="K420" s="2">
        <f t="shared" si="39"/>
        <v>415</v>
      </c>
      <c r="O420" s="2">
        <f t="shared" ca="1" si="40"/>
        <v>0</v>
      </c>
      <c r="P420" s="2">
        <f t="shared" ca="1" si="40"/>
        <v>0</v>
      </c>
    </row>
    <row r="421" spans="1:16" outlineLevel="1">
      <c r="A421" s="2" t="str">
        <f t="shared" si="41"/>
        <v/>
      </c>
      <c r="B421" t="str">
        <f t="shared" si="42"/>
        <v/>
      </c>
      <c r="C421" t="e">
        <f t="shared" si="43"/>
        <v>#REF!</v>
      </c>
      <c r="D421" s="330" t="s">
        <v>628</v>
      </c>
      <c r="E421"/>
      <c r="F421"/>
      <c r="G421"/>
      <c r="I421"/>
      <c r="K421" s="2">
        <f t="shared" si="39"/>
        <v>416</v>
      </c>
      <c r="O421" s="2">
        <f t="shared" ca="1" si="40"/>
        <v>0</v>
      </c>
      <c r="P421" s="2">
        <f t="shared" ca="1" si="40"/>
        <v>0</v>
      </c>
    </row>
    <row r="422" spans="1:16" outlineLevel="1">
      <c r="A422" s="2" t="str">
        <f t="shared" si="41"/>
        <v/>
      </c>
      <c r="B422" t="str">
        <f t="shared" si="42"/>
        <v/>
      </c>
      <c r="C422" t="e">
        <f t="shared" si="43"/>
        <v>#REF!</v>
      </c>
      <c r="D422" s="330" t="s">
        <v>628</v>
      </c>
      <c r="E422"/>
      <c r="F422"/>
      <c r="G422"/>
      <c r="I422"/>
      <c r="K422" s="2">
        <f t="shared" si="39"/>
        <v>417</v>
      </c>
      <c r="O422" s="2">
        <f t="shared" ca="1" si="40"/>
        <v>0</v>
      </c>
      <c r="P422" s="2">
        <f t="shared" ca="1" si="40"/>
        <v>0</v>
      </c>
    </row>
    <row r="423" spans="1:16" outlineLevel="1">
      <c r="A423" s="2" t="str">
        <f t="shared" si="41"/>
        <v/>
      </c>
      <c r="B423" t="str">
        <f t="shared" si="42"/>
        <v/>
      </c>
      <c r="C423" t="e">
        <f t="shared" si="43"/>
        <v>#REF!</v>
      </c>
      <c r="D423" s="330" t="s">
        <v>628</v>
      </c>
      <c r="E423"/>
      <c r="F423"/>
      <c r="G423"/>
      <c r="I423"/>
      <c r="K423" s="2">
        <f t="shared" si="39"/>
        <v>418</v>
      </c>
      <c r="O423" s="2">
        <f t="shared" ca="1" si="40"/>
        <v>0</v>
      </c>
      <c r="P423" s="2">
        <f t="shared" ca="1" si="40"/>
        <v>0</v>
      </c>
    </row>
    <row r="424" spans="1:16" outlineLevel="1">
      <c r="A424" s="2" t="str">
        <f t="shared" si="41"/>
        <v/>
      </c>
      <c r="B424" t="str">
        <f t="shared" si="42"/>
        <v/>
      </c>
      <c r="C424" t="e">
        <f t="shared" si="43"/>
        <v>#REF!</v>
      </c>
      <c r="D424" s="330" t="s">
        <v>628</v>
      </c>
      <c r="E424"/>
      <c r="F424"/>
      <c r="G424"/>
      <c r="I424"/>
      <c r="K424" s="2">
        <f t="shared" si="39"/>
        <v>419</v>
      </c>
      <c r="O424" s="2">
        <f t="shared" ca="1" si="40"/>
        <v>0</v>
      </c>
      <c r="P424" s="2">
        <f t="shared" ca="1" si="40"/>
        <v>0</v>
      </c>
    </row>
    <row r="425" spans="1:16" outlineLevel="1">
      <c r="A425" s="2" t="str">
        <f t="shared" si="41"/>
        <v/>
      </c>
      <c r="B425" t="str">
        <f t="shared" si="42"/>
        <v/>
      </c>
      <c r="C425" t="e">
        <f t="shared" si="43"/>
        <v>#REF!</v>
      </c>
      <c r="D425" s="330" t="s">
        <v>628</v>
      </c>
      <c r="E425"/>
      <c r="F425"/>
      <c r="G425"/>
      <c r="I425"/>
      <c r="K425" s="2">
        <f t="shared" si="39"/>
        <v>420</v>
      </c>
      <c r="O425" s="2">
        <f t="shared" ca="1" si="40"/>
        <v>0</v>
      </c>
      <c r="P425" s="2">
        <f t="shared" ca="1" si="40"/>
        <v>0</v>
      </c>
    </row>
    <row r="426" spans="1:16" outlineLevel="1">
      <c r="A426" s="2" t="str">
        <f t="shared" si="41"/>
        <v/>
      </c>
      <c r="B426" t="str">
        <f t="shared" si="42"/>
        <v/>
      </c>
      <c r="C426" t="e">
        <f t="shared" si="43"/>
        <v>#REF!</v>
      </c>
      <c r="D426" s="330" t="s">
        <v>628</v>
      </c>
      <c r="E426"/>
      <c r="F426"/>
      <c r="G426"/>
      <c r="I426"/>
      <c r="K426" s="2">
        <f t="shared" si="39"/>
        <v>421</v>
      </c>
      <c r="O426" s="2">
        <f t="shared" ca="1" si="40"/>
        <v>0</v>
      </c>
      <c r="P426" s="2">
        <f t="shared" ca="1" si="40"/>
        <v>0</v>
      </c>
    </row>
    <row r="427" spans="1:16" outlineLevel="1">
      <c r="A427" s="2" t="str">
        <f t="shared" si="41"/>
        <v/>
      </c>
      <c r="B427" t="str">
        <f t="shared" si="42"/>
        <v/>
      </c>
      <c r="C427" t="e">
        <f t="shared" si="43"/>
        <v>#REF!</v>
      </c>
      <c r="D427" s="330" t="s">
        <v>628</v>
      </c>
      <c r="E427"/>
      <c r="F427"/>
      <c r="G427"/>
      <c r="I427"/>
      <c r="K427" s="2">
        <f t="shared" si="39"/>
        <v>422</v>
      </c>
      <c r="O427" s="2">
        <f t="shared" ca="1" si="40"/>
        <v>0</v>
      </c>
      <c r="P427" s="2">
        <f t="shared" ca="1" si="40"/>
        <v>0</v>
      </c>
    </row>
    <row r="428" spans="1:16" outlineLevel="1">
      <c r="A428" s="2" t="str">
        <f t="shared" si="41"/>
        <v/>
      </c>
      <c r="B428" t="str">
        <f t="shared" si="42"/>
        <v/>
      </c>
      <c r="C428" t="e">
        <f t="shared" si="43"/>
        <v>#REF!</v>
      </c>
      <c r="D428" s="330" t="s">
        <v>628</v>
      </c>
      <c r="E428"/>
      <c r="F428"/>
      <c r="G428"/>
      <c r="I428"/>
      <c r="K428" s="2">
        <f t="shared" si="39"/>
        <v>423</v>
      </c>
      <c r="O428" s="2">
        <f t="shared" ca="1" si="40"/>
        <v>0</v>
      </c>
      <c r="P428" s="2">
        <f t="shared" ca="1" si="40"/>
        <v>0</v>
      </c>
    </row>
    <row r="429" spans="1:16" outlineLevel="1">
      <c r="A429" s="2" t="str">
        <f t="shared" si="41"/>
        <v/>
      </c>
      <c r="B429" t="str">
        <f t="shared" si="42"/>
        <v/>
      </c>
      <c r="C429" t="e">
        <f t="shared" si="43"/>
        <v>#REF!</v>
      </c>
      <c r="D429" s="330" t="s">
        <v>628</v>
      </c>
      <c r="E429"/>
      <c r="F429"/>
      <c r="G429"/>
      <c r="I429"/>
      <c r="K429" s="2">
        <f t="shared" si="39"/>
        <v>424</v>
      </c>
      <c r="O429" s="2">
        <f t="shared" ca="1" si="40"/>
        <v>0</v>
      </c>
      <c r="P429" s="2">
        <f t="shared" ca="1" si="40"/>
        <v>0</v>
      </c>
    </row>
    <row r="430" spans="1:16" outlineLevel="1">
      <c r="A430" s="2" t="str">
        <f t="shared" si="41"/>
        <v/>
      </c>
      <c r="B430" t="str">
        <f t="shared" si="42"/>
        <v/>
      </c>
      <c r="C430" t="e">
        <f t="shared" si="43"/>
        <v>#REF!</v>
      </c>
      <c r="D430" s="330" t="s">
        <v>628</v>
      </c>
      <c r="E430"/>
      <c r="F430"/>
      <c r="G430"/>
      <c r="I430"/>
      <c r="K430" s="2">
        <f t="shared" si="39"/>
        <v>425</v>
      </c>
      <c r="O430" s="2">
        <f t="shared" ca="1" si="40"/>
        <v>0</v>
      </c>
      <c r="P430" s="2">
        <f t="shared" ca="1" si="40"/>
        <v>0</v>
      </c>
    </row>
    <row r="431" spans="1:16" outlineLevel="1">
      <c r="A431" s="2" t="str">
        <f t="shared" si="41"/>
        <v/>
      </c>
      <c r="B431" t="str">
        <f t="shared" si="42"/>
        <v/>
      </c>
      <c r="C431" t="e">
        <f t="shared" si="43"/>
        <v>#REF!</v>
      </c>
      <c r="D431" s="330" t="s">
        <v>628</v>
      </c>
      <c r="E431"/>
      <c r="F431"/>
      <c r="G431"/>
      <c r="I431"/>
      <c r="K431" s="2">
        <f t="shared" si="39"/>
        <v>426</v>
      </c>
      <c r="O431" s="2">
        <f t="shared" ca="1" si="40"/>
        <v>0</v>
      </c>
      <c r="P431" s="2">
        <f t="shared" ca="1" si="40"/>
        <v>0</v>
      </c>
    </row>
    <row r="432" spans="1:16" outlineLevel="1">
      <c r="A432" s="2" t="str">
        <f t="shared" si="41"/>
        <v/>
      </c>
      <c r="B432" t="str">
        <f t="shared" si="42"/>
        <v/>
      </c>
      <c r="C432" t="e">
        <f t="shared" si="43"/>
        <v>#REF!</v>
      </c>
      <c r="D432" s="330" t="s">
        <v>628</v>
      </c>
      <c r="E432"/>
      <c r="F432"/>
      <c r="G432"/>
      <c r="I432"/>
      <c r="K432" s="2">
        <f t="shared" si="39"/>
        <v>427</v>
      </c>
      <c r="O432" s="2">
        <f t="shared" ca="1" si="40"/>
        <v>0</v>
      </c>
      <c r="P432" s="2">
        <f t="shared" ca="1" si="40"/>
        <v>0</v>
      </c>
    </row>
    <row r="433" spans="1:16" outlineLevel="1">
      <c r="A433" s="2" t="str">
        <f t="shared" si="41"/>
        <v/>
      </c>
      <c r="B433" t="str">
        <f t="shared" si="42"/>
        <v/>
      </c>
      <c r="C433" t="e">
        <f t="shared" si="43"/>
        <v>#REF!</v>
      </c>
      <c r="D433" s="330" t="s">
        <v>628</v>
      </c>
      <c r="E433"/>
      <c r="F433"/>
      <c r="G433"/>
      <c r="I433"/>
      <c r="K433" s="2">
        <f t="shared" si="39"/>
        <v>428</v>
      </c>
      <c r="O433" s="2">
        <f t="shared" ca="1" si="40"/>
        <v>0</v>
      </c>
      <c r="P433" s="2">
        <f t="shared" ca="1" si="40"/>
        <v>0</v>
      </c>
    </row>
    <row r="434" spans="1:16" outlineLevel="1">
      <c r="A434" s="2" t="str">
        <f t="shared" si="41"/>
        <v/>
      </c>
      <c r="B434" t="str">
        <f t="shared" si="42"/>
        <v/>
      </c>
      <c r="C434" t="e">
        <f t="shared" si="43"/>
        <v>#REF!</v>
      </c>
      <c r="D434" s="330" t="s">
        <v>628</v>
      </c>
      <c r="E434"/>
      <c r="F434"/>
      <c r="G434"/>
      <c r="I434"/>
      <c r="K434" s="2">
        <f t="shared" si="39"/>
        <v>429</v>
      </c>
      <c r="O434" s="2">
        <f t="shared" ca="1" si="40"/>
        <v>0</v>
      </c>
      <c r="P434" s="2">
        <f t="shared" ca="1" si="40"/>
        <v>0</v>
      </c>
    </row>
    <row r="435" spans="1:16" outlineLevel="1">
      <c r="A435" s="2" t="str">
        <f t="shared" si="41"/>
        <v/>
      </c>
      <c r="B435" t="str">
        <f t="shared" si="42"/>
        <v/>
      </c>
      <c r="C435" t="e">
        <f t="shared" si="43"/>
        <v>#REF!</v>
      </c>
      <c r="D435" s="330" t="s">
        <v>628</v>
      </c>
      <c r="E435"/>
      <c r="F435"/>
      <c r="G435"/>
      <c r="I435"/>
      <c r="K435" s="2">
        <f t="shared" si="39"/>
        <v>430</v>
      </c>
      <c r="O435" s="2">
        <f t="shared" ca="1" si="40"/>
        <v>0</v>
      </c>
      <c r="P435" s="2">
        <f t="shared" ca="1" si="40"/>
        <v>0</v>
      </c>
    </row>
    <row r="436" spans="1:16" outlineLevel="1">
      <c r="A436" s="2" t="str">
        <f t="shared" si="41"/>
        <v/>
      </c>
      <c r="B436" t="str">
        <f t="shared" si="42"/>
        <v/>
      </c>
      <c r="C436" t="e">
        <f t="shared" si="43"/>
        <v>#REF!</v>
      </c>
      <c r="D436" s="330" t="s">
        <v>628</v>
      </c>
      <c r="E436"/>
      <c r="F436"/>
      <c r="G436"/>
      <c r="I436"/>
      <c r="K436" s="2">
        <f t="shared" si="39"/>
        <v>431</v>
      </c>
      <c r="O436" s="2">
        <f t="shared" ca="1" si="40"/>
        <v>0</v>
      </c>
      <c r="P436" s="2">
        <f t="shared" ca="1" si="40"/>
        <v>0</v>
      </c>
    </row>
    <row r="437" spans="1:16" outlineLevel="1">
      <c r="A437" s="2" t="str">
        <f t="shared" si="41"/>
        <v/>
      </c>
      <c r="B437" t="str">
        <f t="shared" si="42"/>
        <v/>
      </c>
      <c r="C437" t="e">
        <f t="shared" si="43"/>
        <v>#REF!</v>
      </c>
      <c r="D437" s="330" t="s">
        <v>628</v>
      </c>
      <c r="E437"/>
      <c r="F437"/>
      <c r="G437"/>
      <c r="I437"/>
      <c r="K437" s="2">
        <f t="shared" si="39"/>
        <v>432</v>
      </c>
      <c r="O437" s="2">
        <f t="shared" ca="1" si="40"/>
        <v>0</v>
      </c>
      <c r="P437" s="2">
        <f t="shared" ca="1" si="40"/>
        <v>0</v>
      </c>
    </row>
    <row r="438" spans="1:16" outlineLevel="1">
      <c r="A438" s="2" t="str">
        <f t="shared" si="41"/>
        <v/>
      </c>
      <c r="B438" t="str">
        <f t="shared" si="42"/>
        <v/>
      </c>
      <c r="C438" t="e">
        <f t="shared" si="43"/>
        <v>#REF!</v>
      </c>
      <c r="D438" s="330" t="s">
        <v>628</v>
      </c>
      <c r="E438"/>
      <c r="F438"/>
      <c r="G438"/>
      <c r="I438"/>
      <c r="K438" s="2">
        <f t="shared" si="39"/>
        <v>433</v>
      </c>
      <c r="O438" s="2">
        <f t="shared" ca="1" si="40"/>
        <v>0</v>
      </c>
      <c r="P438" s="2">
        <f t="shared" ca="1" si="40"/>
        <v>0</v>
      </c>
    </row>
    <row r="439" spans="1:16" outlineLevel="1">
      <c r="A439" s="2" t="str">
        <f t="shared" si="41"/>
        <v/>
      </c>
      <c r="B439" t="str">
        <f t="shared" si="42"/>
        <v/>
      </c>
      <c r="C439" t="e">
        <f t="shared" si="43"/>
        <v>#REF!</v>
      </c>
      <c r="D439" s="330" t="s">
        <v>628</v>
      </c>
      <c r="E439"/>
      <c r="F439"/>
      <c r="G439"/>
      <c r="I439"/>
      <c r="K439" s="2">
        <f t="shared" si="39"/>
        <v>434</v>
      </c>
      <c r="O439" s="2">
        <f t="shared" ca="1" si="40"/>
        <v>0</v>
      </c>
      <c r="P439" s="2">
        <f t="shared" ca="1" si="40"/>
        <v>0</v>
      </c>
    </row>
    <row r="440" spans="1:16" outlineLevel="1">
      <c r="A440" s="2" t="str">
        <f t="shared" si="41"/>
        <v/>
      </c>
      <c r="B440" t="str">
        <f t="shared" si="42"/>
        <v/>
      </c>
      <c r="C440" t="e">
        <f t="shared" si="43"/>
        <v>#REF!</v>
      </c>
      <c r="D440" s="330" t="s">
        <v>628</v>
      </c>
      <c r="E440"/>
      <c r="F440"/>
      <c r="G440"/>
      <c r="I440"/>
      <c r="K440" s="2">
        <f t="shared" si="39"/>
        <v>435</v>
      </c>
      <c r="O440" s="2">
        <f t="shared" ca="1" si="40"/>
        <v>0</v>
      </c>
      <c r="P440" s="2">
        <f t="shared" ca="1" si="40"/>
        <v>0</v>
      </c>
    </row>
    <row r="441" spans="1:16" outlineLevel="1">
      <c r="A441" s="2" t="str">
        <f t="shared" si="41"/>
        <v/>
      </c>
      <c r="B441" t="str">
        <f t="shared" si="42"/>
        <v/>
      </c>
      <c r="C441" t="e">
        <f t="shared" si="43"/>
        <v>#REF!</v>
      </c>
      <c r="D441" s="330" t="s">
        <v>628</v>
      </c>
      <c r="E441"/>
      <c r="F441"/>
      <c r="G441"/>
      <c r="I441"/>
      <c r="K441" s="2">
        <f t="shared" si="39"/>
        <v>436</v>
      </c>
      <c r="O441" s="2">
        <f t="shared" ca="1" si="40"/>
        <v>0</v>
      </c>
      <c r="P441" s="2">
        <f t="shared" ca="1" si="40"/>
        <v>0</v>
      </c>
    </row>
    <row r="442" spans="1:16" outlineLevel="1">
      <c r="A442" s="2" t="str">
        <f t="shared" si="41"/>
        <v/>
      </c>
      <c r="B442" t="str">
        <f t="shared" si="42"/>
        <v/>
      </c>
      <c r="C442" t="e">
        <f t="shared" si="43"/>
        <v>#REF!</v>
      </c>
      <c r="D442" s="330" t="s">
        <v>628</v>
      </c>
      <c r="E442"/>
      <c r="F442"/>
      <c r="G442"/>
      <c r="I442"/>
      <c r="K442" s="2">
        <f t="shared" si="39"/>
        <v>437</v>
      </c>
      <c r="O442" s="2">
        <f t="shared" ca="1" si="40"/>
        <v>0</v>
      </c>
      <c r="P442" s="2">
        <f t="shared" ca="1" si="40"/>
        <v>0</v>
      </c>
    </row>
    <row r="443" spans="1:16" outlineLevel="1">
      <c r="A443" s="2" t="str">
        <f t="shared" si="41"/>
        <v/>
      </c>
      <c r="B443" t="str">
        <f t="shared" si="42"/>
        <v/>
      </c>
      <c r="C443" t="e">
        <f t="shared" si="43"/>
        <v>#REF!</v>
      </c>
      <c r="D443" s="330" t="s">
        <v>628</v>
      </c>
      <c r="E443"/>
      <c r="F443"/>
      <c r="G443"/>
      <c r="I443"/>
      <c r="K443" s="2">
        <f t="shared" si="39"/>
        <v>438</v>
      </c>
      <c r="O443" s="2">
        <f t="shared" ca="1" si="40"/>
        <v>0</v>
      </c>
      <c r="P443" s="2">
        <f t="shared" ca="1" si="40"/>
        <v>0</v>
      </c>
    </row>
    <row r="444" spans="1:16" outlineLevel="1">
      <c r="A444" s="2" t="str">
        <f t="shared" si="41"/>
        <v/>
      </c>
      <c r="B444" t="str">
        <f t="shared" si="42"/>
        <v/>
      </c>
      <c r="C444" t="e">
        <f t="shared" si="43"/>
        <v>#REF!</v>
      </c>
      <c r="D444" s="330" t="s">
        <v>628</v>
      </c>
      <c r="E444"/>
      <c r="F444"/>
      <c r="G444"/>
      <c r="I444"/>
      <c r="K444" s="2">
        <f t="shared" si="39"/>
        <v>439</v>
      </c>
      <c r="O444" s="2">
        <f t="shared" ca="1" si="40"/>
        <v>0</v>
      </c>
      <c r="P444" s="2">
        <f t="shared" ca="1" si="40"/>
        <v>0</v>
      </c>
    </row>
    <row r="445" spans="1:16" outlineLevel="1">
      <c r="A445" s="2" t="str">
        <f t="shared" si="41"/>
        <v/>
      </c>
      <c r="B445" t="str">
        <f t="shared" si="42"/>
        <v/>
      </c>
      <c r="C445" t="e">
        <f t="shared" si="43"/>
        <v>#REF!</v>
      </c>
      <c r="D445" s="330" t="s">
        <v>628</v>
      </c>
      <c r="E445"/>
      <c r="F445"/>
      <c r="G445"/>
      <c r="I445"/>
      <c r="K445" s="2">
        <f t="shared" si="39"/>
        <v>440</v>
      </c>
      <c r="O445" s="2">
        <f t="shared" ca="1" si="40"/>
        <v>0</v>
      </c>
      <c r="P445" s="2">
        <f t="shared" ca="1" si="40"/>
        <v>0</v>
      </c>
    </row>
    <row r="446" spans="1:16" outlineLevel="1">
      <c r="A446" s="2" t="str">
        <f t="shared" si="41"/>
        <v/>
      </c>
      <c r="B446" t="str">
        <f t="shared" si="42"/>
        <v/>
      </c>
      <c r="C446" t="e">
        <f t="shared" si="43"/>
        <v>#REF!</v>
      </c>
      <c r="D446" s="330" t="s">
        <v>628</v>
      </c>
      <c r="E446"/>
      <c r="F446"/>
      <c r="G446"/>
      <c r="I446"/>
      <c r="K446" s="2">
        <f t="shared" si="39"/>
        <v>441</v>
      </c>
      <c r="O446" s="2">
        <f t="shared" ca="1" si="40"/>
        <v>0</v>
      </c>
      <c r="P446" s="2">
        <f t="shared" ca="1" si="40"/>
        <v>0</v>
      </c>
    </row>
    <row r="447" spans="1:16" outlineLevel="1">
      <c r="A447" s="2" t="str">
        <f t="shared" si="41"/>
        <v/>
      </c>
      <c r="B447" t="str">
        <f t="shared" si="42"/>
        <v/>
      </c>
      <c r="C447" t="e">
        <f t="shared" si="43"/>
        <v>#REF!</v>
      </c>
      <c r="D447" s="330" t="s">
        <v>628</v>
      </c>
      <c r="E447"/>
      <c r="F447"/>
      <c r="G447"/>
      <c r="I447"/>
      <c r="K447" s="2">
        <f t="shared" si="39"/>
        <v>442</v>
      </c>
      <c r="O447" s="2">
        <f t="shared" ca="1" si="40"/>
        <v>0</v>
      </c>
      <c r="P447" s="2">
        <f t="shared" ca="1" si="40"/>
        <v>0</v>
      </c>
    </row>
    <row r="448" spans="1:16" outlineLevel="1">
      <c r="A448" s="2" t="str">
        <f t="shared" si="41"/>
        <v/>
      </c>
      <c r="B448" t="str">
        <f t="shared" si="42"/>
        <v/>
      </c>
      <c r="C448" t="e">
        <f t="shared" si="43"/>
        <v>#REF!</v>
      </c>
      <c r="D448" s="330" t="s">
        <v>628</v>
      </c>
      <c r="E448"/>
      <c r="F448"/>
      <c r="G448"/>
      <c r="I448"/>
      <c r="K448" s="2">
        <f t="shared" si="39"/>
        <v>443</v>
      </c>
      <c r="O448" s="2">
        <f t="shared" ca="1" si="40"/>
        <v>0</v>
      </c>
      <c r="P448" s="2">
        <f t="shared" ca="1" si="40"/>
        <v>0</v>
      </c>
    </row>
    <row r="449" spans="1:16" outlineLevel="1">
      <c r="A449" s="2" t="str">
        <f t="shared" si="41"/>
        <v/>
      </c>
      <c r="B449" t="str">
        <f t="shared" si="42"/>
        <v/>
      </c>
      <c r="C449" t="e">
        <f t="shared" si="43"/>
        <v>#REF!</v>
      </c>
      <c r="D449" s="330" t="s">
        <v>628</v>
      </c>
      <c r="E449"/>
      <c r="F449"/>
      <c r="G449"/>
      <c r="I449"/>
      <c r="K449" s="2">
        <f t="shared" si="39"/>
        <v>444</v>
      </c>
      <c r="O449" s="2">
        <f t="shared" ca="1" si="40"/>
        <v>0</v>
      </c>
      <c r="P449" s="2">
        <f t="shared" ca="1" si="40"/>
        <v>0</v>
      </c>
    </row>
    <row r="450" spans="1:16" outlineLevel="1">
      <c r="A450" s="2" t="str">
        <f t="shared" si="41"/>
        <v/>
      </c>
      <c r="B450" t="str">
        <f t="shared" si="42"/>
        <v/>
      </c>
      <c r="C450" t="e">
        <f t="shared" si="43"/>
        <v>#REF!</v>
      </c>
      <c r="D450" s="330" t="s">
        <v>628</v>
      </c>
      <c r="E450"/>
      <c r="F450"/>
      <c r="G450"/>
      <c r="I450"/>
      <c r="K450" s="2">
        <f t="shared" si="39"/>
        <v>445</v>
      </c>
      <c r="O450" s="2">
        <f t="shared" ca="1" si="40"/>
        <v>0</v>
      </c>
      <c r="P450" s="2">
        <f t="shared" ca="1" si="40"/>
        <v>0</v>
      </c>
    </row>
    <row r="451" spans="1:16" outlineLevel="1">
      <c r="A451" s="2" t="str">
        <f t="shared" si="41"/>
        <v/>
      </c>
      <c r="B451" t="str">
        <f t="shared" si="42"/>
        <v/>
      </c>
      <c r="C451" t="e">
        <f t="shared" si="43"/>
        <v>#REF!</v>
      </c>
      <c r="D451" s="330" t="s">
        <v>628</v>
      </c>
      <c r="E451"/>
      <c r="F451"/>
      <c r="G451"/>
      <c r="I451"/>
      <c r="K451" s="2">
        <f t="shared" si="39"/>
        <v>446</v>
      </c>
      <c r="O451" s="2">
        <f t="shared" ca="1" si="40"/>
        <v>0</v>
      </c>
      <c r="P451" s="2">
        <f t="shared" ca="1" si="40"/>
        <v>0</v>
      </c>
    </row>
    <row r="452" spans="1:16" outlineLevel="1">
      <c r="A452" s="2" t="str">
        <f t="shared" si="41"/>
        <v/>
      </c>
      <c r="B452" t="str">
        <f t="shared" si="42"/>
        <v/>
      </c>
      <c r="C452" t="e">
        <f t="shared" si="43"/>
        <v>#REF!</v>
      </c>
      <c r="D452" s="330" t="s">
        <v>628</v>
      </c>
      <c r="E452"/>
      <c r="F452"/>
      <c r="G452"/>
      <c r="I452"/>
      <c r="K452" s="2">
        <f t="shared" si="39"/>
        <v>447</v>
      </c>
      <c r="O452" s="2">
        <f t="shared" ca="1" si="40"/>
        <v>0</v>
      </c>
      <c r="P452" s="2">
        <f t="shared" ca="1" si="40"/>
        <v>0</v>
      </c>
    </row>
    <row r="453" spans="1:16" outlineLevel="1">
      <c r="A453" s="2" t="str">
        <f t="shared" si="41"/>
        <v/>
      </c>
      <c r="B453" t="str">
        <f t="shared" si="42"/>
        <v/>
      </c>
      <c r="C453" t="e">
        <f t="shared" si="43"/>
        <v>#REF!</v>
      </c>
      <c r="D453" s="330" t="s">
        <v>628</v>
      </c>
      <c r="E453"/>
      <c r="F453"/>
      <c r="G453"/>
      <c r="I453"/>
      <c r="K453" s="2">
        <f t="shared" si="39"/>
        <v>448</v>
      </c>
      <c r="O453" s="2">
        <f t="shared" ca="1" si="40"/>
        <v>0</v>
      </c>
      <c r="P453" s="2">
        <f t="shared" ca="1" si="40"/>
        <v>0</v>
      </c>
    </row>
    <row r="454" spans="1:16" outlineLevel="1">
      <c r="A454" s="2" t="str">
        <f t="shared" si="41"/>
        <v/>
      </c>
      <c r="B454" t="str">
        <f t="shared" si="42"/>
        <v/>
      </c>
      <c r="C454" t="e">
        <f t="shared" si="43"/>
        <v>#REF!</v>
      </c>
      <c r="D454" s="330" t="s">
        <v>628</v>
      </c>
      <c r="E454"/>
      <c r="F454"/>
      <c r="G454"/>
      <c r="I454"/>
      <c r="K454" s="2">
        <f t="shared" si="39"/>
        <v>449</v>
      </c>
      <c r="O454" s="2">
        <f t="shared" ca="1" si="40"/>
        <v>0</v>
      </c>
      <c r="P454" s="2">
        <f t="shared" ca="1" si="40"/>
        <v>0</v>
      </c>
    </row>
    <row r="455" spans="1:16" outlineLevel="1">
      <c r="A455" s="2" t="str">
        <f t="shared" si="41"/>
        <v/>
      </c>
      <c r="B455" t="str">
        <f t="shared" si="42"/>
        <v/>
      </c>
      <c r="C455" t="e">
        <f t="shared" si="43"/>
        <v>#REF!</v>
      </c>
      <c r="D455" s="330" t="s">
        <v>628</v>
      </c>
      <c r="E455"/>
      <c r="F455"/>
      <c r="G455"/>
      <c r="I455"/>
      <c r="K455" s="2">
        <f t="shared" si="39"/>
        <v>450</v>
      </c>
      <c r="O455" s="2">
        <f t="shared" ca="1" si="40"/>
        <v>0</v>
      </c>
      <c r="P455" s="2">
        <f t="shared" ca="1" si="40"/>
        <v>0</v>
      </c>
    </row>
    <row r="456" spans="1:16" outlineLevel="1">
      <c r="A456" s="2" t="str">
        <f t="shared" si="41"/>
        <v/>
      </c>
      <c r="B456" t="str">
        <f t="shared" si="42"/>
        <v/>
      </c>
      <c r="C456" t="e">
        <f t="shared" si="43"/>
        <v>#REF!</v>
      </c>
      <c r="D456" s="330" t="s">
        <v>628</v>
      </c>
      <c r="E456"/>
      <c r="F456"/>
      <c r="G456"/>
      <c r="I456"/>
      <c r="K456" s="2">
        <f t="shared" ref="K456:K519" si="44">K455+1</f>
        <v>451</v>
      </c>
      <c r="O456" s="2">
        <f t="shared" ca="1" si="40"/>
        <v>0</v>
      </c>
      <c r="P456" s="2">
        <f t="shared" ca="1" si="40"/>
        <v>0</v>
      </c>
    </row>
    <row r="457" spans="1:16" outlineLevel="1">
      <c r="A457" s="2" t="str">
        <f t="shared" si="41"/>
        <v/>
      </c>
      <c r="B457" t="str">
        <f t="shared" si="42"/>
        <v/>
      </c>
      <c r="C457" t="e">
        <f t="shared" si="43"/>
        <v>#REF!</v>
      </c>
      <c r="D457" s="330" t="s">
        <v>628</v>
      </c>
      <c r="E457"/>
      <c r="F457"/>
      <c r="G457"/>
      <c r="I457"/>
      <c r="K457" s="2">
        <f t="shared" si="44"/>
        <v>452</v>
      </c>
      <c r="O457" s="2">
        <f t="shared" ca="1" si="40"/>
        <v>0</v>
      </c>
      <c r="P457" s="2">
        <f t="shared" ca="1" si="40"/>
        <v>0</v>
      </c>
    </row>
    <row r="458" spans="1:16" outlineLevel="1">
      <c r="A458" s="2" t="str">
        <f t="shared" si="41"/>
        <v/>
      </c>
      <c r="B458" t="str">
        <f t="shared" si="42"/>
        <v/>
      </c>
      <c r="C458" t="e">
        <f t="shared" si="43"/>
        <v>#REF!</v>
      </c>
      <c r="D458" s="330" t="s">
        <v>628</v>
      </c>
      <c r="E458"/>
      <c r="F458"/>
      <c r="G458"/>
      <c r="I458"/>
      <c r="K458" s="2">
        <f t="shared" si="44"/>
        <v>453</v>
      </c>
      <c r="O458" s="2">
        <f t="shared" ca="1" si="40"/>
        <v>0</v>
      </c>
      <c r="P458" s="2">
        <f t="shared" ca="1" si="40"/>
        <v>0</v>
      </c>
    </row>
    <row r="459" spans="1:16" outlineLevel="1" collapsed="1">
      <c r="A459" s="2" t="str">
        <f t="shared" si="41"/>
        <v/>
      </c>
      <c r="B459" t="str">
        <f t="shared" si="42"/>
        <v/>
      </c>
      <c r="C459" t="e">
        <f t="shared" si="43"/>
        <v>#REF!</v>
      </c>
      <c r="D459" s="330" t="s">
        <v>628</v>
      </c>
      <c r="E459"/>
      <c r="F459"/>
      <c r="G459"/>
      <c r="I459"/>
      <c r="K459" s="2">
        <f t="shared" si="44"/>
        <v>454</v>
      </c>
      <c r="O459" s="2">
        <f t="shared" ca="1" si="40"/>
        <v>0</v>
      </c>
      <c r="P459" s="2">
        <f t="shared" ca="1" si="40"/>
        <v>0</v>
      </c>
    </row>
    <row r="460" spans="1:16" outlineLevel="1">
      <c r="A460" s="2" t="str">
        <f t="shared" si="41"/>
        <v/>
      </c>
      <c r="B460" t="str">
        <f t="shared" si="42"/>
        <v/>
      </c>
      <c r="C460" t="e">
        <f t="shared" si="43"/>
        <v>#REF!</v>
      </c>
      <c r="D460" s="330" t="s">
        <v>628</v>
      </c>
      <c r="E460"/>
      <c r="F460"/>
      <c r="G460"/>
      <c r="I460"/>
      <c r="K460" s="2">
        <f t="shared" si="44"/>
        <v>455</v>
      </c>
      <c r="O460" s="2">
        <f t="shared" ca="1" si="40"/>
        <v>0</v>
      </c>
      <c r="P460" s="2">
        <f t="shared" ca="1" si="40"/>
        <v>0</v>
      </c>
    </row>
    <row r="461" spans="1:16" outlineLevel="1">
      <c r="A461" s="2" t="str">
        <f t="shared" si="41"/>
        <v/>
      </c>
      <c r="B461" t="str">
        <f t="shared" si="42"/>
        <v/>
      </c>
      <c r="C461" t="e">
        <f t="shared" si="43"/>
        <v>#REF!</v>
      </c>
      <c r="D461" s="330" t="s">
        <v>628</v>
      </c>
      <c r="E461"/>
      <c r="F461"/>
      <c r="G461"/>
      <c r="I461"/>
      <c r="K461" s="2">
        <f t="shared" si="44"/>
        <v>456</v>
      </c>
      <c r="O461" s="2">
        <f t="shared" ca="1" si="40"/>
        <v>0</v>
      </c>
      <c r="P461" s="2">
        <f t="shared" ca="1" si="40"/>
        <v>0</v>
      </c>
    </row>
    <row r="462" spans="1:16" outlineLevel="1">
      <c r="A462" s="2" t="str">
        <f t="shared" si="41"/>
        <v/>
      </c>
      <c r="B462" t="str">
        <f t="shared" si="42"/>
        <v/>
      </c>
      <c r="C462" t="e">
        <f t="shared" si="43"/>
        <v>#REF!</v>
      </c>
      <c r="D462" s="330" t="s">
        <v>628</v>
      </c>
      <c r="E462"/>
      <c r="F462"/>
      <c r="G462"/>
      <c r="I462"/>
      <c r="K462" s="2">
        <f t="shared" si="44"/>
        <v>457</v>
      </c>
      <c r="O462" s="2">
        <f t="shared" ca="1" si="40"/>
        <v>0</v>
      </c>
      <c r="P462" s="2">
        <f t="shared" ca="1" si="40"/>
        <v>0</v>
      </c>
    </row>
    <row r="463" spans="1:16" outlineLevel="1">
      <c r="A463" s="2" t="str">
        <f t="shared" si="41"/>
        <v/>
      </c>
      <c r="B463" t="str">
        <f t="shared" si="42"/>
        <v/>
      </c>
      <c r="C463" t="e">
        <f t="shared" si="43"/>
        <v>#REF!</v>
      </c>
      <c r="D463" s="330" t="s">
        <v>628</v>
      </c>
      <c r="E463"/>
      <c r="F463"/>
      <c r="G463"/>
      <c r="I463"/>
      <c r="K463" s="2">
        <f t="shared" si="44"/>
        <v>458</v>
      </c>
      <c r="O463" s="2">
        <f t="shared" ca="1" si="40"/>
        <v>0</v>
      </c>
      <c r="P463" s="2">
        <f t="shared" ca="1" si="40"/>
        <v>0</v>
      </c>
    </row>
    <row r="464" spans="1:16" outlineLevel="1">
      <c r="A464" s="2" t="str">
        <f t="shared" si="41"/>
        <v/>
      </c>
      <c r="B464" t="str">
        <f t="shared" si="42"/>
        <v/>
      </c>
      <c r="C464" t="e">
        <f t="shared" si="43"/>
        <v>#REF!</v>
      </c>
      <c r="D464" s="330" t="s">
        <v>628</v>
      </c>
      <c r="E464"/>
      <c r="F464"/>
      <c r="G464"/>
      <c r="I464"/>
      <c r="K464" s="2">
        <f t="shared" si="44"/>
        <v>459</v>
      </c>
      <c r="O464" s="2">
        <f t="shared" ca="1" si="40"/>
        <v>0</v>
      </c>
      <c r="P464" s="2">
        <f t="shared" ca="1" si="40"/>
        <v>0</v>
      </c>
    </row>
    <row r="465" spans="1:16" outlineLevel="1">
      <c r="A465" s="2" t="str">
        <f t="shared" si="41"/>
        <v/>
      </c>
      <c r="B465" t="str">
        <f t="shared" si="42"/>
        <v/>
      </c>
      <c r="C465" t="e">
        <f t="shared" si="43"/>
        <v>#REF!</v>
      </c>
      <c r="D465" s="330" t="s">
        <v>628</v>
      </c>
      <c r="E465"/>
      <c r="F465"/>
      <c r="G465"/>
      <c r="I465"/>
      <c r="K465" s="2">
        <f t="shared" si="44"/>
        <v>460</v>
      </c>
      <c r="O465" s="2">
        <f t="shared" ca="1" si="40"/>
        <v>0</v>
      </c>
      <c r="P465" s="2">
        <f t="shared" ca="1" si="40"/>
        <v>0</v>
      </c>
    </row>
    <row r="466" spans="1:16" outlineLevel="1">
      <c r="A466" s="2" t="str">
        <f t="shared" si="41"/>
        <v/>
      </c>
      <c r="B466" t="str">
        <f t="shared" si="42"/>
        <v/>
      </c>
      <c r="C466" t="e">
        <f t="shared" si="43"/>
        <v>#REF!</v>
      </c>
      <c r="D466" s="330" t="s">
        <v>628</v>
      </c>
      <c r="E466"/>
      <c r="F466"/>
      <c r="G466"/>
      <c r="I466"/>
      <c r="K466" s="2">
        <f t="shared" si="44"/>
        <v>461</v>
      </c>
      <c r="O466" s="2">
        <f t="shared" ca="1" si="40"/>
        <v>0</v>
      </c>
      <c r="P466" s="2">
        <f t="shared" ca="1" si="40"/>
        <v>0</v>
      </c>
    </row>
    <row r="467" spans="1:16" outlineLevel="1">
      <c r="A467" s="2" t="str">
        <f t="shared" si="41"/>
        <v/>
      </c>
      <c r="B467" t="str">
        <f t="shared" si="42"/>
        <v/>
      </c>
      <c r="C467" t="e">
        <f t="shared" si="43"/>
        <v>#REF!</v>
      </c>
      <c r="D467" s="330" t="s">
        <v>628</v>
      </c>
      <c r="E467"/>
      <c r="F467"/>
      <c r="G467"/>
      <c r="I467"/>
      <c r="K467" s="2">
        <f t="shared" si="44"/>
        <v>462</v>
      </c>
      <c r="O467" s="2">
        <f t="shared" ca="1" si="40"/>
        <v>0</v>
      </c>
      <c r="P467" s="2">
        <f t="shared" ca="1" si="40"/>
        <v>0</v>
      </c>
    </row>
    <row r="468" spans="1:16" outlineLevel="1">
      <c r="A468" s="2" t="str">
        <f t="shared" si="41"/>
        <v/>
      </c>
      <c r="B468" t="str">
        <f t="shared" si="42"/>
        <v/>
      </c>
      <c r="C468" t="e">
        <f t="shared" si="43"/>
        <v>#REF!</v>
      </c>
      <c r="D468" s="330" t="s">
        <v>628</v>
      </c>
      <c r="E468"/>
      <c r="F468"/>
      <c r="G468"/>
      <c r="I468"/>
      <c r="K468" s="2">
        <f t="shared" si="44"/>
        <v>463</v>
      </c>
      <c r="O468" s="2">
        <f t="shared" ca="1" si="40"/>
        <v>0</v>
      </c>
      <c r="P468" s="2">
        <f t="shared" ca="1" si="40"/>
        <v>0</v>
      </c>
    </row>
    <row r="469" spans="1:16" outlineLevel="1">
      <c r="A469" s="2" t="str">
        <f t="shared" si="41"/>
        <v/>
      </c>
      <c r="B469" t="str">
        <f t="shared" si="42"/>
        <v/>
      </c>
      <c r="C469" t="e">
        <f t="shared" si="43"/>
        <v>#REF!</v>
      </c>
      <c r="D469" s="330" t="s">
        <v>628</v>
      </c>
      <c r="E469"/>
      <c r="F469"/>
      <c r="G469"/>
      <c r="I469"/>
      <c r="K469" s="2">
        <f t="shared" si="44"/>
        <v>464</v>
      </c>
      <c r="O469" s="2">
        <f t="shared" ca="1" si="40"/>
        <v>0</v>
      </c>
      <c r="P469" s="2">
        <f t="shared" ca="1" si="40"/>
        <v>0</v>
      </c>
    </row>
    <row r="470" spans="1:16" outlineLevel="1">
      <c r="A470" s="2" t="str">
        <f t="shared" si="41"/>
        <v/>
      </c>
      <c r="B470" t="str">
        <f t="shared" si="42"/>
        <v/>
      </c>
      <c r="C470" t="e">
        <f t="shared" si="43"/>
        <v>#REF!</v>
      </c>
      <c r="D470" s="330" t="s">
        <v>628</v>
      </c>
      <c r="E470"/>
      <c r="F470"/>
      <c r="G470"/>
      <c r="I470"/>
      <c r="K470" s="2">
        <f t="shared" si="44"/>
        <v>465</v>
      </c>
      <c r="O470" s="2">
        <f t="shared" ca="1" si="40"/>
        <v>0</v>
      </c>
      <c r="P470" s="2">
        <f t="shared" ca="1" si="40"/>
        <v>0</v>
      </c>
    </row>
    <row r="471" spans="1:16" outlineLevel="1">
      <c r="A471" s="2" t="str">
        <f t="shared" si="41"/>
        <v/>
      </c>
      <c r="B471" t="str">
        <f t="shared" si="42"/>
        <v/>
      </c>
      <c r="C471" t="e">
        <f t="shared" si="43"/>
        <v>#REF!</v>
      </c>
      <c r="D471" s="330" t="s">
        <v>628</v>
      </c>
      <c r="E471"/>
      <c r="F471"/>
      <c r="G471"/>
      <c r="I471"/>
      <c r="K471" s="2">
        <f t="shared" si="44"/>
        <v>466</v>
      </c>
      <c r="O471" s="2">
        <f t="shared" ca="1" si="40"/>
        <v>0</v>
      </c>
      <c r="P471" s="2">
        <f t="shared" ca="1" si="40"/>
        <v>0</v>
      </c>
    </row>
    <row r="472" spans="1:16" outlineLevel="1">
      <c r="A472" s="2" t="str">
        <f t="shared" si="41"/>
        <v/>
      </c>
      <c r="B472" t="str">
        <f t="shared" si="42"/>
        <v/>
      </c>
      <c r="C472" t="e">
        <f t="shared" si="43"/>
        <v>#REF!</v>
      </c>
      <c r="D472" s="330" t="s">
        <v>628</v>
      </c>
      <c r="E472"/>
      <c r="F472"/>
      <c r="G472"/>
      <c r="I472"/>
      <c r="K472" s="2">
        <f t="shared" si="44"/>
        <v>467</v>
      </c>
      <c r="O472" s="2">
        <f t="shared" ca="1" si="40"/>
        <v>0</v>
      </c>
      <c r="P472" s="2">
        <f t="shared" ca="1" si="40"/>
        <v>0</v>
      </c>
    </row>
    <row r="473" spans="1:16" outlineLevel="1">
      <c r="A473" s="2" t="str">
        <f t="shared" si="41"/>
        <v/>
      </c>
      <c r="B473" t="str">
        <f t="shared" si="42"/>
        <v/>
      </c>
      <c r="C473" t="e">
        <f t="shared" si="43"/>
        <v>#REF!</v>
      </c>
      <c r="D473" s="330" t="s">
        <v>628</v>
      </c>
      <c r="E473"/>
      <c r="F473"/>
      <c r="G473"/>
      <c r="I473"/>
      <c r="K473" s="2">
        <f t="shared" si="44"/>
        <v>468</v>
      </c>
      <c r="O473" s="2">
        <f t="shared" ca="1" si="40"/>
        <v>0</v>
      </c>
      <c r="P473" s="2">
        <f t="shared" ca="1" si="40"/>
        <v>0</v>
      </c>
    </row>
    <row r="474" spans="1:16" outlineLevel="1">
      <c r="A474" s="2" t="str">
        <f t="shared" si="41"/>
        <v/>
      </c>
      <c r="B474" t="str">
        <f t="shared" si="42"/>
        <v/>
      </c>
      <c r="C474" t="e">
        <f t="shared" si="43"/>
        <v>#REF!</v>
      </c>
      <c r="D474" s="330" t="s">
        <v>628</v>
      </c>
      <c r="E474"/>
      <c r="F474"/>
      <c r="G474"/>
      <c r="I474"/>
      <c r="K474" s="2">
        <f t="shared" si="44"/>
        <v>469</v>
      </c>
      <c r="O474" s="2">
        <f t="shared" ca="1" si="40"/>
        <v>0</v>
      </c>
      <c r="P474" s="2">
        <f t="shared" ca="1" si="40"/>
        <v>0</v>
      </c>
    </row>
    <row r="475" spans="1:16" outlineLevel="1">
      <c r="A475" s="2" t="str">
        <f t="shared" si="41"/>
        <v/>
      </c>
      <c r="B475" t="str">
        <f t="shared" si="42"/>
        <v/>
      </c>
      <c r="C475" t="e">
        <f t="shared" si="43"/>
        <v>#REF!</v>
      </c>
      <c r="D475" s="330" t="s">
        <v>628</v>
      </c>
      <c r="E475"/>
      <c r="F475"/>
      <c r="G475"/>
      <c r="I475"/>
      <c r="K475" s="2">
        <f t="shared" si="44"/>
        <v>470</v>
      </c>
      <c r="O475" s="2">
        <f t="shared" ca="1" si="40"/>
        <v>0</v>
      </c>
      <c r="P475" s="2">
        <f t="shared" ca="1" si="40"/>
        <v>0</v>
      </c>
    </row>
    <row r="476" spans="1:16" outlineLevel="1">
      <c r="A476" s="2" t="str">
        <f t="shared" si="41"/>
        <v/>
      </c>
      <c r="B476" t="str">
        <f t="shared" si="42"/>
        <v/>
      </c>
      <c r="C476" t="e">
        <f t="shared" si="43"/>
        <v>#REF!</v>
      </c>
      <c r="D476" s="330" t="s">
        <v>628</v>
      </c>
      <c r="E476"/>
      <c r="F476"/>
      <c r="G476"/>
      <c r="I476"/>
      <c r="K476" s="2">
        <f t="shared" si="44"/>
        <v>471</v>
      </c>
      <c r="O476" s="2">
        <f t="shared" ca="1" si="40"/>
        <v>0</v>
      </c>
      <c r="P476" s="2">
        <f t="shared" ca="1" si="40"/>
        <v>0</v>
      </c>
    </row>
    <row r="477" spans="1:16" outlineLevel="1">
      <c r="A477" s="2" t="str">
        <f t="shared" si="41"/>
        <v/>
      </c>
      <c r="B477" t="str">
        <f t="shared" si="42"/>
        <v/>
      </c>
      <c r="C477" t="e">
        <f>IF(B477="*",RIGHT(E477,10),#REF!)</f>
        <v>#REF!</v>
      </c>
      <c r="D477" s="330" t="s">
        <v>628</v>
      </c>
      <c r="E477"/>
      <c r="F477"/>
      <c r="G477"/>
      <c r="I477"/>
      <c r="K477" s="2">
        <f t="shared" si="44"/>
        <v>472</v>
      </c>
      <c r="O477" s="2">
        <f t="shared" ref="O477:P540" ca="1" si="45">INDIRECT("E"&amp;O$4+$K477)</f>
        <v>0</v>
      </c>
      <c r="P477" s="2">
        <f t="shared" ca="1" si="45"/>
        <v>0</v>
      </c>
    </row>
    <row r="478" spans="1:16" outlineLevel="1">
      <c r="A478" s="2" t="str">
        <f t="shared" si="41"/>
        <v/>
      </c>
      <c r="B478" t="str">
        <f t="shared" si="42"/>
        <v/>
      </c>
      <c r="C478" t="e">
        <f t="shared" si="43"/>
        <v>#REF!</v>
      </c>
      <c r="D478" s="330" t="s">
        <v>628</v>
      </c>
      <c r="E478"/>
      <c r="F478"/>
      <c r="G478"/>
      <c r="I478"/>
      <c r="K478" s="2">
        <f t="shared" si="44"/>
        <v>473</v>
      </c>
      <c r="O478" s="2">
        <f t="shared" ca="1" si="45"/>
        <v>0</v>
      </c>
      <c r="P478" s="2">
        <f t="shared" ca="1" si="45"/>
        <v>0</v>
      </c>
    </row>
    <row r="479" spans="1:16" outlineLevel="1">
      <c r="A479" s="2" t="str">
        <f t="shared" ref="A479:A541" si="46">IF(B479="*",ROW(),"")</f>
        <v/>
      </c>
      <c r="B479" t="str">
        <f t="shared" ref="B479:B541" si="47">LEFT(E479,1)</f>
        <v/>
      </c>
      <c r="C479" t="e">
        <f t="shared" ref="C479:C541" si="48">IF(B479="*",RIGHT(E479,10),C478)</f>
        <v>#REF!</v>
      </c>
      <c r="D479" s="330" t="s">
        <v>628</v>
      </c>
      <c r="E479"/>
      <c r="F479"/>
      <c r="G479"/>
      <c r="I479"/>
      <c r="K479" s="2">
        <f t="shared" si="44"/>
        <v>474</v>
      </c>
      <c r="O479" s="2">
        <f t="shared" ca="1" si="45"/>
        <v>0</v>
      </c>
      <c r="P479" s="2">
        <f t="shared" ca="1" si="45"/>
        <v>0</v>
      </c>
    </row>
    <row r="480" spans="1:16" outlineLevel="1">
      <c r="A480" s="2" t="str">
        <f t="shared" si="46"/>
        <v/>
      </c>
      <c r="B480" t="str">
        <f t="shared" si="47"/>
        <v/>
      </c>
      <c r="C480" t="e">
        <f t="shared" si="48"/>
        <v>#REF!</v>
      </c>
      <c r="D480" s="330" t="s">
        <v>628</v>
      </c>
      <c r="E480"/>
      <c r="F480"/>
      <c r="G480"/>
      <c r="I480"/>
      <c r="K480" s="2">
        <f t="shared" si="44"/>
        <v>475</v>
      </c>
      <c r="O480" s="2">
        <f t="shared" ca="1" si="45"/>
        <v>0</v>
      </c>
      <c r="P480" s="2">
        <f t="shared" ca="1" si="45"/>
        <v>0</v>
      </c>
    </row>
    <row r="481" spans="1:16" outlineLevel="1">
      <c r="A481" s="2" t="str">
        <f t="shared" si="46"/>
        <v/>
      </c>
      <c r="B481" t="str">
        <f t="shared" si="47"/>
        <v/>
      </c>
      <c r="C481" t="e">
        <f t="shared" si="48"/>
        <v>#REF!</v>
      </c>
      <c r="D481" s="330" t="s">
        <v>628</v>
      </c>
      <c r="E481"/>
      <c r="F481"/>
      <c r="G481"/>
      <c r="I481"/>
      <c r="K481" s="2">
        <f t="shared" si="44"/>
        <v>476</v>
      </c>
      <c r="O481" s="2">
        <f t="shared" ca="1" si="45"/>
        <v>0</v>
      </c>
      <c r="P481" s="2">
        <f t="shared" ca="1" si="45"/>
        <v>0</v>
      </c>
    </row>
    <row r="482" spans="1:16" outlineLevel="1">
      <c r="A482" s="2" t="str">
        <f t="shared" si="46"/>
        <v/>
      </c>
      <c r="B482" t="str">
        <f t="shared" si="47"/>
        <v/>
      </c>
      <c r="C482" t="e">
        <f t="shared" si="48"/>
        <v>#REF!</v>
      </c>
      <c r="D482" s="330" t="s">
        <v>628</v>
      </c>
      <c r="E482"/>
      <c r="F482"/>
      <c r="G482"/>
      <c r="I482"/>
      <c r="K482" s="2">
        <f t="shared" si="44"/>
        <v>477</v>
      </c>
      <c r="O482" s="2">
        <f t="shared" ca="1" si="45"/>
        <v>0</v>
      </c>
      <c r="P482" s="2">
        <f t="shared" ca="1" si="45"/>
        <v>0</v>
      </c>
    </row>
    <row r="483" spans="1:16" outlineLevel="1">
      <c r="A483" s="2" t="str">
        <f t="shared" si="46"/>
        <v/>
      </c>
      <c r="B483" t="str">
        <f t="shared" si="47"/>
        <v/>
      </c>
      <c r="C483" t="e">
        <f t="shared" si="48"/>
        <v>#REF!</v>
      </c>
      <c r="D483" s="330" t="s">
        <v>628</v>
      </c>
      <c r="E483"/>
      <c r="F483"/>
      <c r="G483"/>
      <c r="I483"/>
      <c r="K483" s="2">
        <f t="shared" si="44"/>
        <v>478</v>
      </c>
      <c r="O483" s="2">
        <f t="shared" ca="1" si="45"/>
        <v>0</v>
      </c>
      <c r="P483" s="2">
        <f t="shared" ca="1" si="45"/>
        <v>0</v>
      </c>
    </row>
    <row r="484" spans="1:16" outlineLevel="1">
      <c r="A484" s="2" t="str">
        <f t="shared" si="46"/>
        <v/>
      </c>
      <c r="B484" t="str">
        <f t="shared" si="47"/>
        <v/>
      </c>
      <c r="C484" t="e">
        <f t="shared" si="48"/>
        <v>#REF!</v>
      </c>
      <c r="D484" s="330" t="s">
        <v>628</v>
      </c>
      <c r="E484"/>
      <c r="F484"/>
      <c r="G484"/>
      <c r="I484"/>
      <c r="K484" s="2">
        <f t="shared" si="44"/>
        <v>479</v>
      </c>
      <c r="O484" s="2">
        <f t="shared" ca="1" si="45"/>
        <v>0</v>
      </c>
      <c r="P484" s="2">
        <f t="shared" ca="1" si="45"/>
        <v>0</v>
      </c>
    </row>
    <row r="485" spans="1:16" outlineLevel="1">
      <c r="A485" s="2" t="str">
        <f t="shared" si="46"/>
        <v/>
      </c>
      <c r="B485" t="str">
        <f t="shared" si="47"/>
        <v/>
      </c>
      <c r="C485" t="e">
        <f t="shared" si="48"/>
        <v>#REF!</v>
      </c>
      <c r="D485" s="330" t="s">
        <v>628</v>
      </c>
      <c r="E485"/>
      <c r="F485"/>
      <c r="G485"/>
      <c r="I485"/>
      <c r="K485" s="2">
        <f t="shared" si="44"/>
        <v>480</v>
      </c>
      <c r="O485" s="2">
        <f t="shared" ca="1" si="45"/>
        <v>0</v>
      </c>
      <c r="P485" s="2">
        <f t="shared" ca="1" si="45"/>
        <v>0</v>
      </c>
    </row>
    <row r="486" spans="1:16" outlineLevel="1">
      <c r="A486" s="2" t="str">
        <f t="shared" si="46"/>
        <v/>
      </c>
      <c r="B486" t="str">
        <f t="shared" si="47"/>
        <v/>
      </c>
      <c r="C486" t="e">
        <f t="shared" si="48"/>
        <v>#REF!</v>
      </c>
      <c r="D486" s="330" t="s">
        <v>628</v>
      </c>
      <c r="E486"/>
      <c r="F486"/>
      <c r="G486"/>
      <c r="I486"/>
      <c r="K486" s="2">
        <f t="shared" si="44"/>
        <v>481</v>
      </c>
      <c r="O486" s="2">
        <f t="shared" ca="1" si="45"/>
        <v>0</v>
      </c>
      <c r="P486" s="2">
        <f t="shared" ca="1" si="45"/>
        <v>0</v>
      </c>
    </row>
    <row r="487" spans="1:16" outlineLevel="1">
      <c r="A487" s="2" t="str">
        <f t="shared" si="46"/>
        <v/>
      </c>
      <c r="B487" t="str">
        <f t="shared" si="47"/>
        <v/>
      </c>
      <c r="C487" t="e">
        <f t="shared" si="48"/>
        <v>#REF!</v>
      </c>
      <c r="D487" s="330" t="s">
        <v>628</v>
      </c>
      <c r="E487"/>
      <c r="F487"/>
      <c r="G487"/>
      <c r="I487"/>
      <c r="K487" s="2">
        <f t="shared" si="44"/>
        <v>482</v>
      </c>
      <c r="O487" s="2">
        <f t="shared" ca="1" si="45"/>
        <v>0</v>
      </c>
      <c r="P487" s="2">
        <f t="shared" ca="1" si="45"/>
        <v>0</v>
      </c>
    </row>
    <row r="488" spans="1:16" outlineLevel="1">
      <c r="A488" s="2" t="str">
        <f t="shared" si="46"/>
        <v/>
      </c>
      <c r="B488" t="str">
        <f t="shared" si="47"/>
        <v/>
      </c>
      <c r="C488" t="e">
        <f t="shared" si="48"/>
        <v>#REF!</v>
      </c>
      <c r="D488" s="330" t="s">
        <v>628</v>
      </c>
      <c r="E488"/>
      <c r="F488"/>
      <c r="G488"/>
      <c r="I488"/>
      <c r="K488" s="2">
        <f t="shared" si="44"/>
        <v>483</v>
      </c>
      <c r="O488" s="2">
        <f t="shared" ca="1" si="45"/>
        <v>0</v>
      </c>
      <c r="P488" s="2">
        <f t="shared" ca="1" si="45"/>
        <v>0</v>
      </c>
    </row>
    <row r="489" spans="1:16" outlineLevel="1">
      <c r="A489" s="2" t="str">
        <f t="shared" si="46"/>
        <v/>
      </c>
      <c r="B489" t="str">
        <f t="shared" si="47"/>
        <v/>
      </c>
      <c r="C489" t="e">
        <f t="shared" si="48"/>
        <v>#REF!</v>
      </c>
      <c r="D489" s="330" t="s">
        <v>628</v>
      </c>
      <c r="E489"/>
      <c r="F489"/>
      <c r="G489"/>
      <c r="I489"/>
      <c r="K489" s="2">
        <f t="shared" si="44"/>
        <v>484</v>
      </c>
      <c r="O489" s="2">
        <f t="shared" ca="1" si="45"/>
        <v>0</v>
      </c>
      <c r="P489" s="2">
        <f t="shared" ca="1" si="45"/>
        <v>0</v>
      </c>
    </row>
    <row r="490" spans="1:16" outlineLevel="1">
      <c r="A490" s="2" t="str">
        <f t="shared" si="46"/>
        <v/>
      </c>
      <c r="B490" t="str">
        <f t="shared" si="47"/>
        <v/>
      </c>
      <c r="C490" t="e">
        <f t="shared" si="48"/>
        <v>#REF!</v>
      </c>
      <c r="D490" s="330" t="s">
        <v>628</v>
      </c>
      <c r="E490"/>
      <c r="F490"/>
      <c r="G490"/>
      <c r="I490"/>
      <c r="K490" s="2">
        <f t="shared" si="44"/>
        <v>485</v>
      </c>
      <c r="O490" s="2">
        <f t="shared" ca="1" si="45"/>
        <v>0</v>
      </c>
      <c r="P490" s="2">
        <f t="shared" ca="1" si="45"/>
        <v>0</v>
      </c>
    </row>
    <row r="491" spans="1:16" outlineLevel="1">
      <c r="A491" s="2" t="str">
        <f t="shared" si="46"/>
        <v/>
      </c>
      <c r="B491" t="str">
        <f t="shared" si="47"/>
        <v/>
      </c>
      <c r="C491" t="e">
        <f t="shared" si="48"/>
        <v>#REF!</v>
      </c>
      <c r="D491" s="330" t="s">
        <v>628</v>
      </c>
      <c r="E491"/>
      <c r="F491"/>
      <c r="G491"/>
      <c r="I491"/>
      <c r="K491" s="2">
        <f t="shared" si="44"/>
        <v>486</v>
      </c>
      <c r="O491" s="2">
        <f t="shared" ca="1" si="45"/>
        <v>0</v>
      </c>
      <c r="P491" s="2">
        <f t="shared" ca="1" si="45"/>
        <v>0</v>
      </c>
    </row>
    <row r="492" spans="1:16" outlineLevel="1">
      <c r="A492" s="2" t="str">
        <f t="shared" si="46"/>
        <v/>
      </c>
      <c r="B492" t="str">
        <f t="shared" si="47"/>
        <v/>
      </c>
      <c r="C492" t="e">
        <f t="shared" si="48"/>
        <v>#REF!</v>
      </c>
      <c r="D492" s="330" t="s">
        <v>628</v>
      </c>
      <c r="E492"/>
      <c r="F492"/>
      <c r="G492"/>
      <c r="I492"/>
      <c r="K492" s="2">
        <f t="shared" si="44"/>
        <v>487</v>
      </c>
      <c r="O492" s="2">
        <f t="shared" ca="1" si="45"/>
        <v>0</v>
      </c>
      <c r="P492" s="2">
        <f t="shared" ca="1" si="45"/>
        <v>0</v>
      </c>
    </row>
    <row r="493" spans="1:16" outlineLevel="1">
      <c r="A493" s="2" t="str">
        <f t="shared" si="46"/>
        <v/>
      </c>
      <c r="B493" t="str">
        <f t="shared" si="47"/>
        <v/>
      </c>
      <c r="C493" t="e">
        <f t="shared" si="48"/>
        <v>#REF!</v>
      </c>
      <c r="D493" s="330" t="s">
        <v>628</v>
      </c>
      <c r="E493"/>
      <c r="F493"/>
      <c r="G493"/>
      <c r="I493"/>
      <c r="K493" s="2">
        <f t="shared" si="44"/>
        <v>488</v>
      </c>
      <c r="O493" s="2">
        <f t="shared" ca="1" si="45"/>
        <v>0</v>
      </c>
      <c r="P493" s="2">
        <f t="shared" ca="1" si="45"/>
        <v>0</v>
      </c>
    </row>
    <row r="494" spans="1:16" outlineLevel="1">
      <c r="A494" s="2" t="str">
        <f t="shared" si="46"/>
        <v/>
      </c>
      <c r="B494" t="str">
        <f t="shared" si="47"/>
        <v/>
      </c>
      <c r="C494" t="e">
        <f>IF(B494="*",RIGHT(E494,10),C493)</f>
        <v>#REF!</v>
      </c>
      <c r="D494" s="330" t="s">
        <v>628</v>
      </c>
      <c r="E494"/>
      <c r="F494"/>
      <c r="G494"/>
      <c r="I494"/>
      <c r="K494" s="2">
        <f t="shared" si="44"/>
        <v>489</v>
      </c>
      <c r="O494" s="2">
        <f t="shared" ca="1" si="45"/>
        <v>0</v>
      </c>
      <c r="P494" s="2">
        <f t="shared" ca="1" si="45"/>
        <v>0</v>
      </c>
    </row>
    <row r="495" spans="1:16" outlineLevel="1">
      <c r="A495" s="2" t="str">
        <f t="shared" si="46"/>
        <v/>
      </c>
      <c r="B495" t="str">
        <f t="shared" si="47"/>
        <v/>
      </c>
      <c r="C495" t="e">
        <f t="shared" si="48"/>
        <v>#REF!</v>
      </c>
      <c r="D495" s="330" t="s">
        <v>628</v>
      </c>
      <c r="E495"/>
      <c r="F495"/>
      <c r="G495"/>
      <c r="I495"/>
      <c r="K495" s="2">
        <f t="shared" si="44"/>
        <v>490</v>
      </c>
      <c r="O495" s="2">
        <f t="shared" ca="1" si="45"/>
        <v>0</v>
      </c>
      <c r="P495" s="2">
        <f t="shared" ca="1" si="45"/>
        <v>0</v>
      </c>
    </row>
    <row r="496" spans="1:16" outlineLevel="1">
      <c r="A496" s="2" t="str">
        <f t="shared" si="46"/>
        <v/>
      </c>
      <c r="B496" t="str">
        <f t="shared" si="47"/>
        <v/>
      </c>
      <c r="C496" t="e">
        <f t="shared" si="48"/>
        <v>#REF!</v>
      </c>
      <c r="D496" s="330" t="s">
        <v>628</v>
      </c>
      <c r="E496"/>
      <c r="F496"/>
      <c r="G496"/>
      <c r="I496"/>
      <c r="K496" s="2">
        <f t="shared" si="44"/>
        <v>491</v>
      </c>
      <c r="O496" s="2">
        <f t="shared" ca="1" si="45"/>
        <v>0</v>
      </c>
      <c r="P496" s="2">
        <f t="shared" ca="1" si="45"/>
        <v>0</v>
      </c>
    </row>
    <row r="497" spans="1:16" outlineLevel="1">
      <c r="A497" s="2" t="str">
        <f t="shared" si="46"/>
        <v/>
      </c>
      <c r="B497" t="str">
        <f t="shared" si="47"/>
        <v/>
      </c>
      <c r="C497" t="e">
        <f t="shared" si="48"/>
        <v>#REF!</v>
      </c>
      <c r="D497" s="330" t="s">
        <v>628</v>
      </c>
      <c r="E497"/>
      <c r="F497"/>
      <c r="G497"/>
      <c r="I497"/>
      <c r="K497" s="2">
        <f t="shared" si="44"/>
        <v>492</v>
      </c>
      <c r="O497" s="2">
        <f t="shared" ca="1" si="45"/>
        <v>0</v>
      </c>
      <c r="P497" s="2">
        <f t="shared" ca="1" si="45"/>
        <v>0</v>
      </c>
    </row>
    <row r="498" spans="1:16" outlineLevel="1">
      <c r="A498" s="2" t="str">
        <f t="shared" si="46"/>
        <v/>
      </c>
      <c r="B498" t="str">
        <f t="shared" si="47"/>
        <v/>
      </c>
      <c r="C498" t="e">
        <f t="shared" si="48"/>
        <v>#REF!</v>
      </c>
      <c r="D498" s="330" t="s">
        <v>628</v>
      </c>
      <c r="E498"/>
      <c r="F498"/>
      <c r="G498"/>
      <c r="I498"/>
      <c r="K498" s="2">
        <f t="shared" si="44"/>
        <v>493</v>
      </c>
      <c r="O498" s="2">
        <f t="shared" ca="1" si="45"/>
        <v>0</v>
      </c>
      <c r="P498" s="2">
        <f t="shared" ca="1" si="45"/>
        <v>0</v>
      </c>
    </row>
    <row r="499" spans="1:16" outlineLevel="1">
      <c r="A499" s="2" t="str">
        <f t="shared" si="46"/>
        <v/>
      </c>
      <c r="B499" t="str">
        <f t="shared" si="47"/>
        <v/>
      </c>
      <c r="C499" t="e">
        <f t="shared" si="48"/>
        <v>#REF!</v>
      </c>
      <c r="D499" s="330" t="s">
        <v>628</v>
      </c>
      <c r="E499"/>
      <c r="F499"/>
      <c r="G499"/>
      <c r="I499"/>
      <c r="K499" s="2">
        <f t="shared" si="44"/>
        <v>494</v>
      </c>
      <c r="O499" s="2">
        <f t="shared" ca="1" si="45"/>
        <v>0</v>
      </c>
      <c r="P499" s="2">
        <f t="shared" ca="1" si="45"/>
        <v>0</v>
      </c>
    </row>
    <row r="500" spans="1:16" outlineLevel="1">
      <c r="A500" s="2" t="str">
        <f t="shared" si="46"/>
        <v/>
      </c>
      <c r="B500" t="str">
        <f t="shared" si="47"/>
        <v/>
      </c>
      <c r="C500" t="e">
        <f t="shared" si="48"/>
        <v>#REF!</v>
      </c>
      <c r="D500" s="330" t="s">
        <v>628</v>
      </c>
      <c r="E500"/>
      <c r="F500"/>
      <c r="G500"/>
      <c r="I500"/>
      <c r="K500" s="2">
        <f t="shared" si="44"/>
        <v>495</v>
      </c>
      <c r="O500" s="2">
        <f t="shared" ca="1" si="45"/>
        <v>0</v>
      </c>
      <c r="P500" s="2">
        <f t="shared" ca="1" si="45"/>
        <v>0</v>
      </c>
    </row>
    <row r="501" spans="1:16" outlineLevel="1">
      <c r="A501" s="2" t="str">
        <f t="shared" si="46"/>
        <v/>
      </c>
      <c r="B501" t="str">
        <f t="shared" si="47"/>
        <v/>
      </c>
      <c r="C501" t="e">
        <f t="shared" si="48"/>
        <v>#REF!</v>
      </c>
      <c r="D501" s="330" t="s">
        <v>628</v>
      </c>
      <c r="E501"/>
      <c r="F501"/>
      <c r="G501"/>
      <c r="I501"/>
      <c r="K501" s="2">
        <f t="shared" si="44"/>
        <v>496</v>
      </c>
      <c r="O501" s="2">
        <f t="shared" ca="1" si="45"/>
        <v>0</v>
      </c>
      <c r="P501" s="2">
        <f t="shared" ca="1" si="45"/>
        <v>0</v>
      </c>
    </row>
    <row r="502" spans="1:16" outlineLevel="1">
      <c r="A502" s="2" t="str">
        <f t="shared" si="46"/>
        <v/>
      </c>
      <c r="B502" t="str">
        <f t="shared" si="47"/>
        <v/>
      </c>
      <c r="C502" t="e">
        <f t="shared" si="48"/>
        <v>#REF!</v>
      </c>
      <c r="D502" s="330" t="s">
        <v>628</v>
      </c>
      <c r="E502"/>
      <c r="F502"/>
      <c r="G502"/>
      <c r="I502"/>
      <c r="K502" s="2">
        <f t="shared" si="44"/>
        <v>497</v>
      </c>
      <c r="O502" s="2">
        <f t="shared" ca="1" si="45"/>
        <v>0</v>
      </c>
      <c r="P502" s="2">
        <f t="shared" ca="1" si="45"/>
        <v>0</v>
      </c>
    </row>
    <row r="503" spans="1:16" outlineLevel="1">
      <c r="A503" s="2" t="str">
        <f t="shared" si="46"/>
        <v/>
      </c>
      <c r="B503" t="str">
        <f t="shared" si="47"/>
        <v/>
      </c>
      <c r="C503" t="e">
        <f t="shared" si="48"/>
        <v>#REF!</v>
      </c>
      <c r="D503" s="330" t="s">
        <v>628</v>
      </c>
      <c r="E503"/>
      <c r="F503"/>
      <c r="G503"/>
      <c r="I503"/>
      <c r="K503" s="2">
        <f t="shared" si="44"/>
        <v>498</v>
      </c>
      <c r="O503" s="2">
        <f t="shared" ca="1" si="45"/>
        <v>0</v>
      </c>
      <c r="P503" s="2">
        <f t="shared" ca="1" si="45"/>
        <v>0</v>
      </c>
    </row>
    <row r="504" spans="1:16" outlineLevel="1">
      <c r="A504" s="2" t="str">
        <f t="shared" si="46"/>
        <v/>
      </c>
      <c r="B504" t="str">
        <f t="shared" si="47"/>
        <v/>
      </c>
      <c r="C504" t="e">
        <f>IF(B504="*",RIGHT(E504,10),#REF!)</f>
        <v>#REF!</v>
      </c>
      <c r="D504" s="330" t="s">
        <v>628</v>
      </c>
      <c r="E504"/>
      <c r="F504"/>
      <c r="G504"/>
      <c r="I504"/>
      <c r="K504" s="2">
        <f t="shared" si="44"/>
        <v>499</v>
      </c>
      <c r="O504" s="2">
        <f t="shared" ca="1" si="45"/>
        <v>0</v>
      </c>
      <c r="P504" s="2">
        <f t="shared" ca="1" si="45"/>
        <v>0</v>
      </c>
    </row>
    <row r="505" spans="1:16" outlineLevel="1">
      <c r="A505" s="2" t="str">
        <f t="shared" si="46"/>
        <v/>
      </c>
      <c r="B505" t="str">
        <f t="shared" si="47"/>
        <v/>
      </c>
      <c r="C505" t="e">
        <f t="shared" si="48"/>
        <v>#REF!</v>
      </c>
      <c r="D505" s="330" t="s">
        <v>628</v>
      </c>
      <c r="E505"/>
      <c r="F505"/>
      <c r="G505"/>
      <c r="I505"/>
      <c r="K505" s="2">
        <f t="shared" si="44"/>
        <v>500</v>
      </c>
      <c r="O505" s="2">
        <f t="shared" ca="1" si="45"/>
        <v>0</v>
      </c>
      <c r="P505" s="2">
        <f t="shared" ca="1" si="45"/>
        <v>0</v>
      </c>
    </row>
    <row r="506" spans="1:16" outlineLevel="1">
      <c r="A506" s="2" t="str">
        <f t="shared" si="46"/>
        <v/>
      </c>
      <c r="B506" t="str">
        <f t="shared" si="47"/>
        <v/>
      </c>
      <c r="C506" t="e">
        <f t="shared" si="48"/>
        <v>#REF!</v>
      </c>
      <c r="D506" s="330" t="s">
        <v>628</v>
      </c>
      <c r="E506"/>
      <c r="F506"/>
      <c r="G506"/>
      <c r="I506"/>
      <c r="K506" s="2">
        <f t="shared" si="44"/>
        <v>501</v>
      </c>
      <c r="O506" s="2">
        <f t="shared" ca="1" si="45"/>
        <v>0</v>
      </c>
      <c r="P506" s="2">
        <f t="shared" ca="1" si="45"/>
        <v>0</v>
      </c>
    </row>
    <row r="507" spans="1:16" outlineLevel="1">
      <c r="A507" s="2" t="str">
        <f t="shared" si="46"/>
        <v/>
      </c>
      <c r="B507" t="str">
        <f t="shared" si="47"/>
        <v/>
      </c>
      <c r="C507" t="e">
        <f t="shared" si="48"/>
        <v>#REF!</v>
      </c>
      <c r="D507" s="330" t="s">
        <v>628</v>
      </c>
      <c r="E507"/>
      <c r="F507"/>
      <c r="G507"/>
      <c r="I507"/>
      <c r="K507" s="2">
        <f t="shared" si="44"/>
        <v>502</v>
      </c>
      <c r="O507" s="2">
        <f t="shared" ca="1" si="45"/>
        <v>0</v>
      </c>
      <c r="P507" s="2">
        <f t="shared" ca="1" si="45"/>
        <v>0</v>
      </c>
    </row>
    <row r="508" spans="1:16" outlineLevel="1">
      <c r="A508" s="2" t="str">
        <f t="shared" si="46"/>
        <v/>
      </c>
      <c r="B508" t="str">
        <f t="shared" si="47"/>
        <v/>
      </c>
      <c r="C508" t="e">
        <f t="shared" si="48"/>
        <v>#REF!</v>
      </c>
      <c r="D508" s="330" t="s">
        <v>628</v>
      </c>
      <c r="E508"/>
      <c r="F508"/>
      <c r="G508"/>
      <c r="I508"/>
      <c r="K508" s="2">
        <f t="shared" si="44"/>
        <v>503</v>
      </c>
      <c r="O508" s="2">
        <f t="shared" ca="1" si="45"/>
        <v>0</v>
      </c>
      <c r="P508" s="2">
        <f t="shared" ca="1" si="45"/>
        <v>0</v>
      </c>
    </row>
    <row r="509" spans="1:16" outlineLevel="1">
      <c r="A509" s="2" t="str">
        <f t="shared" si="46"/>
        <v/>
      </c>
      <c r="B509" t="str">
        <f t="shared" si="47"/>
        <v/>
      </c>
      <c r="C509" t="e">
        <f t="shared" si="48"/>
        <v>#REF!</v>
      </c>
      <c r="D509" s="330" t="s">
        <v>628</v>
      </c>
      <c r="E509"/>
      <c r="F509"/>
      <c r="G509"/>
      <c r="I509"/>
      <c r="K509" s="2">
        <f t="shared" si="44"/>
        <v>504</v>
      </c>
      <c r="O509" s="2">
        <f t="shared" ca="1" si="45"/>
        <v>0</v>
      </c>
      <c r="P509" s="2">
        <f t="shared" ca="1" si="45"/>
        <v>0</v>
      </c>
    </row>
    <row r="510" spans="1:16" outlineLevel="1">
      <c r="A510" s="2" t="str">
        <f t="shared" si="46"/>
        <v/>
      </c>
      <c r="B510" t="str">
        <f t="shared" si="47"/>
        <v/>
      </c>
      <c r="C510" t="e">
        <f t="shared" si="48"/>
        <v>#REF!</v>
      </c>
      <c r="D510" s="330" t="s">
        <v>628</v>
      </c>
      <c r="E510"/>
      <c r="F510"/>
      <c r="G510"/>
      <c r="I510"/>
      <c r="K510" s="2">
        <f t="shared" si="44"/>
        <v>505</v>
      </c>
      <c r="O510" s="2">
        <f t="shared" ca="1" si="45"/>
        <v>0</v>
      </c>
      <c r="P510" s="2">
        <f t="shared" ca="1" si="45"/>
        <v>0</v>
      </c>
    </row>
    <row r="511" spans="1:16" outlineLevel="1">
      <c r="A511" s="2" t="str">
        <f t="shared" si="46"/>
        <v/>
      </c>
      <c r="B511" t="str">
        <f t="shared" si="47"/>
        <v/>
      </c>
      <c r="C511" t="e">
        <f t="shared" si="48"/>
        <v>#REF!</v>
      </c>
      <c r="D511" s="330" t="s">
        <v>628</v>
      </c>
      <c r="E511"/>
      <c r="F511"/>
      <c r="G511"/>
      <c r="I511"/>
      <c r="K511" s="2">
        <f t="shared" si="44"/>
        <v>506</v>
      </c>
      <c r="O511" s="2">
        <f t="shared" ca="1" si="45"/>
        <v>0</v>
      </c>
      <c r="P511" s="2">
        <f t="shared" ca="1" si="45"/>
        <v>0</v>
      </c>
    </row>
    <row r="512" spans="1:16" outlineLevel="1">
      <c r="A512" s="2" t="str">
        <f t="shared" si="46"/>
        <v/>
      </c>
      <c r="B512" t="str">
        <f t="shared" si="47"/>
        <v/>
      </c>
      <c r="C512" t="e">
        <f t="shared" si="48"/>
        <v>#REF!</v>
      </c>
      <c r="D512" s="330" t="s">
        <v>628</v>
      </c>
      <c r="E512"/>
      <c r="F512"/>
      <c r="G512"/>
      <c r="I512"/>
      <c r="K512" s="2">
        <f t="shared" si="44"/>
        <v>507</v>
      </c>
      <c r="O512" s="2">
        <f t="shared" ca="1" si="45"/>
        <v>0</v>
      </c>
      <c r="P512" s="2">
        <f t="shared" ca="1" si="45"/>
        <v>0</v>
      </c>
    </row>
    <row r="513" spans="1:16" outlineLevel="1">
      <c r="A513" s="2" t="str">
        <f t="shared" si="46"/>
        <v/>
      </c>
      <c r="B513" t="str">
        <f t="shared" si="47"/>
        <v/>
      </c>
      <c r="C513" t="e">
        <f t="shared" si="48"/>
        <v>#REF!</v>
      </c>
      <c r="D513" s="330" t="s">
        <v>628</v>
      </c>
      <c r="E513"/>
      <c r="F513"/>
      <c r="G513"/>
      <c r="I513"/>
      <c r="K513" s="2">
        <f t="shared" si="44"/>
        <v>508</v>
      </c>
      <c r="O513" s="2">
        <f t="shared" ca="1" si="45"/>
        <v>0</v>
      </c>
      <c r="P513" s="2">
        <f t="shared" ca="1" si="45"/>
        <v>0</v>
      </c>
    </row>
    <row r="514" spans="1:16" outlineLevel="1">
      <c r="A514" s="2" t="str">
        <f t="shared" si="46"/>
        <v/>
      </c>
      <c r="B514" t="str">
        <f t="shared" si="47"/>
        <v/>
      </c>
      <c r="C514" t="e">
        <f t="shared" si="48"/>
        <v>#REF!</v>
      </c>
      <c r="D514" s="330" t="s">
        <v>628</v>
      </c>
      <c r="E514"/>
      <c r="F514"/>
      <c r="G514"/>
      <c r="I514"/>
      <c r="K514" s="2">
        <f t="shared" si="44"/>
        <v>509</v>
      </c>
      <c r="O514" s="2">
        <f t="shared" ca="1" si="45"/>
        <v>0</v>
      </c>
      <c r="P514" s="2">
        <f t="shared" ca="1" si="45"/>
        <v>0</v>
      </c>
    </row>
    <row r="515" spans="1:16" outlineLevel="1">
      <c r="A515" s="2" t="str">
        <f t="shared" si="46"/>
        <v/>
      </c>
      <c r="B515" t="str">
        <f t="shared" si="47"/>
        <v/>
      </c>
      <c r="C515" t="e">
        <f t="shared" si="48"/>
        <v>#REF!</v>
      </c>
      <c r="D515" s="330" t="s">
        <v>628</v>
      </c>
      <c r="E515"/>
      <c r="F515"/>
      <c r="G515"/>
      <c r="I515"/>
      <c r="K515" s="2">
        <f t="shared" si="44"/>
        <v>510</v>
      </c>
      <c r="O515" s="2">
        <f t="shared" ca="1" si="45"/>
        <v>0</v>
      </c>
      <c r="P515" s="2">
        <f t="shared" ca="1" si="45"/>
        <v>0</v>
      </c>
    </row>
    <row r="516" spans="1:16" outlineLevel="1">
      <c r="A516" s="2" t="str">
        <f t="shared" si="46"/>
        <v/>
      </c>
      <c r="B516" t="str">
        <f t="shared" si="47"/>
        <v/>
      </c>
      <c r="C516" t="e">
        <f t="shared" si="48"/>
        <v>#REF!</v>
      </c>
      <c r="D516" s="330" t="s">
        <v>628</v>
      </c>
      <c r="E516"/>
      <c r="F516"/>
      <c r="G516"/>
      <c r="I516"/>
      <c r="K516" s="2">
        <f t="shared" si="44"/>
        <v>511</v>
      </c>
      <c r="O516" s="2">
        <f t="shared" ca="1" si="45"/>
        <v>0</v>
      </c>
      <c r="P516" s="2">
        <f t="shared" ca="1" si="45"/>
        <v>0</v>
      </c>
    </row>
    <row r="517" spans="1:16" outlineLevel="1">
      <c r="A517" s="2" t="str">
        <f t="shared" si="46"/>
        <v/>
      </c>
      <c r="B517" t="str">
        <f t="shared" si="47"/>
        <v/>
      </c>
      <c r="C517" t="e">
        <f t="shared" si="48"/>
        <v>#REF!</v>
      </c>
      <c r="D517" s="330" t="s">
        <v>628</v>
      </c>
      <c r="E517"/>
      <c r="F517"/>
      <c r="G517"/>
      <c r="I517"/>
      <c r="K517" s="2">
        <f t="shared" si="44"/>
        <v>512</v>
      </c>
      <c r="O517" s="2">
        <f t="shared" ca="1" si="45"/>
        <v>0</v>
      </c>
      <c r="P517" s="2">
        <f t="shared" ca="1" si="45"/>
        <v>0</v>
      </c>
    </row>
    <row r="518" spans="1:16" outlineLevel="1">
      <c r="A518" s="2" t="str">
        <f t="shared" si="46"/>
        <v/>
      </c>
      <c r="B518" t="str">
        <f t="shared" si="47"/>
        <v/>
      </c>
      <c r="C518" t="e">
        <f t="shared" si="48"/>
        <v>#REF!</v>
      </c>
      <c r="D518" s="330" t="s">
        <v>628</v>
      </c>
      <c r="E518"/>
      <c r="F518"/>
      <c r="G518"/>
      <c r="I518"/>
      <c r="K518" s="2">
        <f t="shared" si="44"/>
        <v>513</v>
      </c>
      <c r="O518" s="2">
        <f t="shared" ca="1" si="45"/>
        <v>0</v>
      </c>
      <c r="P518" s="2">
        <f t="shared" ca="1" si="45"/>
        <v>0</v>
      </c>
    </row>
    <row r="519" spans="1:16" outlineLevel="1">
      <c r="A519" s="2" t="str">
        <f t="shared" si="46"/>
        <v/>
      </c>
      <c r="B519" t="str">
        <f t="shared" si="47"/>
        <v/>
      </c>
      <c r="C519" t="e">
        <f t="shared" si="48"/>
        <v>#REF!</v>
      </c>
      <c r="D519" s="330" t="s">
        <v>628</v>
      </c>
      <c r="E519"/>
      <c r="F519"/>
      <c r="G519"/>
      <c r="I519"/>
      <c r="K519" s="2">
        <f t="shared" si="44"/>
        <v>514</v>
      </c>
      <c r="O519" s="2">
        <f t="shared" ca="1" si="45"/>
        <v>0</v>
      </c>
      <c r="P519" s="2">
        <f t="shared" ca="1" si="45"/>
        <v>0</v>
      </c>
    </row>
    <row r="520" spans="1:16" outlineLevel="1">
      <c r="A520" s="2" t="str">
        <f t="shared" si="46"/>
        <v/>
      </c>
      <c r="B520" t="str">
        <f t="shared" si="47"/>
        <v/>
      </c>
      <c r="C520" t="e">
        <f t="shared" si="48"/>
        <v>#REF!</v>
      </c>
      <c r="D520" s="330" t="s">
        <v>628</v>
      </c>
      <c r="E520"/>
      <c r="F520"/>
      <c r="G520"/>
      <c r="I520"/>
      <c r="K520" s="2">
        <f t="shared" ref="K520:K583" si="49">K519+1</f>
        <v>515</v>
      </c>
      <c r="O520" s="2">
        <f t="shared" ca="1" si="45"/>
        <v>0</v>
      </c>
      <c r="P520" s="2">
        <f t="shared" ca="1" si="45"/>
        <v>0</v>
      </c>
    </row>
    <row r="521" spans="1:16" outlineLevel="1">
      <c r="A521" s="2" t="str">
        <f t="shared" si="46"/>
        <v/>
      </c>
      <c r="B521" t="str">
        <f t="shared" si="47"/>
        <v/>
      </c>
      <c r="C521" t="e">
        <f t="shared" si="48"/>
        <v>#REF!</v>
      </c>
      <c r="D521" s="330" t="s">
        <v>628</v>
      </c>
      <c r="E521"/>
      <c r="F521"/>
      <c r="G521"/>
      <c r="I521"/>
      <c r="K521" s="2">
        <f t="shared" si="49"/>
        <v>516</v>
      </c>
      <c r="O521" s="2">
        <f t="shared" ca="1" si="45"/>
        <v>0</v>
      </c>
      <c r="P521" s="2">
        <f t="shared" ca="1" si="45"/>
        <v>0</v>
      </c>
    </row>
    <row r="522" spans="1:16" outlineLevel="1">
      <c r="A522" s="2" t="str">
        <f t="shared" si="46"/>
        <v/>
      </c>
      <c r="B522" t="str">
        <f t="shared" si="47"/>
        <v/>
      </c>
      <c r="C522" t="e">
        <f t="shared" si="48"/>
        <v>#REF!</v>
      </c>
      <c r="D522" s="330" t="s">
        <v>628</v>
      </c>
      <c r="E522"/>
      <c r="F522"/>
      <c r="G522"/>
      <c r="I522"/>
      <c r="K522" s="2">
        <f t="shared" si="49"/>
        <v>517</v>
      </c>
      <c r="O522" s="2">
        <f t="shared" ca="1" si="45"/>
        <v>0</v>
      </c>
      <c r="P522" s="2">
        <f t="shared" ca="1" si="45"/>
        <v>0</v>
      </c>
    </row>
    <row r="523" spans="1:16" outlineLevel="1">
      <c r="A523" s="2" t="str">
        <f t="shared" si="46"/>
        <v/>
      </c>
      <c r="B523" t="str">
        <f t="shared" si="47"/>
        <v/>
      </c>
      <c r="C523" t="e">
        <f t="shared" si="48"/>
        <v>#REF!</v>
      </c>
      <c r="D523" s="330" t="s">
        <v>628</v>
      </c>
      <c r="E523"/>
      <c r="F523"/>
      <c r="G523"/>
      <c r="I523"/>
      <c r="K523" s="2">
        <f t="shared" si="49"/>
        <v>518</v>
      </c>
      <c r="O523" s="2">
        <f t="shared" ca="1" si="45"/>
        <v>0</v>
      </c>
      <c r="P523" s="2">
        <f t="shared" ca="1" si="45"/>
        <v>0</v>
      </c>
    </row>
    <row r="524" spans="1:16" outlineLevel="1">
      <c r="A524" s="2" t="str">
        <f t="shared" si="46"/>
        <v/>
      </c>
      <c r="B524" t="str">
        <f t="shared" si="47"/>
        <v/>
      </c>
      <c r="C524" t="e">
        <f t="shared" si="48"/>
        <v>#REF!</v>
      </c>
      <c r="D524" s="330" t="s">
        <v>628</v>
      </c>
      <c r="E524"/>
      <c r="F524"/>
      <c r="G524"/>
      <c r="I524"/>
      <c r="K524" s="2">
        <f t="shared" si="49"/>
        <v>519</v>
      </c>
      <c r="O524" s="2">
        <f t="shared" ca="1" si="45"/>
        <v>0</v>
      </c>
      <c r="P524" s="2">
        <f t="shared" ca="1" si="45"/>
        <v>0</v>
      </c>
    </row>
    <row r="525" spans="1:16" outlineLevel="1">
      <c r="A525" s="2" t="str">
        <f t="shared" si="46"/>
        <v/>
      </c>
      <c r="B525" t="str">
        <f t="shared" si="47"/>
        <v/>
      </c>
      <c r="C525" t="e">
        <f t="shared" si="48"/>
        <v>#REF!</v>
      </c>
      <c r="D525" s="330" t="s">
        <v>628</v>
      </c>
      <c r="E525"/>
      <c r="F525"/>
      <c r="G525"/>
      <c r="I525"/>
      <c r="K525" s="2">
        <f t="shared" si="49"/>
        <v>520</v>
      </c>
      <c r="O525" s="2">
        <f t="shared" ca="1" si="45"/>
        <v>0</v>
      </c>
      <c r="P525" s="2">
        <f t="shared" ca="1" si="45"/>
        <v>0</v>
      </c>
    </row>
    <row r="526" spans="1:16" outlineLevel="1">
      <c r="A526" s="2" t="str">
        <f t="shared" si="46"/>
        <v/>
      </c>
      <c r="B526" t="str">
        <f t="shared" si="47"/>
        <v/>
      </c>
      <c r="C526" t="e">
        <f t="shared" si="48"/>
        <v>#REF!</v>
      </c>
      <c r="D526" s="330" t="s">
        <v>628</v>
      </c>
      <c r="E526"/>
      <c r="F526"/>
      <c r="G526"/>
      <c r="I526"/>
      <c r="K526" s="2">
        <f t="shared" si="49"/>
        <v>521</v>
      </c>
      <c r="O526" s="2">
        <f t="shared" ca="1" si="45"/>
        <v>0</v>
      </c>
      <c r="P526" s="2">
        <f t="shared" ca="1" si="45"/>
        <v>0</v>
      </c>
    </row>
    <row r="527" spans="1:16" outlineLevel="1">
      <c r="A527" s="2" t="str">
        <f t="shared" si="46"/>
        <v/>
      </c>
      <c r="B527" t="str">
        <f t="shared" si="47"/>
        <v/>
      </c>
      <c r="C527" t="e">
        <f t="shared" si="48"/>
        <v>#REF!</v>
      </c>
      <c r="D527" s="330" t="s">
        <v>628</v>
      </c>
      <c r="E527"/>
      <c r="F527"/>
      <c r="G527"/>
      <c r="I527"/>
      <c r="K527" s="2">
        <f t="shared" si="49"/>
        <v>522</v>
      </c>
      <c r="O527" s="2">
        <f t="shared" ca="1" si="45"/>
        <v>0</v>
      </c>
      <c r="P527" s="2">
        <f t="shared" ca="1" si="45"/>
        <v>0</v>
      </c>
    </row>
    <row r="528" spans="1:16" outlineLevel="1">
      <c r="A528" s="2" t="str">
        <f t="shared" si="46"/>
        <v/>
      </c>
      <c r="B528" t="str">
        <f t="shared" si="47"/>
        <v/>
      </c>
      <c r="C528" t="e">
        <f t="shared" si="48"/>
        <v>#REF!</v>
      </c>
      <c r="D528" s="330" t="s">
        <v>628</v>
      </c>
      <c r="E528"/>
      <c r="F528"/>
      <c r="G528"/>
      <c r="I528"/>
      <c r="K528" s="2">
        <f t="shared" si="49"/>
        <v>523</v>
      </c>
      <c r="O528" s="2">
        <f t="shared" ca="1" si="45"/>
        <v>0</v>
      </c>
      <c r="P528" s="2">
        <f t="shared" ca="1" si="45"/>
        <v>0</v>
      </c>
    </row>
    <row r="529" spans="1:16" outlineLevel="1">
      <c r="A529" s="2" t="str">
        <f t="shared" si="46"/>
        <v/>
      </c>
      <c r="B529" t="str">
        <f t="shared" si="47"/>
        <v/>
      </c>
      <c r="C529" t="e">
        <f t="shared" si="48"/>
        <v>#REF!</v>
      </c>
      <c r="D529" s="330" t="s">
        <v>628</v>
      </c>
      <c r="E529"/>
      <c r="F529"/>
      <c r="G529"/>
      <c r="I529"/>
      <c r="K529" s="2">
        <f t="shared" si="49"/>
        <v>524</v>
      </c>
      <c r="O529" s="2">
        <f t="shared" ca="1" si="45"/>
        <v>0</v>
      </c>
      <c r="P529" s="2">
        <f t="shared" ca="1" si="45"/>
        <v>0</v>
      </c>
    </row>
    <row r="530" spans="1:16" outlineLevel="1">
      <c r="A530" s="2" t="str">
        <f t="shared" si="46"/>
        <v/>
      </c>
      <c r="B530" t="str">
        <f t="shared" si="47"/>
        <v/>
      </c>
      <c r="C530" t="e">
        <f t="shared" si="48"/>
        <v>#REF!</v>
      </c>
      <c r="D530" s="330" t="s">
        <v>628</v>
      </c>
      <c r="E530"/>
      <c r="F530"/>
      <c r="G530"/>
      <c r="I530"/>
      <c r="K530" s="2">
        <f t="shared" si="49"/>
        <v>525</v>
      </c>
      <c r="O530" s="2">
        <f t="shared" ca="1" si="45"/>
        <v>0</v>
      </c>
      <c r="P530" s="2">
        <f t="shared" ca="1" si="45"/>
        <v>0</v>
      </c>
    </row>
    <row r="531" spans="1:16" outlineLevel="1">
      <c r="A531" s="2" t="str">
        <f t="shared" si="46"/>
        <v/>
      </c>
      <c r="B531" t="str">
        <f t="shared" si="47"/>
        <v/>
      </c>
      <c r="C531" t="e">
        <f t="shared" si="48"/>
        <v>#REF!</v>
      </c>
      <c r="D531" s="330" t="s">
        <v>628</v>
      </c>
      <c r="E531"/>
      <c r="F531"/>
      <c r="G531"/>
      <c r="I531"/>
      <c r="K531" s="2">
        <f t="shared" si="49"/>
        <v>526</v>
      </c>
      <c r="O531" s="2">
        <f t="shared" ca="1" si="45"/>
        <v>0</v>
      </c>
      <c r="P531" s="2">
        <f t="shared" ca="1" si="45"/>
        <v>0</v>
      </c>
    </row>
    <row r="532" spans="1:16" outlineLevel="1">
      <c r="A532" s="2" t="str">
        <f t="shared" si="46"/>
        <v/>
      </c>
      <c r="B532" t="str">
        <f t="shared" si="47"/>
        <v/>
      </c>
      <c r="C532" t="e">
        <f t="shared" si="48"/>
        <v>#REF!</v>
      </c>
      <c r="D532" s="330" t="s">
        <v>628</v>
      </c>
      <c r="E532"/>
      <c r="F532"/>
      <c r="G532"/>
      <c r="I532"/>
      <c r="K532" s="2">
        <f t="shared" si="49"/>
        <v>527</v>
      </c>
      <c r="O532" s="2">
        <f t="shared" ca="1" si="45"/>
        <v>0</v>
      </c>
      <c r="P532" s="2">
        <f t="shared" ca="1" si="45"/>
        <v>0</v>
      </c>
    </row>
    <row r="533" spans="1:16" outlineLevel="1">
      <c r="A533" s="2" t="str">
        <f t="shared" si="46"/>
        <v/>
      </c>
      <c r="B533" t="str">
        <f t="shared" si="47"/>
        <v/>
      </c>
      <c r="C533" t="e">
        <f t="shared" si="48"/>
        <v>#REF!</v>
      </c>
      <c r="D533" s="330" t="s">
        <v>628</v>
      </c>
      <c r="E533"/>
      <c r="F533"/>
      <c r="G533"/>
      <c r="I533"/>
      <c r="K533" s="2">
        <f t="shared" si="49"/>
        <v>528</v>
      </c>
      <c r="O533" s="2">
        <f t="shared" ca="1" si="45"/>
        <v>0</v>
      </c>
      <c r="P533" s="2">
        <f t="shared" ca="1" si="45"/>
        <v>0</v>
      </c>
    </row>
    <row r="534" spans="1:16" outlineLevel="1">
      <c r="A534" s="2" t="str">
        <f t="shared" si="46"/>
        <v/>
      </c>
      <c r="B534" t="str">
        <f t="shared" si="47"/>
        <v/>
      </c>
      <c r="C534" t="e">
        <f t="shared" si="48"/>
        <v>#REF!</v>
      </c>
      <c r="D534" s="330" t="s">
        <v>628</v>
      </c>
      <c r="E534"/>
      <c r="F534"/>
      <c r="G534"/>
      <c r="I534"/>
      <c r="K534" s="2">
        <f t="shared" si="49"/>
        <v>529</v>
      </c>
      <c r="O534" s="2">
        <f t="shared" ca="1" si="45"/>
        <v>0</v>
      </c>
      <c r="P534" s="2">
        <f t="shared" ca="1" si="45"/>
        <v>0</v>
      </c>
    </row>
    <row r="535" spans="1:16" outlineLevel="1">
      <c r="A535" s="2" t="str">
        <f t="shared" si="46"/>
        <v/>
      </c>
      <c r="B535" t="str">
        <f t="shared" si="47"/>
        <v/>
      </c>
      <c r="C535" t="e">
        <f t="shared" si="48"/>
        <v>#REF!</v>
      </c>
      <c r="D535" s="330" t="s">
        <v>628</v>
      </c>
      <c r="E535"/>
      <c r="F535"/>
      <c r="G535"/>
      <c r="I535"/>
      <c r="K535" s="2">
        <f t="shared" si="49"/>
        <v>530</v>
      </c>
      <c r="O535" s="2">
        <f t="shared" ca="1" si="45"/>
        <v>0</v>
      </c>
      <c r="P535" s="2">
        <f t="shared" ca="1" si="45"/>
        <v>0</v>
      </c>
    </row>
    <row r="536" spans="1:16" outlineLevel="1">
      <c r="A536" s="2" t="str">
        <f t="shared" si="46"/>
        <v/>
      </c>
      <c r="B536" t="str">
        <f t="shared" si="47"/>
        <v/>
      </c>
      <c r="C536" t="e">
        <f t="shared" si="48"/>
        <v>#REF!</v>
      </c>
      <c r="D536" s="330" t="s">
        <v>628</v>
      </c>
      <c r="E536"/>
      <c r="F536"/>
      <c r="G536"/>
      <c r="I536"/>
      <c r="K536" s="2">
        <f t="shared" si="49"/>
        <v>531</v>
      </c>
      <c r="O536" s="2">
        <f t="shared" ca="1" si="45"/>
        <v>0</v>
      </c>
      <c r="P536" s="2">
        <f t="shared" ca="1" si="45"/>
        <v>0</v>
      </c>
    </row>
    <row r="537" spans="1:16" outlineLevel="1">
      <c r="A537" s="2" t="str">
        <f t="shared" si="46"/>
        <v/>
      </c>
      <c r="B537" t="str">
        <f t="shared" si="47"/>
        <v/>
      </c>
      <c r="C537" t="e">
        <f t="shared" si="48"/>
        <v>#REF!</v>
      </c>
      <c r="D537" s="330" t="s">
        <v>628</v>
      </c>
      <c r="E537"/>
      <c r="F537"/>
      <c r="G537"/>
      <c r="I537"/>
      <c r="K537" s="2">
        <f t="shared" si="49"/>
        <v>532</v>
      </c>
      <c r="O537" s="2">
        <f t="shared" ca="1" si="45"/>
        <v>0</v>
      </c>
      <c r="P537" s="2">
        <f t="shared" ca="1" si="45"/>
        <v>0</v>
      </c>
    </row>
    <row r="538" spans="1:16" outlineLevel="1">
      <c r="A538" s="2" t="str">
        <f t="shared" si="46"/>
        <v/>
      </c>
      <c r="B538" t="str">
        <f t="shared" si="47"/>
        <v/>
      </c>
      <c r="C538" t="e">
        <f t="shared" si="48"/>
        <v>#REF!</v>
      </c>
      <c r="D538" s="330" t="s">
        <v>628</v>
      </c>
      <c r="E538"/>
      <c r="F538"/>
      <c r="G538"/>
      <c r="I538"/>
      <c r="K538" s="2">
        <f t="shared" si="49"/>
        <v>533</v>
      </c>
      <c r="O538" s="2">
        <f t="shared" ca="1" si="45"/>
        <v>0</v>
      </c>
      <c r="P538" s="2">
        <f t="shared" ca="1" si="45"/>
        <v>0</v>
      </c>
    </row>
    <row r="539" spans="1:16" outlineLevel="1">
      <c r="A539" s="2" t="str">
        <f t="shared" si="46"/>
        <v/>
      </c>
      <c r="B539" t="str">
        <f t="shared" si="47"/>
        <v/>
      </c>
      <c r="C539" t="e">
        <f t="shared" si="48"/>
        <v>#REF!</v>
      </c>
      <c r="D539" s="330" t="s">
        <v>628</v>
      </c>
      <c r="E539"/>
      <c r="F539"/>
      <c r="G539"/>
      <c r="I539"/>
      <c r="K539" s="2">
        <f t="shared" si="49"/>
        <v>534</v>
      </c>
      <c r="O539" s="2">
        <f t="shared" ca="1" si="45"/>
        <v>0</v>
      </c>
      <c r="P539" s="2">
        <f t="shared" ca="1" si="45"/>
        <v>0</v>
      </c>
    </row>
    <row r="540" spans="1:16" outlineLevel="1">
      <c r="A540" s="2" t="str">
        <f t="shared" si="46"/>
        <v/>
      </c>
      <c r="B540" t="str">
        <f t="shared" si="47"/>
        <v/>
      </c>
      <c r="C540" t="e">
        <f t="shared" si="48"/>
        <v>#REF!</v>
      </c>
      <c r="D540" s="330" t="s">
        <v>628</v>
      </c>
      <c r="E540"/>
      <c r="F540"/>
      <c r="G540"/>
      <c r="I540"/>
      <c r="K540" s="2">
        <f t="shared" si="49"/>
        <v>535</v>
      </c>
      <c r="O540" s="2">
        <f t="shared" ca="1" si="45"/>
        <v>0</v>
      </c>
      <c r="P540" s="2">
        <f t="shared" ca="1" si="45"/>
        <v>0</v>
      </c>
    </row>
    <row r="541" spans="1:16" outlineLevel="1">
      <c r="A541" s="2" t="str">
        <f t="shared" si="46"/>
        <v/>
      </c>
      <c r="B541" t="str">
        <f t="shared" si="47"/>
        <v/>
      </c>
      <c r="C541" t="e">
        <f t="shared" si="48"/>
        <v>#REF!</v>
      </c>
      <c r="D541" s="330" t="s">
        <v>628</v>
      </c>
      <c r="E541"/>
      <c r="F541"/>
      <c r="G541"/>
      <c r="I541"/>
      <c r="K541" s="2">
        <f t="shared" si="49"/>
        <v>536</v>
      </c>
      <c r="O541" s="2">
        <f t="shared" ref="O541:P596" ca="1" si="50">INDIRECT("E"&amp;O$4+$K541)</f>
        <v>0</v>
      </c>
      <c r="P541" s="2">
        <f t="shared" ca="1" si="50"/>
        <v>0</v>
      </c>
    </row>
    <row r="542" spans="1:16" outlineLevel="1">
      <c r="A542" s="2" t="str">
        <f t="shared" ref="A542:A593" si="51">IF(B542="*",ROW(),"")</f>
        <v/>
      </c>
      <c r="B542" t="str">
        <f t="shared" ref="B542:B592" si="52">LEFT(E542,1)</f>
        <v/>
      </c>
      <c r="C542" t="e">
        <f t="shared" ref="C542:C592" si="53">IF(B542="*",RIGHT(E542,10),C541)</f>
        <v>#REF!</v>
      </c>
      <c r="D542" s="330" t="s">
        <v>628</v>
      </c>
      <c r="E542"/>
      <c r="F542"/>
      <c r="G542"/>
      <c r="I542"/>
      <c r="K542" s="2">
        <f t="shared" si="49"/>
        <v>537</v>
      </c>
      <c r="O542" s="2">
        <f t="shared" ca="1" si="50"/>
        <v>0</v>
      </c>
      <c r="P542" s="2">
        <f t="shared" ca="1" si="50"/>
        <v>0</v>
      </c>
    </row>
    <row r="543" spans="1:16" outlineLevel="1">
      <c r="A543" s="2" t="str">
        <f t="shared" si="51"/>
        <v/>
      </c>
      <c r="B543" t="str">
        <f t="shared" si="52"/>
        <v/>
      </c>
      <c r="C543" t="e">
        <f t="shared" si="53"/>
        <v>#REF!</v>
      </c>
      <c r="D543" s="330" t="s">
        <v>628</v>
      </c>
      <c r="E543"/>
      <c r="F543"/>
      <c r="G543"/>
      <c r="I543"/>
      <c r="K543" s="2">
        <f t="shared" si="49"/>
        <v>538</v>
      </c>
      <c r="O543" s="2">
        <f t="shared" ca="1" si="50"/>
        <v>0</v>
      </c>
      <c r="P543" s="2">
        <f t="shared" ca="1" si="50"/>
        <v>0</v>
      </c>
    </row>
    <row r="544" spans="1:16" outlineLevel="1">
      <c r="A544" s="2" t="str">
        <f t="shared" si="51"/>
        <v/>
      </c>
      <c r="B544" t="str">
        <f t="shared" si="52"/>
        <v/>
      </c>
      <c r="C544" t="e">
        <f t="shared" si="53"/>
        <v>#REF!</v>
      </c>
      <c r="D544" s="330" t="s">
        <v>628</v>
      </c>
      <c r="E544"/>
      <c r="F544"/>
      <c r="G544"/>
      <c r="I544"/>
      <c r="K544" s="2">
        <f t="shared" si="49"/>
        <v>539</v>
      </c>
      <c r="O544" s="2">
        <f t="shared" ca="1" si="50"/>
        <v>0</v>
      </c>
      <c r="P544" s="2">
        <f t="shared" ca="1" si="50"/>
        <v>0</v>
      </c>
    </row>
    <row r="545" spans="1:16" outlineLevel="1">
      <c r="A545" s="2" t="str">
        <f t="shared" si="51"/>
        <v/>
      </c>
      <c r="B545" t="str">
        <f t="shared" si="52"/>
        <v/>
      </c>
      <c r="C545" t="e">
        <f t="shared" si="53"/>
        <v>#REF!</v>
      </c>
      <c r="D545" s="330" t="s">
        <v>628</v>
      </c>
      <c r="E545"/>
      <c r="F545"/>
      <c r="G545"/>
      <c r="I545"/>
      <c r="K545" s="2">
        <f t="shared" si="49"/>
        <v>540</v>
      </c>
      <c r="O545" s="2">
        <f t="shared" ca="1" si="50"/>
        <v>0</v>
      </c>
      <c r="P545" s="2">
        <f t="shared" ca="1" si="50"/>
        <v>0</v>
      </c>
    </row>
    <row r="546" spans="1:16" outlineLevel="1">
      <c r="A546" s="2" t="str">
        <f t="shared" si="51"/>
        <v/>
      </c>
      <c r="B546" t="str">
        <f t="shared" si="52"/>
        <v/>
      </c>
      <c r="C546" t="e">
        <f t="shared" si="53"/>
        <v>#REF!</v>
      </c>
      <c r="D546" s="330" t="s">
        <v>628</v>
      </c>
      <c r="E546"/>
      <c r="F546"/>
      <c r="G546"/>
      <c r="I546"/>
      <c r="K546" s="2">
        <f t="shared" si="49"/>
        <v>541</v>
      </c>
      <c r="O546" s="2">
        <f t="shared" ca="1" si="50"/>
        <v>0</v>
      </c>
      <c r="P546" s="2">
        <f t="shared" ca="1" si="50"/>
        <v>0</v>
      </c>
    </row>
    <row r="547" spans="1:16" outlineLevel="1">
      <c r="A547" s="2" t="str">
        <f t="shared" si="51"/>
        <v/>
      </c>
      <c r="B547" t="str">
        <f t="shared" si="52"/>
        <v/>
      </c>
      <c r="C547" t="e">
        <f t="shared" si="53"/>
        <v>#REF!</v>
      </c>
      <c r="D547" s="330" t="s">
        <v>628</v>
      </c>
      <c r="E547"/>
      <c r="F547"/>
      <c r="G547"/>
      <c r="I547"/>
      <c r="K547" s="2">
        <f t="shared" si="49"/>
        <v>542</v>
      </c>
      <c r="O547" s="2">
        <f t="shared" ca="1" si="50"/>
        <v>0</v>
      </c>
      <c r="P547" s="2">
        <f t="shared" ca="1" si="50"/>
        <v>0</v>
      </c>
    </row>
    <row r="548" spans="1:16" outlineLevel="1">
      <c r="A548" s="2" t="str">
        <f t="shared" si="51"/>
        <v/>
      </c>
      <c r="B548" t="str">
        <f t="shared" si="52"/>
        <v/>
      </c>
      <c r="C548" t="e">
        <f t="shared" si="53"/>
        <v>#REF!</v>
      </c>
      <c r="D548" s="330" t="s">
        <v>628</v>
      </c>
      <c r="E548"/>
      <c r="F548"/>
      <c r="G548"/>
      <c r="I548"/>
      <c r="K548" s="2">
        <f t="shared" si="49"/>
        <v>543</v>
      </c>
      <c r="O548" s="2">
        <f t="shared" ca="1" si="50"/>
        <v>0</v>
      </c>
      <c r="P548" s="2">
        <f t="shared" ca="1" si="50"/>
        <v>0</v>
      </c>
    </row>
    <row r="549" spans="1:16" outlineLevel="1">
      <c r="A549" s="2" t="str">
        <f t="shared" si="51"/>
        <v/>
      </c>
      <c r="B549" t="str">
        <f t="shared" si="52"/>
        <v/>
      </c>
      <c r="C549" t="e">
        <f t="shared" si="53"/>
        <v>#REF!</v>
      </c>
      <c r="D549" s="330" t="s">
        <v>628</v>
      </c>
      <c r="E549"/>
      <c r="F549"/>
      <c r="G549"/>
      <c r="I549"/>
      <c r="K549" s="2">
        <f t="shared" si="49"/>
        <v>544</v>
      </c>
      <c r="O549" s="2">
        <f t="shared" ca="1" si="50"/>
        <v>0</v>
      </c>
      <c r="P549" s="2">
        <f t="shared" ca="1" si="50"/>
        <v>0</v>
      </c>
    </row>
    <row r="550" spans="1:16" outlineLevel="1">
      <c r="A550" s="2" t="str">
        <f t="shared" si="51"/>
        <v/>
      </c>
      <c r="B550" t="str">
        <f t="shared" si="52"/>
        <v/>
      </c>
      <c r="C550" t="e">
        <f t="shared" si="53"/>
        <v>#REF!</v>
      </c>
      <c r="D550" s="330" t="s">
        <v>628</v>
      </c>
      <c r="E550"/>
      <c r="F550"/>
      <c r="G550"/>
      <c r="I550"/>
      <c r="K550" s="2">
        <f t="shared" si="49"/>
        <v>545</v>
      </c>
      <c r="O550" s="2">
        <f t="shared" ca="1" si="50"/>
        <v>0</v>
      </c>
      <c r="P550" s="2">
        <f t="shared" ca="1" si="50"/>
        <v>0</v>
      </c>
    </row>
    <row r="551" spans="1:16" outlineLevel="1">
      <c r="A551" s="2" t="str">
        <f t="shared" si="51"/>
        <v/>
      </c>
      <c r="B551" t="str">
        <f t="shared" si="52"/>
        <v/>
      </c>
      <c r="C551" t="e">
        <f t="shared" si="53"/>
        <v>#REF!</v>
      </c>
      <c r="D551" s="330" t="s">
        <v>628</v>
      </c>
      <c r="E551"/>
      <c r="F551"/>
      <c r="G551"/>
      <c r="I551"/>
      <c r="K551" s="2">
        <f t="shared" si="49"/>
        <v>546</v>
      </c>
      <c r="O551" s="2">
        <f t="shared" ca="1" si="50"/>
        <v>0</v>
      </c>
      <c r="P551" s="2">
        <f t="shared" ca="1" si="50"/>
        <v>0</v>
      </c>
    </row>
    <row r="552" spans="1:16" outlineLevel="1">
      <c r="A552" s="2" t="str">
        <f t="shared" si="51"/>
        <v/>
      </c>
      <c r="B552" t="str">
        <f t="shared" si="52"/>
        <v/>
      </c>
      <c r="C552" t="e">
        <f t="shared" si="53"/>
        <v>#REF!</v>
      </c>
      <c r="D552" s="330" t="s">
        <v>628</v>
      </c>
      <c r="E552"/>
      <c r="F552"/>
      <c r="G552"/>
      <c r="I552"/>
      <c r="K552" s="2">
        <f t="shared" si="49"/>
        <v>547</v>
      </c>
      <c r="O552" s="2">
        <f t="shared" ca="1" si="50"/>
        <v>0</v>
      </c>
      <c r="P552" s="2">
        <f t="shared" ca="1" si="50"/>
        <v>0</v>
      </c>
    </row>
    <row r="553" spans="1:16" outlineLevel="1">
      <c r="A553" s="2" t="str">
        <f t="shared" si="51"/>
        <v/>
      </c>
      <c r="B553" t="str">
        <f t="shared" si="52"/>
        <v/>
      </c>
      <c r="C553" t="e">
        <f t="shared" si="53"/>
        <v>#REF!</v>
      </c>
      <c r="D553" s="330" t="s">
        <v>628</v>
      </c>
      <c r="E553"/>
      <c r="F553"/>
      <c r="G553"/>
      <c r="I553"/>
      <c r="K553" s="2">
        <f t="shared" si="49"/>
        <v>548</v>
      </c>
      <c r="O553" s="2">
        <f t="shared" ca="1" si="50"/>
        <v>0</v>
      </c>
      <c r="P553" s="2">
        <f t="shared" ca="1" si="50"/>
        <v>0</v>
      </c>
    </row>
    <row r="554" spans="1:16" outlineLevel="1">
      <c r="A554" s="2" t="str">
        <f t="shared" si="51"/>
        <v/>
      </c>
      <c r="B554" t="str">
        <f t="shared" si="52"/>
        <v/>
      </c>
      <c r="C554" t="e">
        <f t="shared" si="53"/>
        <v>#REF!</v>
      </c>
      <c r="D554" s="330" t="s">
        <v>628</v>
      </c>
      <c r="E554"/>
      <c r="F554"/>
      <c r="G554"/>
      <c r="I554"/>
      <c r="K554" s="2">
        <f t="shared" si="49"/>
        <v>549</v>
      </c>
      <c r="O554" s="2">
        <f t="shared" ca="1" si="50"/>
        <v>0</v>
      </c>
      <c r="P554" s="2">
        <f t="shared" ca="1" si="50"/>
        <v>0</v>
      </c>
    </row>
    <row r="555" spans="1:16" outlineLevel="1">
      <c r="A555" s="2" t="str">
        <f t="shared" si="51"/>
        <v/>
      </c>
      <c r="B555" t="str">
        <f t="shared" si="52"/>
        <v/>
      </c>
      <c r="C555" t="e">
        <f t="shared" si="53"/>
        <v>#REF!</v>
      </c>
      <c r="D555" s="330" t="s">
        <v>628</v>
      </c>
      <c r="E555"/>
      <c r="F555"/>
      <c r="G555"/>
      <c r="I555"/>
      <c r="K555" s="2">
        <f t="shared" si="49"/>
        <v>550</v>
      </c>
      <c r="O555" s="2">
        <f t="shared" ca="1" si="50"/>
        <v>0</v>
      </c>
      <c r="P555" s="2">
        <f t="shared" ca="1" si="50"/>
        <v>0</v>
      </c>
    </row>
    <row r="556" spans="1:16" outlineLevel="1">
      <c r="A556" s="2" t="str">
        <f t="shared" si="51"/>
        <v/>
      </c>
      <c r="B556" t="str">
        <f t="shared" si="52"/>
        <v/>
      </c>
      <c r="C556" t="e">
        <f t="shared" si="53"/>
        <v>#REF!</v>
      </c>
      <c r="D556" s="330" t="s">
        <v>628</v>
      </c>
      <c r="E556"/>
      <c r="F556"/>
      <c r="G556"/>
      <c r="I556"/>
      <c r="K556" s="2">
        <f t="shared" si="49"/>
        <v>551</v>
      </c>
      <c r="O556" s="2">
        <f t="shared" ca="1" si="50"/>
        <v>0</v>
      </c>
      <c r="P556" s="2">
        <f t="shared" ca="1" si="50"/>
        <v>0</v>
      </c>
    </row>
    <row r="557" spans="1:16" outlineLevel="1">
      <c r="A557" s="2" t="str">
        <f t="shared" si="51"/>
        <v/>
      </c>
      <c r="B557" t="str">
        <f t="shared" si="52"/>
        <v/>
      </c>
      <c r="C557" t="e">
        <f t="shared" si="53"/>
        <v>#REF!</v>
      </c>
      <c r="D557" s="330" t="s">
        <v>628</v>
      </c>
      <c r="E557"/>
      <c r="F557"/>
      <c r="G557"/>
      <c r="I557"/>
      <c r="K557" s="2">
        <f t="shared" si="49"/>
        <v>552</v>
      </c>
      <c r="O557" s="2">
        <f t="shared" ca="1" si="50"/>
        <v>0</v>
      </c>
      <c r="P557" s="2">
        <f t="shared" ca="1" si="50"/>
        <v>0</v>
      </c>
    </row>
    <row r="558" spans="1:16" outlineLevel="1">
      <c r="A558" s="2" t="str">
        <f t="shared" si="51"/>
        <v/>
      </c>
      <c r="B558" t="str">
        <f t="shared" si="52"/>
        <v/>
      </c>
      <c r="C558" t="e">
        <f t="shared" si="53"/>
        <v>#REF!</v>
      </c>
      <c r="D558" s="330" t="s">
        <v>628</v>
      </c>
      <c r="E558"/>
      <c r="F558"/>
      <c r="G558"/>
      <c r="I558"/>
      <c r="K558" s="2">
        <f t="shared" si="49"/>
        <v>553</v>
      </c>
      <c r="O558" s="2">
        <f t="shared" ca="1" si="50"/>
        <v>0</v>
      </c>
      <c r="P558" s="2">
        <f t="shared" ca="1" si="50"/>
        <v>0</v>
      </c>
    </row>
    <row r="559" spans="1:16" outlineLevel="1">
      <c r="A559" s="2" t="str">
        <f t="shared" si="51"/>
        <v/>
      </c>
      <c r="B559" t="str">
        <f t="shared" si="52"/>
        <v/>
      </c>
      <c r="C559" t="e">
        <f t="shared" si="53"/>
        <v>#REF!</v>
      </c>
      <c r="D559" s="330" t="s">
        <v>628</v>
      </c>
      <c r="E559"/>
      <c r="F559"/>
      <c r="G559"/>
      <c r="I559"/>
      <c r="K559" s="2">
        <f t="shared" si="49"/>
        <v>554</v>
      </c>
      <c r="O559" s="2">
        <f t="shared" ca="1" si="50"/>
        <v>0</v>
      </c>
      <c r="P559" s="2">
        <f t="shared" ca="1" si="50"/>
        <v>0</v>
      </c>
    </row>
    <row r="560" spans="1:16" outlineLevel="1">
      <c r="A560" s="2" t="str">
        <f t="shared" si="51"/>
        <v/>
      </c>
      <c r="B560" t="str">
        <f t="shared" si="52"/>
        <v/>
      </c>
      <c r="C560" t="e">
        <f t="shared" si="53"/>
        <v>#REF!</v>
      </c>
      <c r="D560" s="330" t="s">
        <v>628</v>
      </c>
      <c r="E560"/>
      <c r="F560"/>
      <c r="G560"/>
      <c r="I560"/>
      <c r="K560" s="2">
        <f t="shared" si="49"/>
        <v>555</v>
      </c>
      <c r="O560" s="2">
        <f t="shared" ca="1" si="50"/>
        <v>0</v>
      </c>
      <c r="P560" s="2">
        <f t="shared" ca="1" si="50"/>
        <v>0</v>
      </c>
    </row>
    <row r="561" spans="1:16" outlineLevel="1">
      <c r="A561" s="2" t="str">
        <f t="shared" si="51"/>
        <v/>
      </c>
      <c r="B561" t="str">
        <f t="shared" si="52"/>
        <v/>
      </c>
      <c r="C561" t="e">
        <f t="shared" si="53"/>
        <v>#REF!</v>
      </c>
      <c r="D561" s="330" t="s">
        <v>628</v>
      </c>
      <c r="E561"/>
      <c r="F561"/>
      <c r="G561"/>
      <c r="I561"/>
      <c r="K561" s="2">
        <f t="shared" si="49"/>
        <v>556</v>
      </c>
      <c r="O561" s="2">
        <f t="shared" ca="1" si="50"/>
        <v>0</v>
      </c>
      <c r="P561" s="2">
        <f t="shared" ca="1" si="50"/>
        <v>0</v>
      </c>
    </row>
    <row r="562" spans="1:16" outlineLevel="1">
      <c r="A562" s="2" t="str">
        <f t="shared" si="51"/>
        <v/>
      </c>
      <c r="B562" t="str">
        <f t="shared" si="52"/>
        <v/>
      </c>
      <c r="C562" t="e">
        <f t="shared" si="53"/>
        <v>#REF!</v>
      </c>
      <c r="D562" s="330" t="s">
        <v>628</v>
      </c>
      <c r="E562"/>
      <c r="F562"/>
      <c r="G562"/>
      <c r="I562"/>
      <c r="K562" s="2">
        <f t="shared" si="49"/>
        <v>557</v>
      </c>
      <c r="O562" s="2">
        <f t="shared" ca="1" si="50"/>
        <v>0</v>
      </c>
      <c r="P562" s="2">
        <f t="shared" ca="1" si="50"/>
        <v>0</v>
      </c>
    </row>
    <row r="563" spans="1:16" outlineLevel="1">
      <c r="A563" s="2" t="str">
        <f t="shared" si="51"/>
        <v/>
      </c>
      <c r="B563" t="str">
        <f t="shared" si="52"/>
        <v/>
      </c>
      <c r="C563" t="e">
        <f t="shared" si="53"/>
        <v>#REF!</v>
      </c>
      <c r="D563" s="330" t="s">
        <v>628</v>
      </c>
      <c r="E563"/>
      <c r="F563"/>
      <c r="G563"/>
      <c r="I563"/>
      <c r="K563" s="2">
        <f t="shared" si="49"/>
        <v>558</v>
      </c>
      <c r="O563" s="2">
        <f t="shared" ca="1" si="50"/>
        <v>0</v>
      </c>
      <c r="P563" s="2">
        <f t="shared" ca="1" si="50"/>
        <v>0</v>
      </c>
    </row>
    <row r="564" spans="1:16" outlineLevel="1">
      <c r="A564" s="2" t="str">
        <f t="shared" si="51"/>
        <v/>
      </c>
      <c r="B564" t="str">
        <f t="shared" si="52"/>
        <v/>
      </c>
      <c r="C564" t="e">
        <f t="shared" si="53"/>
        <v>#REF!</v>
      </c>
      <c r="D564" s="330" t="s">
        <v>628</v>
      </c>
      <c r="E564"/>
      <c r="F564"/>
      <c r="G564"/>
      <c r="I564"/>
      <c r="K564" s="2">
        <f t="shared" si="49"/>
        <v>559</v>
      </c>
      <c r="O564" s="2">
        <f t="shared" ca="1" si="50"/>
        <v>0</v>
      </c>
      <c r="P564" s="2">
        <f t="shared" ca="1" si="50"/>
        <v>0</v>
      </c>
    </row>
    <row r="565" spans="1:16" outlineLevel="1">
      <c r="A565" s="2" t="str">
        <f t="shared" si="51"/>
        <v/>
      </c>
      <c r="B565" t="str">
        <f t="shared" si="52"/>
        <v/>
      </c>
      <c r="C565" t="e">
        <f t="shared" si="53"/>
        <v>#REF!</v>
      </c>
      <c r="D565" s="330" t="s">
        <v>628</v>
      </c>
      <c r="E565"/>
      <c r="F565"/>
      <c r="G565"/>
      <c r="I565"/>
      <c r="K565" s="2">
        <f t="shared" si="49"/>
        <v>560</v>
      </c>
      <c r="O565" s="2">
        <f t="shared" ca="1" si="50"/>
        <v>0</v>
      </c>
      <c r="P565" s="2">
        <f t="shared" ca="1" si="50"/>
        <v>0</v>
      </c>
    </row>
    <row r="566" spans="1:16" outlineLevel="1">
      <c r="A566" s="2" t="str">
        <f t="shared" si="51"/>
        <v/>
      </c>
      <c r="B566" t="str">
        <f t="shared" si="52"/>
        <v/>
      </c>
      <c r="C566" t="e">
        <f>IF(B566="*",RIGHT(E566,10),#REF!)</f>
        <v>#REF!</v>
      </c>
      <c r="D566" s="330" t="s">
        <v>628</v>
      </c>
      <c r="E566"/>
      <c r="F566"/>
      <c r="G566"/>
      <c r="I566"/>
      <c r="K566" s="2">
        <f t="shared" si="49"/>
        <v>561</v>
      </c>
      <c r="O566" s="2">
        <f t="shared" ca="1" si="50"/>
        <v>0</v>
      </c>
      <c r="P566" s="2">
        <f t="shared" ca="1" si="50"/>
        <v>0</v>
      </c>
    </row>
    <row r="567" spans="1:16" outlineLevel="1">
      <c r="A567" s="2" t="str">
        <f t="shared" si="51"/>
        <v/>
      </c>
      <c r="B567" t="str">
        <f t="shared" si="52"/>
        <v/>
      </c>
      <c r="C567" t="e">
        <f t="shared" si="53"/>
        <v>#REF!</v>
      </c>
      <c r="D567" s="330" t="s">
        <v>628</v>
      </c>
      <c r="E567"/>
      <c r="F567"/>
      <c r="G567"/>
      <c r="I567"/>
      <c r="K567" s="2">
        <f t="shared" si="49"/>
        <v>562</v>
      </c>
      <c r="O567" s="2">
        <f t="shared" ca="1" si="50"/>
        <v>0</v>
      </c>
      <c r="P567" s="2">
        <f t="shared" ca="1" si="50"/>
        <v>0</v>
      </c>
    </row>
    <row r="568" spans="1:16" outlineLevel="1">
      <c r="A568" s="2" t="str">
        <f t="shared" si="51"/>
        <v/>
      </c>
      <c r="B568" t="str">
        <f t="shared" si="52"/>
        <v/>
      </c>
      <c r="C568" t="e">
        <f t="shared" si="53"/>
        <v>#REF!</v>
      </c>
      <c r="D568" s="330" t="s">
        <v>628</v>
      </c>
      <c r="E568"/>
      <c r="F568"/>
      <c r="G568"/>
      <c r="I568"/>
      <c r="K568" s="2">
        <f t="shared" si="49"/>
        <v>563</v>
      </c>
      <c r="O568" s="2">
        <f t="shared" ca="1" si="50"/>
        <v>0</v>
      </c>
      <c r="P568" s="2">
        <f t="shared" ca="1" si="50"/>
        <v>0</v>
      </c>
    </row>
    <row r="569" spans="1:16" outlineLevel="1">
      <c r="A569" s="2" t="str">
        <f t="shared" si="51"/>
        <v/>
      </c>
      <c r="B569" t="str">
        <f t="shared" si="52"/>
        <v/>
      </c>
      <c r="C569" t="e">
        <f t="shared" si="53"/>
        <v>#REF!</v>
      </c>
      <c r="D569" s="330" t="s">
        <v>628</v>
      </c>
      <c r="E569"/>
      <c r="F569"/>
      <c r="G569"/>
      <c r="I569"/>
      <c r="K569" s="2">
        <f t="shared" si="49"/>
        <v>564</v>
      </c>
      <c r="O569" s="2">
        <f t="shared" ca="1" si="50"/>
        <v>0</v>
      </c>
      <c r="P569" s="2">
        <f t="shared" ca="1" si="50"/>
        <v>0</v>
      </c>
    </row>
    <row r="570" spans="1:16" outlineLevel="1">
      <c r="A570" s="2" t="str">
        <f t="shared" si="51"/>
        <v/>
      </c>
      <c r="B570" t="str">
        <f t="shared" si="52"/>
        <v/>
      </c>
      <c r="C570" t="e">
        <f t="shared" si="53"/>
        <v>#REF!</v>
      </c>
      <c r="D570" s="330" t="s">
        <v>628</v>
      </c>
      <c r="E570"/>
      <c r="F570"/>
      <c r="G570"/>
      <c r="I570"/>
      <c r="K570" s="2">
        <f t="shared" si="49"/>
        <v>565</v>
      </c>
      <c r="O570" s="2">
        <f t="shared" ca="1" si="50"/>
        <v>0</v>
      </c>
      <c r="P570" s="2">
        <f t="shared" ca="1" si="50"/>
        <v>0</v>
      </c>
    </row>
    <row r="571" spans="1:16" outlineLevel="1">
      <c r="A571" s="2" t="str">
        <f t="shared" si="51"/>
        <v/>
      </c>
      <c r="B571" t="str">
        <f t="shared" si="52"/>
        <v/>
      </c>
      <c r="C571" t="e">
        <f t="shared" si="53"/>
        <v>#REF!</v>
      </c>
      <c r="D571" s="330" t="s">
        <v>628</v>
      </c>
      <c r="E571"/>
      <c r="F571"/>
      <c r="G571"/>
      <c r="I571"/>
      <c r="K571" s="2">
        <f t="shared" si="49"/>
        <v>566</v>
      </c>
      <c r="O571" s="2">
        <f t="shared" ca="1" si="50"/>
        <v>0</v>
      </c>
      <c r="P571" s="2">
        <f t="shared" ca="1" si="50"/>
        <v>0</v>
      </c>
    </row>
    <row r="572" spans="1:16" outlineLevel="1">
      <c r="A572" s="2" t="str">
        <f t="shared" si="51"/>
        <v/>
      </c>
      <c r="B572" t="str">
        <f t="shared" si="52"/>
        <v/>
      </c>
      <c r="C572" t="e">
        <f t="shared" si="53"/>
        <v>#REF!</v>
      </c>
      <c r="D572" s="330" t="s">
        <v>628</v>
      </c>
      <c r="E572"/>
      <c r="F572"/>
      <c r="G572"/>
      <c r="I572"/>
      <c r="K572" s="2">
        <f t="shared" si="49"/>
        <v>567</v>
      </c>
      <c r="O572" s="2">
        <f t="shared" ca="1" si="50"/>
        <v>0</v>
      </c>
      <c r="P572" s="2">
        <f t="shared" ca="1" si="50"/>
        <v>0</v>
      </c>
    </row>
    <row r="573" spans="1:16" outlineLevel="1">
      <c r="A573" s="2" t="str">
        <f t="shared" si="51"/>
        <v/>
      </c>
      <c r="B573" t="str">
        <f t="shared" si="52"/>
        <v/>
      </c>
      <c r="C573" t="e">
        <f t="shared" si="53"/>
        <v>#REF!</v>
      </c>
      <c r="D573" s="330" t="s">
        <v>628</v>
      </c>
      <c r="E573"/>
      <c r="F573"/>
      <c r="G573"/>
      <c r="I573"/>
      <c r="K573" s="2">
        <f t="shared" si="49"/>
        <v>568</v>
      </c>
      <c r="O573" s="2">
        <f t="shared" ca="1" si="50"/>
        <v>0</v>
      </c>
      <c r="P573" s="2">
        <f t="shared" ca="1" si="50"/>
        <v>0</v>
      </c>
    </row>
    <row r="574" spans="1:16" outlineLevel="1">
      <c r="A574" s="2" t="str">
        <f t="shared" si="51"/>
        <v/>
      </c>
      <c r="B574" t="str">
        <f t="shared" si="52"/>
        <v/>
      </c>
      <c r="C574" t="e">
        <f t="shared" si="53"/>
        <v>#REF!</v>
      </c>
      <c r="D574" s="330" t="s">
        <v>628</v>
      </c>
      <c r="E574"/>
      <c r="F574"/>
      <c r="G574"/>
      <c r="I574"/>
      <c r="K574" s="2">
        <f t="shared" si="49"/>
        <v>569</v>
      </c>
      <c r="O574" s="2">
        <f t="shared" ca="1" si="50"/>
        <v>0</v>
      </c>
      <c r="P574" s="2">
        <f t="shared" ca="1" si="50"/>
        <v>0</v>
      </c>
    </row>
    <row r="575" spans="1:16" outlineLevel="1">
      <c r="A575" s="2" t="str">
        <f t="shared" si="51"/>
        <v/>
      </c>
      <c r="B575" t="str">
        <f t="shared" si="52"/>
        <v/>
      </c>
      <c r="C575" t="e">
        <f t="shared" si="53"/>
        <v>#REF!</v>
      </c>
      <c r="D575" s="330" t="s">
        <v>628</v>
      </c>
      <c r="E575"/>
      <c r="F575"/>
      <c r="G575"/>
      <c r="I575"/>
      <c r="K575" s="2">
        <f t="shared" si="49"/>
        <v>570</v>
      </c>
      <c r="O575" s="2">
        <f t="shared" ca="1" si="50"/>
        <v>0</v>
      </c>
      <c r="P575" s="2">
        <f t="shared" ca="1" si="50"/>
        <v>0</v>
      </c>
    </row>
    <row r="576" spans="1:16" outlineLevel="1">
      <c r="A576" s="2" t="str">
        <f t="shared" si="51"/>
        <v/>
      </c>
      <c r="B576" t="str">
        <f t="shared" si="52"/>
        <v/>
      </c>
      <c r="C576" t="e">
        <f t="shared" si="53"/>
        <v>#REF!</v>
      </c>
      <c r="D576" s="330" t="s">
        <v>628</v>
      </c>
      <c r="E576"/>
      <c r="F576"/>
      <c r="G576"/>
      <c r="I576"/>
      <c r="K576" s="2">
        <f t="shared" si="49"/>
        <v>571</v>
      </c>
      <c r="O576" s="2">
        <f t="shared" ca="1" si="50"/>
        <v>0</v>
      </c>
      <c r="P576" s="2">
        <f t="shared" ca="1" si="50"/>
        <v>0</v>
      </c>
    </row>
    <row r="577" spans="1:16" outlineLevel="1">
      <c r="A577" s="2" t="str">
        <f t="shared" si="51"/>
        <v/>
      </c>
      <c r="B577" t="str">
        <f t="shared" si="52"/>
        <v/>
      </c>
      <c r="C577" t="e">
        <f t="shared" si="53"/>
        <v>#REF!</v>
      </c>
      <c r="D577" s="330" t="s">
        <v>628</v>
      </c>
      <c r="E577"/>
      <c r="F577"/>
      <c r="G577"/>
      <c r="I577"/>
      <c r="K577" s="2">
        <f t="shared" si="49"/>
        <v>572</v>
      </c>
      <c r="O577" s="2">
        <f t="shared" ca="1" si="50"/>
        <v>0</v>
      </c>
      <c r="P577" s="2">
        <f t="shared" ca="1" si="50"/>
        <v>0</v>
      </c>
    </row>
    <row r="578" spans="1:16" outlineLevel="1">
      <c r="A578" s="2" t="str">
        <f t="shared" si="51"/>
        <v/>
      </c>
      <c r="B578" t="str">
        <f t="shared" si="52"/>
        <v/>
      </c>
      <c r="C578" t="e">
        <f t="shared" si="53"/>
        <v>#REF!</v>
      </c>
      <c r="D578" s="330" t="s">
        <v>628</v>
      </c>
      <c r="E578"/>
      <c r="F578"/>
      <c r="G578"/>
      <c r="I578"/>
      <c r="K578" s="2">
        <f t="shared" si="49"/>
        <v>573</v>
      </c>
      <c r="O578" s="2">
        <f t="shared" ca="1" si="50"/>
        <v>0</v>
      </c>
      <c r="P578" s="2">
        <f t="shared" ca="1" si="50"/>
        <v>0</v>
      </c>
    </row>
    <row r="579" spans="1:16" outlineLevel="1">
      <c r="A579" s="2" t="str">
        <f t="shared" si="51"/>
        <v/>
      </c>
      <c r="B579" t="str">
        <f t="shared" si="52"/>
        <v/>
      </c>
      <c r="C579" t="e">
        <f t="shared" si="53"/>
        <v>#REF!</v>
      </c>
      <c r="D579" s="330" t="s">
        <v>628</v>
      </c>
      <c r="E579"/>
      <c r="F579"/>
      <c r="G579"/>
      <c r="I579"/>
      <c r="K579" s="2">
        <f t="shared" si="49"/>
        <v>574</v>
      </c>
      <c r="O579" s="2">
        <f t="shared" ca="1" si="50"/>
        <v>0</v>
      </c>
      <c r="P579" s="2">
        <f t="shared" ca="1" si="50"/>
        <v>0</v>
      </c>
    </row>
    <row r="580" spans="1:16" outlineLevel="1">
      <c r="A580" s="2" t="str">
        <f t="shared" si="51"/>
        <v/>
      </c>
      <c r="B580" t="str">
        <f t="shared" si="52"/>
        <v/>
      </c>
      <c r="C580" t="e">
        <f t="shared" si="53"/>
        <v>#REF!</v>
      </c>
      <c r="D580" s="330" t="s">
        <v>628</v>
      </c>
      <c r="E580"/>
      <c r="F580"/>
      <c r="G580"/>
      <c r="I580"/>
      <c r="K580" s="2">
        <f t="shared" si="49"/>
        <v>575</v>
      </c>
      <c r="O580" s="2">
        <f t="shared" ca="1" si="50"/>
        <v>0</v>
      </c>
      <c r="P580" s="2">
        <f t="shared" ca="1" si="50"/>
        <v>0</v>
      </c>
    </row>
    <row r="581" spans="1:16" outlineLevel="1">
      <c r="A581" s="2" t="str">
        <f t="shared" si="51"/>
        <v/>
      </c>
      <c r="B581" t="str">
        <f t="shared" si="52"/>
        <v/>
      </c>
      <c r="C581" t="e">
        <f t="shared" si="53"/>
        <v>#REF!</v>
      </c>
      <c r="D581" s="330" t="s">
        <v>628</v>
      </c>
      <c r="E581"/>
      <c r="F581"/>
      <c r="G581"/>
      <c r="I581"/>
      <c r="K581" s="2">
        <f t="shared" si="49"/>
        <v>576</v>
      </c>
      <c r="O581" s="2">
        <f t="shared" ca="1" si="50"/>
        <v>0</v>
      </c>
      <c r="P581" s="2">
        <f t="shared" ca="1" si="50"/>
        <v>0</v>
      </c>
    </row>
    <row r="582" spans="1:16" outlineLevel="1">
      <c r="A582" s="2" t="str">
        <f t="shared" si="51"/>
        <v/>
      </c>
      <c r="B582" t="str">
        <f t="shared" si="52"/>
        <v/>
      </c>
      <c r="C582" t="e">
        <f t="shared" si="53"/>
        <v>#REF!</v>
      </c>
      <c r="D582" s="330" t="s">
        <v>628</v>
      </c>
      <c r="E582"/>
      <c r="F582"/>
      <c r="G582"/>
      <c r="I582"/>
      <c r="K582" s="2">
        <f t="shared" si="49"/>
        <v>577</v>
      </c>
      <c r="O582" s="2">
        <f t="shared" ca="1" si="50"/>
        <v>0</v>
      </c>
      <c r="P582" s="2">
        <f t="shared" ca="1" si="50"/>
        <v>0</v>
      </c>
    </row>
    <row r="583" spans="1:16" outlineLevel="1">
      <c r="A583" s="2" t="str">
        <f t="shared" si="51"/>
        <v/>
      </c>
      <c r="B583" t="str">
        <f t="shared" si="52"/>
        <v/>
      </c>
      <c r="C583" t="e">
        <f t="shared" si="53"/>
        <v>#REF!</v>
      </c>
      <c r="D583" s="330" t="s">
        <v>628</v>
      </c>
      <c r="E583"/>
      <c r="F583"/>
      <c r="G583"/>
      <c r="I583"/>
      <c r="K583" s="2">
        <f t="shared" si="49"/>
        <v>578</v>
      </c>
      <c r="O583" s="2">
        <f t="shared" ca="1" si="50"/>
        <v>0</v>
      </c>
      <c r="P583" s="2">
        <f t="shared" ca="1" si="50"/>
        <v>0</v>
      </c>
    </row>
    <row r="584" spans="1:16" outlineLevel="1">
      <c r="A584" s="2" t="str">
        <f t="shared" si="51"/>
        <v/>
      </c>
      <c r="B584" t="str">
        <f t="shared" si="52"/>
        <v/>
      </c>
      <c r="C584" t="e">
        <f t="shared" si="53"/>
        <v>#REF!</v>
      </c>
      <c r="D584" s="330" t="s">
        <v>628</v>
      </c>
      <c r="E584"/>
      <c r="F584"/>
      <c r="G584"/>
      <c r="I584"/>
      <c r="K584" s="2">
        <f t="shared" ref="K584:K595" si="54">K583+1</f>
        <v>579</v>
      </c>
      <c r="O584" s="2">
        <f t="shared" ca="1" si="50"/>
        <v>0</v>
      </c>
      <c r="P584" s="2">
        <f t="shared" ca="1" si="50"/>
        <v>0</v>
      </c>
    </row>
    <row r="585" spans="1:16" outlineLevel="1">
      <c r="A585" s="2" t="str">
        <f t="shared" si="51"/>
        <v/>
      </c>
      <c r="B585" t="str">
        <f t="shared" si="52"/>
        <v/>
      </c>
      <c r="C585" t="e">
        <f t="shared" si="53"/>
        <v>#REF!</v>
      </c>
      <c r="D585" s="330" t="s">
        <v>628</v>
      </c>
      <c r="E585"/>
      <c r="F585"/>
      <c r="G585"/>
      <c r="I585"/>
      <c r="K585" s="2">
        <f t="shared" si="54"/>
        <v>580</v>
      </c>
      <c r="O585" s="2">
        <f t="shared" ca="1" si="50"/>
        <v>0</v>
      </c>
      <c r="P585" s="2">
        <f t="shared" ca="1" si="50"/>
        <v>0</v>
      </c>
    </row>
    <row r="586" spans="1:16" outlineLevel="1">
      <c r="A586" s="2" t="str">
        <f t="shared" si="51"/>
        <v/>
      </c>
      <c r="B586" t="str">
        <f t="shared" si="52"/>
        <v/>
      </c>
      <c r="C586" t="e">
        <f t="shared" si="53"/>
        <v>#REF!</v>
      </c>
      <c r="D586" s="330" t="s">
        <v>628</v>
      </c>
      <c r="E586"/>
      <c r="F586"/>
      <c r="G586"/>
      <c r="I586"/>
      <c r="K586" s="2">
        <f t="shared" si="54"/>
        <v>581</v>
      </c>
      <c r="O586" s="2">
        <f t="shared" ca="1" si="50"/>
        <v>0</v>
      </c>
      <c r="P586" s="2">
        <f t="shared" ca="1" si="50"/>
        <v>0</v>
      </c>
    </row>
    <row r="587" spans="1:16" outlineLevel="1">
      <c r="A587" s="2" t="str">
        <f t="shared" si="51"/>
        <v/>
      </c>
      <c r="B587" t="str">
        <f t="shared" si="52"/>
        <v/>
      </c>
      <c r="C587" t="e">
        <f t="shared" si="53"/>
        <v>#REF!</v>
      </c>
      <c r="D587" s="330" t="s">
        <v>628</v>
      </c>
      <c r="E587"/>
      <c r="F587"/>
      <c r="G587"/>
      <c r="I587"/>
      <c r="K587" s="2">
        <f t="shared" si="54"/>
        <v>582</v>
      </c>
      <c r="O587" s="2">
        <f t="shared" ca="1" si="50"/>
        <v>0</v>
      </c>
      <c r="P587" s="2">
        <f t="shared" ca="1" si="50"/>
        <v>0</v>
      </c>
    </row>
    <row r="588" spans="1:16" outlineLevel="1">
      <c r="A588" s="2" t="str">
        <f t="shared" si="51"/>
        <v/>
      </c>
      <c r="B588" t="str">
        <f t="shared" si="52"/>
        <v/>
      </c>
      <c r="C588" t="e">
        <f t="shared" si="53"/>
        <v>#REF!</v>
      </c>
      <c r="D588" s="330" t="s">
        <v>628</v>
      </c>
      <c r="E588"/>
      <c r="F588"/>
      <c r="G588"/>
      <c r="I588"/>
      <c r="K588" s="2">
        <f t="shared" si="54"/>
        <v>583</v>
      </c>
      <c r="O588" s="2">
        <f t="shared" ca="1" si="50"/>
        <v>0</v>
      </c>
      <c r="P588" s="2">
        <f t="shared" ca="1" si="50"/>
        <v>0</v>
      </c>
    </row>
    <row r="589" spans="1:16" outlineLevel="1">
      <c r="A589" s="2" t="str">
        <f t="shared" si="51"/>
        <v/>
      </c>
      <c r="B589" t="str">
        <f t="shared" si="52"/>
        <v/>
      </c>
      <c r="C589" t="e">
        <f t="shared" si="53"/>
        <v>#REF!</v>
      </c>
      <c r="D589" s="330" t="s">
        <v>628</v>
      </c>
      <c r="E589"/>
      <c r="F589"/>
      <c r="G589"/>
      <c r="I589"/>
      <c r="K589" s="2">
        <f t="shared" si="54"/>
        <v>584</v>
      </c>
      <c r="O589" s="2">
        <f t="shared" ca="1" si="50"/>
        <v>0</v>
      </c>
      <c r="P589" s="2">
        <f t="shared" ca="1" si="50"/>
        <v>0</v>
      </c>
    </row>
    <row r="590" spans="1:16" outlineLevel="1">
      <c r="A590" s="2" t="str">
        <f t="shared" si="51"/>
        <v/>
      </c>
      <c r="B590" t="str">
        <f t="shared" si="52"/>
        <v/>
      </c>
      <c r="C590" t="e">
        <f t="shared" si="53"/>
        <v>#REF!</v>
      </c>
      <c r="D590" s="330" t="s">
        <v>628</v>
      </c>
      <c r="E590"/>
      <c r="F590"/>
      <c r="G590"/>
      <c r="I590"/>
      <c r="K590" s="2">
        <f t="shared" si="54"/>
        <v>585</v>
      </c>
      <c r="O590" s="2">
        <f t="shared" ca="1" si="50"/>
        <v>0</v>
      </c>
      <c r="P590" s="2">
        <f t="shared" ca="1" si="50"/>
        <v>0</v>
      </c>
    </row>
    <row r="591" spans="1:16" outlineLevel="1">
      <c r="A591" s="2" t="str">
        <f t="shared" si="51"/>
        <v/>
      </c>
      <c r="B591" t="str">
        <f t="shared" si="52"/>
        <v/>
      </c>
      <c r="C591" t="e">
        <f t="shared" si="53"/>
        <v>#REF!</v>
      </c>
      <c r="D591" s="330" t="s">
        <v>628</v>
      </c>
      <c r="E591"/>
      <c r="F591"/>
      <c r="G591"/>
      <c r="I591"/>
      <c r="K591" s="2">
        <f t="shared" si="54"/>
        <v>586</v>
      </c>
      <c r="O591" s="2">
        <f t="shared" ca="1" si="50"/>
        <v>0</v>
      </c>
      <c r="P591" s="2">
        <f t="shared" ca="1" si="50"/>
        <v>0</v>
      </c>
    </row>
    <row r="592" spans="1:16" outlineLevel="1">
      <c r="A592" s="2" t="str">
        <f t="shared" si="51"/>
        <v/>
      </c>
      <c r="B592" t="str">
        <f t="shared" si="52"/>
        <v/>
      </c>
      <c r="C592" t="e">
        <f t="shared" si="53"/>
        <v>#REF!</v>
      </c>
      <c r="D592" s="330" t="s">
        <v>628</v>
      </c>
      <c r="E592"/>
      <c r="F592"/>
      <c r="G592"/>
      <c r="I592"/>
      <c r="K592" s="2">
        <f t="shared" si="54"/>
        <v>587</v>
      </c>
      <c r="O592" s="2">
        <f t="shared" ca="1" si="50"/>
        <v>0</v>
      </c>
      <c r="P592" s="2">
        <f t="shared" ca="1" si="50"/>
        <v>0</v>
      </c>
    </row>
    <row r="593" spans="1:16">
      <c r="A593" s="2" t="str">
        <f t="shared" si="51"/>
        <v/>
      </c>
      <c r="B593" t="str">
        <f t="shared" ref="B593:B656" si="55">LEFT(E593,1)</f>
        <v/>
      </c>
      <c r="C593" t="e">
        <f t="shared" ref="C593:C656" si="56">IF(B593="*",RIGHT(E593,10),C592)</f>
        <v>#REF!</v>
      </c>
      <c r="D593" s="330" t="s">
        <v>628</v>
      </c>
      <c r="E593"/>
      <c r="F593"/>
      <c r="G593"/>
      <c r="I593"/>
      <c r="K593" s="2">
        <v>13</v>
      </c>
      <c r="O593" s="2">
        <f t="shared" ca="1" si="50"/>
        <v>0</v>
      </c>
      <c r="P593" s="2">
        <f t="shared" ca="1" si="50"/>
        <v>0</v>
      </c>
    </row>
    <row r="594" spans="1:16" outlineLevel="1">
      <c r="A594" s="2" t="str">
        <f t="shared" ref="A594:A628" si="57">IF(B594="*",ROW(),"")</f>
        <v/>
      </c>
      <c r="B594" t="str">
        <f t="shared" si="55"/>
        <v/>
      </c>
      <c r="C594" t="e">
        <f t="shared" si="56"/>
        <v>#REF!</v>
      </c>
      <c r="D594" s="330" t="s">
        <v>628</v>
      </c>
      <c r="E594"/>
      <c r="F594"/>
      <c r="G594"/>
      <c r="I594"/>
      <c r="K594" s="2">
        <f t="shared" si="54"/>
        <v>14</v>
      </c>
      <c r="O594" s="2">
        <f t="shared" ca="1" si="50"/>
        <v>0</v>
      </c>
      <c r="P594" s="2">
        <f t="shared" ca="1" si="50"/>
        <v>0</v>
      </c>
    </row>
    <row r="595" spans="1:16" outlineLevel="1">
      <c r="A595" s="2" t="str">
        <f t="shared" si="57"/>
        <v/>
      </c>
      <c r="B595" t="str">
        <f t="shared" si="55"/>
        <v/>
      </c>
      <c r="C595" t="e">
        <f t="shared" si="56"/>
        <v>#REF!</v>
      </c>
      <c r="D595" s="330" t="s">
        <v>628</v>
      </c>
      <c r="E595"/>
      <c r="F595"/>
      <c r="G595"/>
      <c r="I595"/>
      <c r="K595" s="2">
        <f t="shared" si="54"/>
        <v>15</v>
      </c>
      <c r="O595" s="2">
        <f t="shared" ca="1" si="50"/>
        <v>0</v>
      </c>
      <c r="P595" s="2">
        <f t="shared" ca="1" si="50"/>
        <v>0</v>
      </c>
    </row>
    <row r="596" spans="1:16" outlineLevel="1">
      <c r="A596" s="2" t="str">
        <f t="shared" si="57"/>
        <v/>
      </c>
      <c r="B596" t="str">
        <f t="shared" si="55"/>
        <v/>
      </c>
      <c r="C596" t="e">
        <f t="shared" si="56"/>
        <v>#REF!</v>
      </c>
      <c r="D596" s="330" t="s">
        <v>628</v>
      </c>
      <c r="E596"/>
      <c r="F596"/>
      <c r="G596"/>
      <c r="I596"/>
      <c r="O596" s="2">
        <f t="shared" ca="1" si="50"/>
        <v>0</v>
      </c>
      <c r="P596" s="2">
        <f t="shared" ca="1" si="50"/>
        <v>0</v>
      </c>
    </row>
    <row r="597" spans="1:16" outlineLevel="1">
      <c r="A597" s="2" t="str">
        <f t="shared" si="57"/>
        <v/>
      </c>
      <c r="B597" t="str">
        <f t="shared" si="55"/>
        <v/>
      </c>
      <c r="C597" t="e">
        <f t="shared" si="56"/>
        <v>#REF!</v>
      </c>
      <c r="D597" s="330" t="s">
        <v>628</v>
      </c>
      <c r="E597"/>
      <c r="F597"/>
      <c r="G597"/>
      <c r="I597"/>
    </row>
    <row r="598" spans="1:16" outlineLevel="1">
      <c r="A598" s="2" t="str">
        <f t="shared" si="57"/>
        <v/>
      </c>
      <c r="B598" t="str">
        <f t="shared" si="55"/>
        <v/>
      </c>
      <c r="C598" t="e">
        <f t="shared" si="56"/>
        <v>#REF!</v>
      </c>
      <c r="D598" s="330" t="s">
        <v>628</v>
      </c>
      <c r="E598"/>
      <c r="F598"/>
      <c r="G598"/>
      <c r="I598"/>
    </row>
    <row r="599" spans="1:16" outlineLevel="1">
      <c r="A599" s="2" t="str">
        <f t="shared" si="57"/>
        <v/>
      </c>
      <c r="B599" t="str">
        <f t="shared" si="55"/>
        <v/>
      </c>
      <c r="C599" t="e">
        <f t="shared" si="56"/>
        <v>#REF!</v>
      </c>
      <c r="D599" s="330" t="s">
        <v>628</v>
      </c>
      <c r="E599"/>
      <c r="F599"/>
      <c r="G599"/>
      <c r="I599"/>
    </row>
    <row r="600" spans="1:16" outlineLevel="1">
      <c r="A600" s="2" t="str">
        <f t="shared" si="57"/>
        <v/>
      </c>
      <c r="B600" t="str">
        <f t="shared" si="55"/>
        <v/>
      </c>
      <c r="C600" t="e">
        <f t="shared" si="56"/>
        <v>#REF!</v>
      </c>
      <c r="D600" s="330" t="s">
        <v>628</v>
      </c>
      <c r="E600"/>
      <c r="F600"/>
      <c r="G600"/>
      <c r="I600"/>
    </row>
    <row r="601" spans="1:16" outlineLevel="1">
      <c r="A601" s="2" t="str">
        <f t="shared" si="57"/>
        <v/>
      </c>
      <c r="B601" t="str">
        <f t="shared" si="55"/>
        <v/>
      </c>
      <c r="C601" t="e">
        <f t="shared" si="56"/>
        <v>#REF!</v>
      </c>
      <c r="D601" s="330" t="s">
        <v>628</v>
      </c>
      <c r="E601"/>
      <c r="F601"/>
      <c r="G601"/>
      <c r="I601"/>
    </row>
    <row r="602" spans="1:16" outlineLevel="1">
      <c r="A602" s="2" t="str">
        <f t="shared" si="57"/>
        <v/>
      </c>
      <c r="B602" t="str">
        <f t="shared" si="55"/>
        <v/>
      </c>
      <c r="C602" t="e">
        <f t="shared" si="56"/>
        <v>#REF!</v>
      </c>
      <c r="D602" s="330" t="s">
        <v>628</v>
      </c>
      <c r="E602"/>
      <c r="F602"/>
      <c r="G602"/>
      <c r="I602"/>
    </row>
    <row r="603" spans="1:16" outlineLevel="1">
      <c r="A603" s="2" t="str">
        <f t="shared" si="57"/>
        <v/>
      </c>
      <c r="B603" t="str">
        <f t="shared" si="55"/>
        <v/>
      </c>
      <c r="C603" t="e">
        <f t="shared" si="56"/>
        <v>#REF!</v>
      </c>
      <c r="D603" s="330" t="s">
        <v>628</v>
      </c>
      <c r="E603"/>
      <c r="F603"/>
      <c r="G603"/>
      <c r="I603"/>
    </row>
    <row r="604" spans="1:16" outlineLevel="1">
      <c r="A604" s="2" t="str">
        <f t="shared" si="57"/>
        <v/>
      </c>
      <c r="B604" t="str">
        <f t="shared" si="55"/>
        <v/>
      </c>
      <c r="C604" t="e">
        <f t="shared" si="56"/>
        <v>#REF!</v>
      </c>
      <c r="D604" s="330" t="s">
        <v>628</v>
      </c>
      <c r="E604"/>
      <c r="F604"/>
      <c r="G604"/>
      <c r="I604"/>
    </row>
    <row r="605" spans="1:16" outlineLevel="1">
      <c r="A605" s="2" t="str">
        <f t="shared" si="57"/>
        <v/>
      </c>
      <c r="B605" t="str">
        <f t="shared" si="55"/>
        <v/>
      </c>
      <c r="C605" t="e">
        <f t="shared" si="56"/>
        <v>#REF!</v>
      </c>
      <c r="D605" s="330" t="s">
        <v>628</v>
      </c>
      <c r="E605"/>
      <c r="F605"/>
      <c r="G605"/>
      <c r="I605"/>
    </row>
    <row r="606" spans="1:16" outlineLevel="1">
      <c r="A606" s="2" t="str">
        <f t="shared" si="57"/>
        <v/>
      </c>
      <c r="B606" t="str">
        <f t="shared" si="55"/>
        <v/>
      </c>
      <c r="C606" t="e">
        <f t="shared" si="56"/>
        <v>#REF!</v>
      </c>
      <c r="D606" s="330" t="s">
        <v>628</v>
      </c>
      <c r="E606"/>
      <c r="F606"/>
      <c r="G606"/>
      <c r="I606"/>
    </row>
    <row r="607" spans="1:16" outlineLevel="1">
      <c r="A607" s="2" t="str">
        <f t="shared" si="57"/>
        <v/>
      </c>
      <c r="B607" t="str">
        <f t="shared" si="55"/>
        <v/>
      </c>
      <c r="C607" t="e">
        <f t="shared" si="56"/>
        <v>#REF!</v>
      </c>
      <c r="D607" s="330" t="s">
        <v>628</v>
      </c>
      <c r="E607"/>
      <c r="F607"/>
      <c r="G607"/>
      <c r="I607"/>
    </row>
    <row r="608" spans="1:16" outlineLevel="1">
      <c r="A608" s="2" t="str">
        <f t="shared" si="57"/>
        <v/>
      </c>
      <c r="B608" t="str">
        <f t="shared" si="55"/>
        <v/>
      </c>
      <c r="C608" t="e">
        <f t="shared" si="56"/>
        <v>#REF!</v>
      </c>
      <c r="D608" s="330" t="s">
        <v>628</v>
      </c>
      <c r="E608"/>
      <c r="F608"/>
      <c r="G608"/>
      <c r="I608"/>
    </row>
    <row r="609" spans="1:9" outlineLevel="1">
      <c r="A609" s="2" t="str">
        <f t="shared" si="57"/>
        <v/>
      </c>
      <c r="B609" t="str">
        <f t="shared" si="55"/>
        <v/>
      </c>
      <c r="C609" t="e">
        <f t="shared" si="56"/>
        <v>#REF!</v>
      </c>
      <c r="D609" s="330" t="s">
        <v>628</v>
      </c>
      <c r="E609"/>
      <c r="F609"/>
      <c r="G609"/>
      <c r="I609"/>
    </row>
    <row r="610" spans="1:9" outlineLevel="1">
      <c r="A610" s="2" t="str">
        <f t="shared" si="57"/>
        <v/>
      </c>
      <c r="B610" t="str">
        <f t="shared" si="55"/>
        <v/>
      </c>
      <c r="C610" t="e">
        <f t="shared" si="56"/>
        <v>#REF!</v>
      </c>
      <c r="D610" s="330" t="s">
        <v>628</v>
      </c>
      <c r="E610"/>
      <c r="F610"/>
      <c r="G610"/>
      <c r="I610"/>
    </row>
    <row r="611" spans="1:9" outlineLevel="1">
      <c r="A611" s="2" t="str">
        <f t="shared" si="57"/>
        <v/>
      </c>
      <c r="B611" t="str">
        <f t="shared" si="55"/>
        <v/>
      </c>
      <c r="C611" t="e">
        <f t="shared" si="56"/>
        <v>#REF!</v>
      </c>
      <c r="D611" s="330" t="s">
        <v>628</v>
      </c>
      <c r="E611"/>
      <c r="F611"/>
      <c r="G611"/>
      <c r="I611"/>
    </row>
    <row r="612" spans="1:9" outlineLevel="1">
      <c r="A612" s="2" t="str">
        <f t="shared" si="57"/>
        <v/>
      </c>
      <c r="B612" t="str">
        <f t="shared" si="55"/>
        <v/>
      </c>
      <c r="C612" t="e">
        <f t="shared" si="56"/>
        <v>#REF!</v>
      </c>
      <c r="D612" s="330" t="s">
        <v>628</v>
      </c>
      <c r="E612"/>
      <c r="F612"/>
      <c r="G612"/>
      <c r="I612"/>
    </row>
    <row r="613" spans="1:9" outlineLevel="1">
      <c r="A613" s="2" t="str">
        <f t="shared" si="57"/>
        <v/>
      </c>
      <c r="B613" t="str">
        <f t="shared" si="55"/>
        <v/>
      </c>
      <c r="C613" t="e">
        <f t="shared" si="56"/>
        <v>#REF!</v>
      </c>
      <c r="D613" s="330" t="s">
        <v>628</v>
      </c>
      <c r="E613"/>
      <c r="F613"/>
      <c r="G613"/>
      <c r="I613"/>
    </row>
    <row r="614" spans="1:9" outlineLevel="1">
      <c r="A614" s="2" t="str">
        <f t="shared" si="57"/>
        <v/>
      </c>
      <c r="B614" t="str">
        <f t="shared" si="55"/>
        <v/>
      </c>
      <c r="C614" t="e">
        <f t="shared" si="56"/>
        <v>#REF!</v>
      </c>
      <c r="D614" s="330" t="s">
        <v>628</v>
      </c>
      <c r="E614"/>
      <c r="F614"/>
      <c r="G614"/>
      <c r="I614"/>
    </row>
    <row r="615" spans="1:9" outlineLevel="1">
      <c r="A615" s="2" t="str">
        <f t="shared" si="57"/>
        <v/>
      </c>
      <c r="B615" t="str">
        <f t="shared" si="55"/>
        <v/>
      </c>
      <c r="C615" t="e">
        <f t="shared" si="56"/>
        <v>#REF!</v>
      </c>
      <c r="D615" s="330" t="s">
        <v>628</v>
      </c>
      <c r="E615"/>
      <c r="F615"/>
      <c r="G615"/>
      <c r="I615"/>
    </row>
    <row r="616" spans="1:9" outlineLevel="1">
      <c r="A616" s="2" t="str">
        <f t="shared" si="57"/>
        <v/>
      </c>
      <c r="B616" t="str">
        <f t="shared" si="55"/>
        <v/>
      </c>
      <c r="C616" t="e">
        <f t="shared" si="56"/>
        <v>#REF!</v>
      </c>
      <c r="D616" s="330" t="s">
        <v>628</v>
      </c>
      <c r="E616"/>
      <c r="F616"/>
      <c r="G616"/>
      <c r="I616"/>
    </row>
    <row r="617" spans="1:9" outlineLevel="1">
      <c r="A617" s="2" t="str">
        <f t="shared" si="57"/>
        <v/>
      </c>
      <c r="B617" t="str">
        <f t="shared" si="55"/>
        <v/>
      </c>
      <c r="C617" t="e">
        <f t="shared" si="56"/>
        <v>#REF!</v>
      </c>
      <c r="D617" s="330" t="s">
        <v>628</v>
      </c>
      <c r="E617"/>
      <c r="F617"/>
      <c r="G617"/>
      <c r="I617"/>
    </row>
    <row r="618" spans="1:9" outlineLevel="1">
      <c r="A618" s="2" t="str">
        <f t="shared" si="57"/>
        <v/>
      </c>
      <c r="B618" t="str">
        <f t="shared" si="55"/>
        <v/>
      </c>
      <c r="C618" t="e">
        <f t="shared" si="56"/>
        <v>#REF!</v>
      </c>
      <c r="D618" s="330" t="s">
        <v>628</v>
      </c>
      <c r="E618"/>
      <c r="F618"/>
      <c r="G618"/>
      <c r="I618"/>
    </row>
    <row r="619" spans="1:9" outlineLevel="1">
      <c r="A619" s="2" t="str">
        <f t="shared" si="57"/>
        <v/>
      </c>
      <c r="B619" t="str">
        <f t="shared" si="55"/>
        <v/>
      </c>
      <c r="C619" t="e">
        <f t="shared" si="56"/>
        <v>#REF!</v>
      </c>
      <c r="D619" s="330" t="s">
        <v>628</v>
      </c>
      <c r="E619"/>
      <c r="F619"/>
      <c r="G619"/>
      <c r="I619"/>
    </row>
    <row r="620" spans="1:9" outlineLevel="1">
      <c r="A620" s="2" t="str">
        <f t="shared" si="57"/>
        <v/>
      </c>
      <c r="B620" t="str">
        <f t="shared" si="55"/>
        <v/>
      </c>
      <c r="C620" t="e">
        <f t="shared" si="56"/>
        <v>#REF!</v>
      </c>
      <c r="D620" s="330" t="s">
        <v>628</v>
      </c>
      <c r="E620"/>
      <c r="F620"/>
      <c r="G620"/>
      <c r="I620"/>
    </row>
    <row r="621" spans="1:9" outlineLevel="1">
      <c r="A621" s="2" t="str">
        <f t="shared" si="57"/>
        <v/>
      </c>
      <c r="B621" t="str">
        <f t="shared" si="55"/>
        <v/>
      </c>
      <c r="C621" t="e">
        <f t="shared" si="56"/>
        <v>#REF!</v>
      </c>
      <c r="D621" s="330" t="s">
        <v>628</v>
      </c>
      <c r="E621"/>
      <c r="F621"/>
      <c r="G621"/>
      <c r="I621"/>
    </row>
    <row r="622" spans="1:9" outlineLevel="1">
      <c r="A622" s="2" t="str">
        <f t="shared" si="57"/>
        <v/>
      </c>
      <c r="B622" t="str">
        <f t="shared" si="55"/>
        <v/>
      </c>
      <c r="C622" t="e">
        <f t="shared" si="56"/>
        <v>#REF!</v>
      </c>
      <c r="D622" s="330" t="s">
        <v>628</v>
      </c>
      <c r="E622"/>
      <c r="F622"/>
      <c r="G622"/>
      <c r="I622"/>
    </row>
    <row r="623" spans="1:9" outlineLevel="1">
      <c r="A623" s="2" t="str">
        <f t="shared" si="57"/>
        <v/>
      </c>
      <c r="B623" t="str">
        <f t="shared" si="55"/>
        <v/>
      </c>
      <c r="C623" t="e">
        <f t="shared" si="56"/>
        <v>#REF!</v>
      </c>
      <c r="D623" s="330" t="s">
        <v>628</v>
      </c>
      <c r="E623"/>
      <c r="F623"/>
      <c r="G623"/>
      <c r="I623"/>
    </row>
    <row r="624" spans="1:9" outlineLevel="1">
      <c r="A624" s="2" t="str">
        <f t="shared" si="57"/>
        <v/>
      </c>
      <c r="B624" t="str">
        <f t="shared" si="55"/>
        <v/>
      </c>
      <c r="C624" t="e">
        <f t="shared" si="56"/>
        <v>#REF!</v>
      </c>
      <c r="D624" s="330" t="s">
        <v>628</v>
      </c>
      <c r="E624"/>
      <c r="F624"/>
      <c r="G624"/>
      <c r="I624"/>
    </row>
    <row r="625" spans="1:9" outlineLevel="1">
      <c r="A625" s="2" t="str">
        <f t="shared" si="57"/>
        <v/>
      </c>
      <c r="B625" t="str">
        <f t="shared" si="55"/>
        <v/>
      </c>
      <c r="C625" t="e">
        <f t="shared" si="56"/>
        <v>#REF!</v>
      </c>
      <c r="D625" s="330" t="s">
        <v>628</v>
      </c>
      <c r="E625"/>
      <c r="F625"/>
      <c r="G625"/>
      <c r="I625"/>
    </row>
    <row r="626" spans="1:9" outlineLevel="1">
      <c r="A626" s="2" t="str">
        <f t="shared" si="57"/>
        <v/>
      </c>
      <c r="B626" t="str">
        <f t="shared" si="55"/>
        <v/>
      </c>
      <c r="C626" t="e">
        <f t="shared" si="56"/>
        <v>#REF!</v>
      </c>
      <c r="D626" s="330" t="s">
        <v>628</v>
      </c>
      <c r="E626"/>
      <c r="F626"/>
      <c r="G626"/>
      <c r="I626"/>
    </row>
    <row r="627" spans="1:9" outlineLevel="1">
      <c r="A627" s="2" t="str">
        <f t="shared" si="57"/>
        <v/>
      </c>
      <c r="B627" t="str">
        <f t="shared" si="55"/>
        <v/>
      </c>
      <c r="C627" t="e">
        <f t="shared" si="56"/>
        <v>#REF!</v>
      </c>
      <c r="D627" s="330" t="s">
        <v>628</v>
      </c>
      <c r="E627"/>
      <c r="F627"/>
      <c r="G627"/>
      <c r="I627"/>
    </row>
    <row r="628" spans="1:9" outlineLevel="1">
      <c r="A628" s="2" t="str">
        <f t="shared" si="57"/>
        <v/>
      </c>
      <c r="B628" t="str">
        <f t="shared" si="55"/>
        <v/>
      </c>
      <c r="C628" t="e">
        <f t="shared" si="56"/>
        <v>#REF!</v>
      </c>
      <c r="D628" s="330" t="s">
        <v>628</v>
      </c>
      <c r="E628"/>
      <c r="F628"/>
      <c r="G628"/>
      <c r="I628"/>
    </row>
    <row r="629" spans="1:9" outlineLevel="1">
      <c r="A629" s="2" t="str">
        <f t="shared" ref="A629:A692" si="58">IF(B629="*",ROW(),"")</f>
        <v/>
      </c>
      <c r="B629" t="str">
        <f t="shared" si="55"/>
        <v/>
      </c>
      <c r="C629" t="e">
        <f t="shared" si="56"/>
        <v>#REF!</v>
      </c>
      <c r="D629" s="330" t="s">
        <v>628</v>
      </c>
      <c r="E629"/>
      <c r="F629"/>
      <c r="G629"/>
      <c r="I629"/>
    </row>
    <row r="630" spans="1:9" outlineLevel="1">
      <c r="A630" s="2" t="str">
        <f t="shared" si="58"/>
        <v/>
      </c>
      <c r="B630" t="str">
        <f t="shared" si="55"/>
        <v/>
      </c>
      <c r="C630" t="e">
        <f t="shared" si="56"/>
        <v>#REF!</v>
      </c>
      <c r="D630" s="330" t="s">
        <v>628</v>
      </c>
      <c r="E630"/>
      <c r="F630"/>
      <c r="G630"/>
      <c r="I630"/>
    </row>
    <row r="631" spans="1:9" outlineLevel="1">
      <c r="A631" s="2" t="str">
        <f t="shared" si="58"/>
        <v/>
      </c>
      <c r="B631" t="str">
        <f t="shared" si="55"/>
        <v/>
      </c>
      <c r="C631" t="e">
        <f t="shared" si="56"/>
        <v>#REF!</v>
      </c>
      <c r="D631" s="330" t="s">
        <v>628</v>
      </c>
      <c r="E631"/>
      <c r="F631"/>
      <c r="G631"/>
      <c r="I631"/>
    </row>
    <row r="632" spans="1:9" outlineLevel="1">
      <c r="A632" s="2" t="str">
        <f t="shared" si="58"/>
        <v/>
      </c>
      <c r="B632" t="str">
        <f t="shared" si="55"/>
        <v/>
      </c>
      <c r="C632" t="e">
        <f t="shared" si="56"/>
        <v>#REF!</v>
      </c>
      <c r="D632" s="330" t="s">
        <v>628</v>
      </c>
      <c r="E632"/>
      <c r="F632"/>
      <c r="G632"/>
      <c r="I632"/>
    </row>
    <row r="633" spans="1:9" outlineLevel="1">
      <c r="A633" s="2" t="str">
        <f t="shared" si="58"/>
        <v/>
      </c>
      <c r="B633" t="str">
        <f t="shared" si="55"/>
        <v/>
      </c>
      <c r="C633" t="e">
        <f t="shared" si="56"/>
        <v>#REF!</v>
      </c>
      <c r="D633" s="330" t="s">
        <v>628</v>
      </c>
      <c r="E633"/>
      <c r="F633"/>
      <c r="G633"/>
      <c r="I633"/>
    </row>
    <row r="634" spans="1:9" outlineLevel="1">
      <c r="A634" s="2" t="str">
        <f t="shared" si="58"/>
        <v/>
      </c>
      <c r="B634" t="str">
        <f t="shared" si="55"/>
        <v/>
      </c>
      <c r="C634" t="e">
        <f t="shared" si="56"/>
        <v>#REF!</v>
      </c>
      <c r="D634" s="330" t="s">
        <v>628</v>
      </c>
      <c r="E634"/>
      <c r="F634"/>
      <c r="G634"/>
      <c r="I634"/>
    </row>
    <row r="635" spans="1:9" outlineLevel="1">
      <c r="A635" s="2" t="str">
        <f t="shared" si="58"/>
        <v/>
      </c>
      <c r="B635" t="str">
        <f t="shared" si="55"/>
        <v/>
      </c>
      <c r="C635" t="e">
        <f t="shared" si="56"/>
        <v>#REF!</v>
      </c>
      <c r="D635" s="330" t="s">
        <v>628</v>
      </c>
      <c r="E635"/>
      <c r="F635"/>
      <c r="G635"/>
      <c r="I635"/>
    </row>
    <row r="636" spans="1:9" outlineLevel="1">
      <c r="A636" s="2" t="str">
        <f t="shared" si="58"/>
        <v/>
      </c>
      <c r="B636" t="str">
        <f t="shared" si="55"/>
        <v/>
      </c>
      <c r="C636" t="e">
        <f t="shared" si="56"/>
        <v>#REF!</v>
      </c>
      <c r="D636" s="330" t="s">
        <v>628</v>
      </c>
      <c r="E636"/>
      <c r="F636"/>
      <c r="G636"/>
      <c r="I636"/>
    </row>
    <row r="637" spans="1:9" outlineLevel="1">
      <c r="A637" s="2" t="str">
        <f t="shared" si="58"/>
        <v/>
      </c>
      <c r="B637" t="str">
        <f t="shared" si="55"/>
        <v/>
      </c>
      <c r="C637" t="e">
        <f t="shared" si="56"/>
        <v>#REF!</v>
      </c>
      <c r="D637" s="330" t="s">
        <v>628</v>
      </c>
      <c r="E637"/>
      <c r="F637"/>
      <c r="G637"/>
      <c r="I637"/>
    </row>
    <row r="638" spans="1:9" outlineLevel="1">
      <c r="A638" s="2" t="str">
        <f t="shared" si="58"/>
        <v/>
      </c>
      <c r="B638" t="str">
        <f t="shared" si="55"/>
        <v/>
      </c>
      <c r="C638" t="e">
        <f t="shared" si="56"/>
        <v>#REF!</v>
      </c>
      <c r="D638" s="330" t="s">
        <v>628</v>
      </c>
      <c r="E638"/>
      <c r="F638"/>
      <c r="G638"/>
      <c r="I638"/>
    </row>
    <row r="639" spans="1:9" outlineLevel="1">
      <c r="A639" s="2" t="str">
        <f t="shared" si="58"/>
        <v/>
      </c>
      <c r="B639" t="str">
        <f t="shared" si="55"/>
        <v/>
      </c>
      <c r="C639" t="e">
        <f t="shared" si="56"/>
        <v>#REF!</v>
      </c>
      <c r="D639" s="330" t="s">
        <v>628</v>
      </c>
      <c r="E639"/>
      <c r="F639"/>
      <c r="G639"/>
      <c r="I639"/>
    </row>
    <row r="640" spans="1:9" outlineLevel="1">
      <c r="A640" s="2" t="str">
        <f t="shared" si="58"/>
        <v/>
      </c>
      <c r="B640" t="str">
        <f t="shared" si="55"/>
        <v/>
      </c>
      <c r="C640" t="e">
        <f t="shared" si="56"/>
        <v>#REF!</v>
      </c>
      <c r="D640" s="330" t="s">
        <v>628</v>
      </c>
      <c r="E640"/>
      <c r="F640"/>
      <c r="G640"/>
      <c r="I640"/>
    </row>
    <row r="641" spans="1:9" outlineLevel="1">
      <c r="A641" s="2" t="str">
        <f t="shared" si="58"/>
        <v/>
      </c>
      <c r="B641" t="str">
        <f t="shared" si="55"/>
        <v/>
      </c>
      <c r="C641" t="e">
        <f t="shared" si="56"/>
        <v>#REF!</v>
      </c>
      <c r="D641" s="330" t="s">
        <v>628</v>
      </c>
      <c r="E641"/>
      <c r="F641"/>
      <c r="G641"/>
      <c r="I641"/>
    </row>
    <row r="642" spans="1:9" outlineLevel="1">
      <c r="A642" s="2" t="str">
        <f t="shared" si="58"/>
        <v/>
      </c>
      <c r="B642" t="str">
        <f t="shared" si="55"/>
        <v/>
      </c>
      <c r="C642" t="e">
        <f t="shared" si="56"/>
        <v>#REF!</v>
      </c>
      <c r="D642" s="330" t="s">
        <v>628</v>
      </c>
      <c r="E642"/>
      <c r="F642"/>
      <c r="G642"/>
      <c r="I642"/>
    </row>
    <row r="643" spans="1:9" outlineLevel="1">
      <c r="A643" s="2" t="str">
        <f t="shared" si="58"/>
        <v/>
      </c>
      <c r="B643" t="str">
        <f t="shared" si="55"/>
        <v/>
      </c>
      <c r="C643" t="e">
        <f t="shared" si="56"/>
        <v>#REF!</v>
      </c>
      <c r="D643" s="330" t="s">
        <v>628</v>
      </c>
      <c r="E643"/>
      <c r="F643"/>
      <c r="G643"/>
      <c r="I643"/>
    </row>
    <row r="644" spans="1:9" outlineLevel="1">
      <c r="A644" s="2" t="str">
        <f t="shared" si="58"/>
        <v/>
      </c>
      <c r="B644" t="str">
        <f t="shared" si="55"/>
        <v/>
      </c>
      <c r="C644" t="e">
        <f t="shared" si="56"/>
        <v>#REF!</v>
      </c>
      <c r="D644" s="330" t="s">
        <v>628</v>
      </c>
      <c r="E644"/>
      <c r="F644"/>
      <c r="G644"/>
      <c r="I644"/>
    </row>
    <row r="645" spans="1:9" outlineLevel="1">
      <c r="A645" s="2" t="str">
        <f t="shared" si="58"/>
        <v/>
      </c>
      <c r="B645" t="str">
        <f t="shared" si="55"/>
        <v/>
      </c>
      <c r="C645" t="e">
        <f t="shared" si="56"/>
        <v>#REF!</v>
      </c>
      <c r="D645" s="330" t="s">
        <v>628</v>
      </c>
      <c r="E645"/>
      <c r="F645"/>
      <c r="G645"/>
      <c r="I645"/>
    </row>
    <row r="646" spans="1:9" outlineLevel="1">
      <c r="A646" s="2" t="str">
        <f t="shared" si="58"/>
        <v/>
      </c>
      <c r="B646" t="str">
        <f t="shared" si="55"/>
        <v/>
      </c>
      <c r="C646" t="e">
        <f t="shared" si="56"/>
        <v>#REF!</v>
      </c>
      <c r="D646" s="330" t="s">
        <v>628</v>
      </c>
      <c r="E646"/>
      <c r="F646"/>
      <c r="G646"/>
      <c r="I646"/>
    </row>
    <row r="647" spans="1:9" outlineLevel="1">
      <c r="A647" s="2" t="str">
        <f t="shared" si="58"/>
        <v/>
      </c>
      <c r="B647" t="str">
        <f t="shared" si="55"/>
        <v/>
      </c>
      <c r="C647" t="e">
        <f t="shared" si="56"/>
        <v>#REF!</v>
      </c>
      <c r="D647" s="330" t="s">
        <v>628</v>
      </c>
      <c r="E647"/>
      <c r="F647"/>
      <c r="G647"/>
      <c r="I647"/>
    </row>
    <row r="648" spans="1:9" outlineLevel="1">
      <c r="A648" s="2" t="str">
        <f t="shared" si="58"/>
        <v/>
      </c>
      <c r="B648" t="str">
        <f t="shared" si="55"/>
        <v/>
      </c>
      <c r="C648" t="e">
        <f t="shared" si="56"/>
        <v>#REF!</v>
      </c>
      <c r="D648" s="330" t="s">
        <v>628</v>
      </c>
      <c r="E648"/>
      <c r="F648"/>
      <c r="G648"/>
      <c r="I648"/>
    </row>
    <row r="649" spans="1:9" outlineLevel="1">
      <c r="A649" s="2" t="str">
        <f t="shared" si="58"/>
        <v/>
      </c>
      <c r="B649" t="str">
        <f t="shared" si="55"/>
        <v/>
      </c>
      <c r="C649" t="e">
        <f t="shared" si="56"/>
        <v>#REF!</v>
      </c>
      <c r="D649" s="330" t="s">
        <v>628</v>
      </c>
      <c r="E649"/>
      <c r="F649"/>
      <c r="G649"/>
      <c r="I649"/>
    </row>
    <row r="650" spans="1:9" outlineLevel="1">
      <c r="A650" s="2" t="str">
        <f t="shared" si="58"/>
        <v/>
      </c>
      <c r="B650" t="str">
        <f t="shared" si="55"/>
        <v/>
      </c>
      <c r="C650" t="e">
        <f t="shared" si="56"/>
        <v>#REF!</v>
      </c>
      <c r="D650" s="330" t="s">
        <v>628</v>
      </c>
      <c r="E650"/>
      <c r="F650"/>
      <c r="G650"/>
      <c r="I650"/>
    </row>
    <row r="651" spans="1:9" outlineLevel="1">
      <c r="A651" s="2" t="str">
        <f t="shared" si="58"/>
        <v/>
      </c>
      <c r="B651" t="str">
        <f t="shared" si="55"/>
        <v/>
      </c>
      <c r="C651" t="e">
        <f t="shared" si="56"/>
        <v>#REF!</v>
      </c>
      <c r="D651" s="330" t="s">
        <v>628</v>
      </c>
      <c r="E651"/>
      <c r="F651"/>
      <c r="G651"/>
      <c r="I651"/>
    </row>
    <row r="652" spans="1:9" outlineLevel="1">
      <c r="A652" s="2" t="str">
        <f t="shared" si="58"/>
        <v/>
      </c>
      <c r="B652" t="str">
        <f t="shared" si="55"/>
        <v/>
      </c>
      <c r="C652" t="e">
        <f t="shared" si="56"/>
        <v>#REF!</v>
      </c>
      <c r="D652" s="330" t="s">
        <v>628</v>
      </c>
      <c r="E652"/>
      <c r="F652"/>
      <c r="G652"/>
      <c r="I652"/>
    </row>
    <row r="653" spans="1:9" outlineLevel="1">
      <c r="A653" s="2" t="str">
        <f t="shared" si="58"/>
        <v/>
      </c>
      <c r="B653" t="str">
        <f t="shared" si="55"/>
        <v/>
      </c>
      <c r="C653" t="e">
        <f t="shared" si="56"/>
        <v>#REF!</v>
      </c>
      <c r="D653" s="330" t="s">
        <v>628</v>
      </c>
      <c r="E653"/>
      <c r="F653"/>
      <c r="G653"/>
      <c r="I653"/>
    </row>
    <row r="654" spans="1:9" outlineLevel="1">
      <c r="A654" s="2" t="str">
        <f t="shared" si="58"/>
        <v/>
      </c>
      <c r="B654" t="str">
        <f t="shared" si="55"/>
        <v/>
      </c>
      <c r="C654" t="e">
        <f t="shared" si="56"/>
        <v>#REF!</v>
      </c>
      <c r="D654" s="330" t="s">
        <v>628</v>
      </c>
      <c r="E654"/>
      <c r="F654"/>
      <c r="G654"/>
      <c r="I654"/>
    </row>
    <row r="655" spans="1:9" outlineLevel="1">
      <c r="A655" s="2" t="str">
        <f t="shared" si="58"/>
        <v/>
      </c>
      <c r="B655" t="str">
        <f t="shared" si="55"/>
        <v/>
      </c>
      <c r="C655" t="e">
        <f t="shared" si="56"/>
        <v>#REF!</v>
      </c>
      <c r="D655" s="330" t="s">
        <v>628</v>
      </c>
      <c r="E655"/>
      <c r="F655"/>
      <c r="G655"/>
      <c r="I655"/>
    </row>
    <row r="656" spans="1:9" outlineLevel="1">
      <c r="A656" s="2" t="str">
        <f t="shared" si="58"/>
        <v/>
      </c>
      <c r="B656" t="str">
        <f t="shared" si="55"/>
        <v/>
      </c>
      <c r="C656" t="e">
        <f t="shared" si="56"/>
        <v>#REF!</v>
      </c>
      <c r="D656" s="330" t="s">
        <v>628</v>
      </c>
      <c r="E656"/>
      <c r="F656"/>
      <c r="G656"/>
      <c r="I656"/>
    </row>
    <row r="657" spans="1:9" outlineLevel="1">
      <c r="A657" s="2" t="str">
        <f t="shared" si="58"/>
        <v/>
      </c>
      <c r="B657" t="str">
        <f t="shared" ref="B657:B720" si="59">LEFT(E657,1)</f>
        <v/>
      </c>
      <c r="C657" t="e">
        <f t="shared" ref="C657:C720" si="60">IF(B657="*",RIGHT(E657,10),C656)</f>
        <v>#REF!</v>
      </c>
      <c r="D657" s="330" t="s">
        <v>628</v>
      </c>
      <c r="E657"/>
      <c r="F657"/>
      <c r="G657"/>
      <c r="I657"/>
    </row>
    <row r="658" spans="1:9" outlineLevel="1">
      <c r="A658" s="2" t="str">
        <f t="shared" si="58"/>
        <v/>
      </c>
      <c r="B658" t="str">
        <f t="shared" si="59"/>
        <v/>
      </c>
      <c r="C658" t="e">
        <f t="shared" si="60"/>
        <v>#REF!</v>
      </c>
      <c r="D658" s="330" t="s">
        <v>628</v>
      </c>
      <c r="E658"/>
      <c r="F658"/>
      <c r="G658"/>
      <c r="I658"/>
    </row>
    <row r="659" spans="1:9" outlineLevel="1">
      <c r="A659" s="2" t="str">
        <f t="shared" si="58"/>
        <v/>
      </c>
      <c r="B659" t="str">
        <f t="shared" si="59"/>
        <v/>
      </c>
      <c r="C659" t="e">
        <f>IF(B659="*",RIGHT(E659,10),C658)</f>
        <v>#REF!</v>
      </c>
      <c r="D659" s="330" t="s">
        <v>628</v>
      </c>
      <c r="E659"/>
      <c r="F659"/>
      <c r="G659"/>
      <c r="I659"/>
    </row>
    <row r="660" spans="1:9" outlineLevel="1">
      <c r="A660" s="2"/>
      <c r="B660" t="str">
        <f>LEFT(E660,1)</f>
        <v/>
      </c>
      <c r="C660" t="e">
        <f>IF(B660="*",RIGHT(E660,10),C659)</f>
        <v>#REF!</v>
      </c>
      <c r="D660" s="330" t="s">
        <v>628</v>
      </c>
      <c r="E660"/>
      <c r="F660"/>
      <c r="G660"/>
      <c r="I660"/>
    </row>
    <row r="661" spans="1:9" outlineLevel="1">
      <c r="A661" s="2" t="str">
        <f t="shared" si="58"/>
        <v/>
      </c>
      <c r="B661" t="str">
        <f>LEFT(E661,1)</f>
        <v/>
      </c>
      <c r="C661" t="e">
        <f>IF(B661="*",RIGHT(E661,10),C660)</f>
        <v>#REF!</v>
      </c>
      <c r="D661" s="330" t="s">
        <v>628</v>
      </c>
      <c r="E661"/>
      <c r="F661"/>
      <c r="G661"/>
      <c r="I661"/>
    </row>
    <row r="662" spans="1:9" outlineLevel="1">
      <c r="A662" s="2" t="str">
        <f t="shared" si="58"/>
        <v/>
      </c>
      <c r="B662" t="str">
        <f t="shared" si="59"/>
        <v/>
      </c>
      <c r="C662" t="e">
        <f t="shared" si="60"/>
        <v>#REF!</v>
      </c>
      <c r="D662" s="330" t="s">
        <v>628</v>
      </c>
      <c r="E662"/>
      <c r="F662"/>
      <c r="G662"/>
      <c r="I662"/>
    </row>
    <row r="663" spans="1:9" outlineLevel="1">
      <c r="A663" s="2" t="str">
        <f t="shared" si="58"/>
        <v/>
      </c>
      <c r="B663" t="str">
        <f t="shared" si="59"/>
        <v/>
      </c>
      <c r="C663" t="e">
        <f t="shared" si="60"/>
        <v>#REF!</v>
      </c>
      <c r="D663" s="330" t="s">
        <v>628</v>
      </c>
      <c r="E663"/>
      <c r="F663"/>
      <c r="G663"/>
      <c r="I663"/>
    </row>
    <row r="664" spans="1:9" outlineLevel="1">
      <c r="A664" s="2" t="str">
        <f t="shared" si="58"/>
        <v/>
      </c>
      <c r="B664" t="str">
        <f t="shared" si="59"/>
        <v/>
      </c>
      <c r="C664" t="e">
        <f t="shared" si="60"/>
        <v>#REF!</v>
      </c>
      <c r="D664" s="330" t="s">
        <v>628</v>
      </c>
      <c r="E664"/>
      <c r="F664"/>
      <c r="G664"/>
      <c r="I664"/>
    </row>
    <row r="665" spans="1:9" outlineLevel="1">
      <c r="A665" s="2" t="str">
        <f t="shared" si="58"/>
        <v/>
      </c>
      <c r="B665" t="str">
        <f t="shared" si="59"/>
        <v/>
      </c>
      <c r="C665" t="e">
        <f t="shared" si="60"/>
        <v>#REF!</v>
      </c>
      <c r="D665" s="330" t="s">
        <v>628</v>
      </c>
      <c r="E665"/>
      <c r="F665"/>
      <c r="G665"/>
      <c r="I665"/>
    </row>
    <row r="666" spans="1:9" outlineLevel="1">
      <c r="A666" s="2" t="str">
        <f t="shared" si="58"/>
        <v/>
      </c>
      <c r="B666" t="str">
        <f t="shared" si="59"/>
        <v/>
      </c>
      <c r="C666" t="e">
        <f t="shared" si="60"/>
        <v>#REF!</v>
      </c>
      <c r="D666" s="330" t="s">
        <v>628</v>
      </c>
      <c r="E666"/>
      <c r="F666"/>
      <c r="G666"/>
      <c r="I666"/>
    </row>
    <row r="667" spans="1:9" outlineLevel="1">
      <c r="A667" s="2" t="str">
        <f t="shared" si="58"/>
        <v/>
      </c>
      <c r="B667" t="str">
        <f t="shared" si="59"/>
        <v/>
      </c>
      <c r="C667" t="e">
        <f t="shared" si="60"/>
        <v>#REF!</v>
      </c>
      <c r="D667" s="330" t="s">
        <v>628</v>
      </c>
      <c r="E667"/>
      <c r="F667"/>
      <c r="G667"/>
      <c r="I667"/>
    </row>
    <row r="668" spans="1:9" outlineLevel="1">
      <c r="A668" s="2" t="str">
        <f t="shared" si="58"/>
        <v/>
      </c>
      <c r="B668" t="str">
        <f t="shared" si="59"/>
        <v/>
      </c>
      <c r="C668" t="e">
        <f t="shared" si="60"/>
        <v>#REF!</v>
      </c>
      <c r="D668" s="330" t="s">
        <v>628</v>
      </c>
      <c r="E668"/>
      <c r="F668"/>
      <c r="G668"/>
      <c r="I668"/>
    </row>
    <row r="669" spans="1:9" outlineLevel="1">
      <c r="A669" s="2" t="str">
        <f t="shared" si="58"/>
        <v/>
      </c>
      <c r="B669" t="str">
        <f t="shared" si="59"/>
        <v/>
      </c>
      <c r="C669" t="e">
        <f t="shared" si="60"/>
        <v>#REF!</v>
      </c>
      <c r="D669" s="330" t="s">
        <v>628</v>
      </c>
      <c r="E669"/>
      <c r="F669"/>
      <c r="G669"/>
      <c r="I669"/>
    </row>
    <row r="670" spans="1:9" outlineLevel="1">
      <c r="A670" s="2" t="str">
        <f t="shared" si="58"/>
        <v/>
      </c>
      <c r="B670" t="str">
        <f t="shared" si="59"/>
        <v/>
      </c>
      <c r="C670" t="e">
        <f>IF(B670="*",RIGHT(E670,10),#REF!)</f>
        <v>#REF!</v>
      </c>
      <c r="D670" s="330" t="s">
        <v>628</v>
      </c>
      <c r="E670"/>
      <c r="F670"/>
      <c r="G670"/>
      <c r="I670"/>
    </row>
    <row r="671" spans="1:9" outlineLevel="1">
      <c r="A671" s="2" t="str">
        <f t="shared" si="58"/>
        <v/>
      </c>
      <c r="B671" t="str">
        <f t="shared" si="59"/>
        <v/>
      </c>
      <c r="C671" t="e">
        <f t="shared" si="60"/>
        <v>#REF!</v>
      </c>
      <c r="D671" s="330" t="s">
        <v>628</v>
      </c>
      <c r="E671"/>
      <c r="F671"/>
      <c r="G671"/>
      <c r="I671"/>
    </row>
    <row r="672" spans="1:9" outlineLevel="1">
      <c r="A672" s="2" t="str">
        <f t="shared" si="58"/>
        <v/>
      </c>
      <c r="B672" t="str">
        <f t="shared" si="59"/>
        <v/>
      </c>
      <c r="C672" t="e">
        <f t="shared" si="60"/>
        <v>#REF!</v>
      </c>
      <c r="D672" s="330" t="s">
        <v>628</v>
      </c>
      <c r="E672"/>
      <c r="F672"/>
      <c r="G672"/>
      <c r="I672"/>
    </row>
    <row r="673" spans="1:9" outlineLevel="1">
      <c r="A673" s="2" t="str">
        <f t="shared" si="58"/>
        <v/>
      </c>
      <c r="B673" t="str">
        <f t="shared" si="59"/>
        <v/>
      </c>
      <c r="C673" t="e">
        <f t="shared" si="60"/>
        <v>#REF!</v>
      </c>
      <c r="D673" s="330" t="s">
        <v>628</v>
      </c>
      <c r="E673"/>
      <c r="F673"/>
      <c r="G673"/>
      <c r="I673"/>
    </row>
    <row r="674" spans="1:9" outlineLevel="1">
      <c r="A674" s="2" t="str">
        <f t="shared" si="58"/>
        <v/>
      </c>
      <c r="B674" t="str">
        <f t="shared" si="59"/>
        <v/>
      </c>
      <c r="C674" t="e">
        <f t="shared" si="60"/>
        <v>#REF!</v>
      </c>
      <c r="D674" s="330" t="s">
        <v>628</v>
      </c>
      <c r="E674"/>
      <c r="F674"/>
      <c r="G674"/>
      <c r="I674"/>
    </row>
    <row r="675" spans="1:9" outlineLevel="1">
      <c r="A675" s="2" t="str">
        <f t="shared" si="58"/>
        <v/>
      </c>
      <c r="B675" t="str">
        <f t="shared" si="59"/>
        <v/>
      </c>
      <c r="C675" t="e">
        <f t="shared" si="60"/>
        <v>#REF!</v>
      </c>
      <c r="D675" s="330" t="s">
        <v>628</v>
      </c>
      <c r="E675"/>
      <c r="F675"/>
      <c r="G675"/>
      <c r="I675"/>
    </row>
    <row r="676" spans="1:9" outlineLevel="1">
      <c r="A676" s="2" t="str">
        <f t="shared" si="58"/>
        <v/>
      </c>
      <c r="B676" t="str">
        <f t="shared" si="59"/>
        <v/>
      </c>
      <c r="C676" t="e">
        <f t="shared" si="60"/>
        <v>#REF!</v>
      </c>
      <c r="D676" s="330" t="s">
        <v>628</v>
      </c>
      <c r="E676"/>
      <c r="F676"/>
      <c r="G676"/>
      <c r="I676"/>
    </row>
    <row r="677" spans="1:9" outlineLevel="1">
      <c r="A677" s="2" t="str">
        <f t="shared" si="58"/>
        <v/>
      </c>
      <c r="B677" t="str">
        <f t="shared" si="59"/>
        <v/>
      </c>
      <c r="C677" t="e">
        <f t="shared" si="60"/>
        <v>#REF!</v>
      </c>
      <c r="D677" s="330" t="s">
        <v>628</v>
      </c>
      <c r="E677"/>
      <c r="F677"/>
      <c r="G677"/>
      <c r="I677"/>
    </row>
    <row r="678" spans="1:9" outlineLevel="1">
      <c r="A678" s="2" t="str">
        <f t="shared" si="58"/>
        <v/>
      </c>
      <c r="B678" t="str">
        <f t="shared" si="59"/>
        <v/>
      </c>
      <c r="C678" t="e">
        <f t="shared" si="60"/>
        <v>#REF!</v>
      </c>
      <c r="D678" s="330" t="s">
        <v>628</v>
      </c>
      <c r="E678"/>
      <c r="F678"/>
      <c r="G678"/>
      <c r="I678"/>
    </row>
    <row r="679" spans="1:9" outlineLevel="1">
      <c r="A679" s="2" t="str">
        <f t="shared" si="58"/>
        <v/>
      </c>
      <c r="B679" t="str">
        <f t="shared" si="59"/>
        <v/>
      </c>
      <c r="C679" t="e">
        <f t="shared" si="60"/>
        <v>#REF!</v>
      </c>
      <c r="D679" s="330" t="s">
        <v>628</v>
      </c>
      <c r="E679"/>
      <c r="F679"/>
      <c r="G679"/>
      <c r="I679"/>
    </row>
    <row r="680" spans="1:9" outlineLevel="1">
      <c r="A680" s="2" t="str">
        <f t="shared" si="58"/>
        <v/>
      </c>
      <c r="B680" t="str">
        <f t="shared" si="59"/>
        <v/>
      </c>
      <c r="C680" t="e">
        <f t="shared" si="60"/>
        <v>#REF!</v>
      </c>
      <c r="D680" s="330" t="s">
        <v>628</v>
      </c>
      <c r="E680"/>
      <c r="F680"/>
      <c r="G680"/>
      <c r="I680"/>
    </row>
    <row r="681" spans="1:9" outlineLevel="1">
      <c r="A681" s="2" t="str">
        <f t="shared" si="58"/>
        <v/>
      </c>
      <c r="B681" t="str">
        <f t="shared" si="59"/>
        <v/>
      </c>
      <c r="C681" t="e">
        <f t="shared" si="60"/>
        <v>#REF!</v>
      </c>
      <c r="D681" s="330" t="s">
        <v>628</v>
      </c>
      <c r="E681"/>
      <c r="F681"/>
      <c r="G681"/>
      <c r="I681"/>
    </row>
    <row r="682" spans="1:9" outlineLevel="1">
      <c r="A682" s="2" t="str">
        <f t="shared" si="58"/>
        <v/>
      </c>
      <c r="B682" t="str">
        <f t="shared" si="59"/>
        <v/>
      </c>
      <c r="C682" t="e">
        <f t="shared" si="60"/>
        <v>#REF!</v>
      </c>
      <c r="D682" s="330" t="s">
        <v>628</v>
      </c>
      <c r="E682"/>
      <c r="F682"/>
      <c r="G682"/>
      <c r="I682"/>
    </row>
    <row r="683" spans="1:9" outlineLevel="1">
      <c r="A683" s="2" t="str">
        <f t="shared" si="58"/>
        <v/>
      </c>
      <c r="B683" t="str">
        <f t="shared" si="59"/>
        <v/>
      </c>
      <c r="C683" t="e">
        <f t="shared" si="60"/>
        <v>#REF!</v>
      </c>
      <c r="D683" s="330" t="s">
        <v>628</v>
      </c>
      <c r="E683"/>
      <c r="F683"/>
      <c r="G683"/>
      <c r="I683"/>
    </row>
    <row r="684" spans="1:9" outlineLevel="1">
      <c r="A684" s="2" t="str">
        <f t="shared" si="58"/>
        <v/>
      </c>
      <c r="B684" t="str">
        <f t="shared" si="59"/>
        <v/>
      </c>
      <c r="C684" t="e">
        <f t="shared" si="60"/>
        <v>#REF!</v>
      </c>
      <c r="D684" s="330" t="s">
        <v>628</v>
      </c>
      <c r="E684"/>
      <c r="F684"/>
      <c r="G684"/>
      <c r="I684"/>
    </row>
    <row r="685" spans="1:9" outlineLevel="1">
      <c r="A685" s="2" t="str">
        <f t="shared" si="58"/>
        <v/>
      </c>
      <c r="B685" t="str">
        <f t="shared" si="59"/>
        <v/>
      </c>
      <c r="C685" t="e">
        <f t="shared" si="60"/>
        <v>#REF!</v>
      </c>
      <c r="D685" s="330" t="s">
        <v>628</v>
      </c>
      <c r="E685"/>
      <c r="F685"/>
      <c r="G685"/>
      <c r="I685"/>
    </row>
    <row r="686" spans="1:9" outlineLevel="1">
      <c r="A686" s="2" t="str">
        <f t="shared" si="58"/>
        <v/>
      </c>
      <c r="B686" t="str">
        <f t="shared" si="59"/>
        <v/>
      </c>
      <c r="C686" t="e">
        <f t="shared" si="60"/>
        <v>#REF!</v>
      </c>
      <c r="D686" s="330" t="s">
        <v>628</v>
      </c>
      <c r="E686"/>
      <c r="F686"/>
      <c r="G686"/>
      <c r="I686"/>
    </row>
    <row r="687" spans="1:9" outlineLevel="1">
      <c r="A687" s="2" t="str">
        <f t="shared" si="58"/>
        <v/>
      </c>
      <c r="B687" t="str">
        <f t="shared" si="59"/>
        <v/>
      </c>
      <c r="C687" t="e">
        <f t="shared" si="60"/>
        <v>#REF!</v>
      </c>
      <c r="D687" s="330" t="s">
        <v>628</v>
      </c>
      <c r="E687"/>
      <c r="F687"/>
      <c r="G687"/>
      <c r="I687"/>
    </row>
    <row r="688" spans="1:9" outlineLevel="1">
      <c r="A688" s="2" t="str">
        <f t="shared" si="58"/>
        <v/>
      </c>
      <c r="B688" t="str">
        <f t="shared" si="59"/>
        <v/>
      </c>
      <c r="C688" t="e">
        <f t="shared" si="60"/>
        <v>#REF!</v>
      </c>
      <c r="D688" s="330" t="s">
        <v>628</v>
      </c>
      <c r="E688"/>
      <c r="F688"/>
      <c r="G688"/>
      <c r="I688"/>
    </row>
    <row r="689" spans="1:9" outlineLevel="1">
      <c r="A689" s="2" t="str">
        <f t="shared" si="58"/>
        <v/>
      </c>
      <c r="B689" t="str">
        <f t="shared" si="59"/>
        <v/>
      </c>
      <c r="C689" t="e">
        <f t="shared" si="60"/>
        <v>#REF!</v>
      </c>
      <c r="D689" s="330" t="s">
        <v>628</v>
      </c>
      <c r="E689"/>
      <c r="F689"/>
      <c r="G689"/>
      <c r="I689"/>
    </row>
    <row r="690" spans="1:9" outlineLevel="1">
      <c r="A690" s="2" t="str">
        <f t="shared" si="58"/>
        <v/>
      </c>
      <c r="B690" t="str">
        <f t="shared" si="59"/>
        <v/>
      </c>
      <c r="C690" t="e">
        <f t="shared" si="60"/>
        <v>#REF!</v>
      </c>
      <c r="D690" s="330" t="s">
        <v>628</v>
      </c>
      <c r="E690"/>
      <c r="F690"/>
      <c r="G690"/>
      <c r="I690"/>
    </row>
    <row r="691" spans="1:9" outlineLevel="1">
      <c r="A691" s="2" t="str">
        <f t="shared" si="58"/>
        <v/>
      </c>
      <c r="B691" t="str">
        <f t="shared" si="59"/>
        <v/>
      </c>
      <c r="C691" t="e">
        <f t="shared" si="60"/>
        <v>#REF!</v>
      </c>
      <c r="D691" s="330" t="s">
        <v>628</v>
      </c>
      <c r="E691"/>
      <c r="F691"/>
      <c r="G691"/>
      <c r="I691"/>
    </row>
    <row r="692" spans="1:9" outlineLevel="1">
      <c r="A692" s="2" t="str">
        <f t="shared" si="58"/>
        <v/>
      </c>
      <c r="B692" t="str">
        <f t="shared" si="59"/>
        <v/>
      </c>
      <c r="C692" t="e">
        <f t="shared" si="60"/>
        <v>#REF!</v>
      </c>
      <c r="D692" s="330" t="s">
        <v>628</v>
      </c>
      <c r="E692"/>
      <c r="F692"/>
      <c r="G692"/>
      <c r="I692"/>
    </row>
    <row r="693" spans="1:9" outlineLevel="1">
      <c r="A693" s="2" t="str">
        <f t="shared" ref="A693:A756" si="61">IF(B693="*",ROW(),"")</f>
        <v/>
      </c>
      <c r="B693" t="str">
        <f t="shared" si="59"/>
        <v/>
      </c>
      <c r="C693" t="e">
        <f t="shared" si="60"/>
        <v>#REF!</v>
      </c>
      <c r="D693" s="330" t="s">
        <v>628</v>
      </c>
      <c r="E693"/>
      <c r="F693"/>
      <c r="G693"/>
      <c r="I693"/>
    </row>
    <row r="694" spans="1:9" outlineLevel="1">
      <c r="A694" s="2" t="str">
        <f t="shared" si="61"/>
        <v/>
      </c>
      <c r="B694" t="str">
        <f t="shared" si="59"/>
        <v/>
      </c>
      <c r="C694" t="e">
        <f t="shared" si="60"/>
        <v>#REF!</v>
      </c>
      <c r="D694" s="330" t="s">
        <v>628</v>
      </c>
      <c r="E694"/>
      <c r="F694"/>
      <c r="G694"/>
      <c r="I694"/>
    </row>
    <row r="695" spans="1:9" outlineLevel="1">
      <c r="A695" s="2" t="str">
        <f t="shared" si="61"/>
        <v/>
      </c>
      <c r="B695" t="str">
        <f t="shared" si="59"/>
        <v/>
      </c>
      <c r="C695" t="e">
        <f t="shared" si="60"/>
        <v>#REF!</v>
      </c>
      <c r="D695" s="330" t="s">
        <v>628</v>
      </c>
      <c r="E695"/>
      <c r="F695"/>
      <c r="G695"/>
      <c r="I695"/>
    </row>
    <row r="696" spans="1:9" outlineLevel="1">
      <c r="A696" s="2" t="str">
        <f t="shared" si="61"/>
        <v/>
      </c>
      <c r="B696" t="str">
        <f t="shared" si="59"/>
        <v/>
      </c>
      <c r="C696" t="e">
        <f t="shared" si="60"/>
        <v>#REF!</v>
      </c>
      <c r="D696" s="330" t="s">
        <v>628</v>
      </c>
      <c r="E696"/>
      <c r="F696"/>
      <c r="G696"/>
      <c r="I696"/>
    </row>
    <row r="697" spans="1:9" outlineLevel="1">
      <c r="A697" s="2" t="str">
        <f t="shared" si="61"/>
        <v/>
      </c>
      <c r="B697" t="str">
        <f t="shared" si="59"/>
        <v/>
      </c>
      <c r="C697" t="e">
        <f t="shared" si="60"/>
        <v>#REF!</v>
      </c>
      <c r="D697" s="330" t="s">
        <v>628</v>
      </c>
      <c r="E697"/>
      <c r="F697"/>
      <c r="G697"/>
      <c r="I697"/>
    </row>
    <row r="698" spans="1:9" outlineLevel="1">
      <c r="A698" s="2" t="str">
        <f t="shared" si="61"/>
        <v/>
      </c>
      <c r="B698" t="str">
        <f t="shared" si="59"/>
        <v/>
      </c>
      <c r="C698" t="e">
        <f t="shared" si="60"/>
        <v>#REF!</v>
      </c>
      <c r="D698" s="330" t="s">
        <v>628</v>
      </c>
      <c r="E698"/>
      <c r="F698"/>
      <c r="G698"/>
      <c r="I698"/>
    </row>
    <row r="699" spans="1:9" outlineLevel="1">
      <c r="A699" s="2" t="str">
        <f t="shared" si="61"/>
        <v/>
      </c>
      <c r="B699" t="str">
        <f t="shared" si="59"/>
        <v/>
      </c>
      <c r="C699" t="e">
        <f t="shared" si="60"/>
        <v>#REF!</v>
      </c>
      <c r="D699" s="330" t="s">
        <v>628</v>
      </c>
      <c r="E699"/>
      <c r="F699"/>
      <c r="G699"/>
      <c r="I699"/>
    </row>
    <row r="700" spans="1:9" outlineLevel="1">
      <c r="A700" s="2" t="str">
        <f t="shared" si="61"/>
        <v/>
      </c>
      <c r="B700" t="str">
        <f t="shared" si="59"/>
        <v/>
      </c>
      <c r="C700" t="e">
        <f t="shared" si="60"/>
        <v>#REF!</v>
      </c>
      <c r="D700" s="330" t="s">
        <v>628</v>
      </c>
      <c r="E700"/>
      <c r="F700"/>
      <c r="G700"/>
      <c r="I700"/>
    </row>
    <row r="701" spans="1:9" outlineLevel="1">
      <c r="A701" s="2" t="str">
        <f t="shared" si="61"/>
        <v/>
      </c>
      <c r="B701" t="str">
        <f t="shared" si="59"/>
        <v/>
      </c>
      <c r="C701" t="e">
        <f t="shared" si="60"/>
        <v>#REF!</v>
      </c>
      <c r="D701" s="330" t="s">
        <v>628</v>
      </c>
      <c r="E701"/>
      <c r="F701"/>
      <c r="G701"/>
      <c r="I701"/>
    </row>
    <row r="702" spans="1:9" outlineLevel="1">
      <c r="A702" s="2" t="str">
        <f t="shared" si="61"/>
        <v/>
      </c>
      <c r="B702" t="str">
        <f t="shared" si="59"/>
        <v/>
      </c>
      <c r="C702" t="e">
        <f t="shared" si="60"/>
        <v>#REF!</v>
      </c>
      <c r="D702" s="330" t="s">
        <v>628</v>
      </c>
      <c r="E702"/>
      <c r="F702"/>
      <c r="G702"/>
      <c r="I702"/>
    </row>
    <row r="703" spans="1:9" outlineLevel="1">
      <c r="A703" s="2" t="str">
        <f t="shared" si="61"/>
        <v/>
      </c>
      <c r="B703" t="str">
        <f t="shared" si="59"/>
        <v/>
      </c>
      <c r="C703" t="e">
        <f t="shared" si="60"/>
        <v>#REF!</v>
      </c>
      <c r="D703" s="330" t="s">
        <v>628</v>
      </c>
      <c r="E703"/>
      <c r="F703"/>
      <c r="G703"/>
      <c r="I703"/>
    </row>
    <row r="704" spans="1:9" outlineLevel="1">
      <c r="A704" s="2" t="str">
        <f t="shared" si="61"/>
        <v/>
      </c>
      <c r="B704" t="str">
        <f t="shared" si="59"/>
        <v/>
      </c>
      <c r="C704" t="e">
        <f t="shared" si="60"/>
        <v>#REF!</v>
      </c>
      <c r="D704" s="330" t="s">
        <v>628</v>
      </c>
      <c r="E704"/>
      <c r="F704"/>
      <c r="G704"/>
      <c r="I704"/>
    </row>
    <row r="705" spans="1:9" outlineLevel="1">
      <c r="A705" s="2" t="str">
        <f t="shared" si="61"/>
        <v/>
      </c>
      <c r="B705" t="str">
        <f t="shared" si="59"/>
        <v/>
      </c>
      <c r="C705" t="e">
        <f t="shared" si="60"/>
        <v>#REF!</v>
      </c>
      <c r="D705" s="330" t="s">
        <v>628</v>
      </c>
      <c r="E705"/>
      <c r="F705"/>
      <c r="G705"/>
      <c r="I705"/>
    </row>
    <row r="706" spans="1:9" outlineLevel="1">
      <c r="A706" s="2" t="str">
        <f t="shared" si="61"/>
        <v/>
      </c>
      <c r="B706" t="str">
        <f t="shared" si="59"/>
        <v/>
      </c>
      <c r="C706" t="e">
        <f t="shared" si="60"/>
        <v>#REF!</v>
      </c>
      <c r="D706" s="330" t="s">
        <v>628</v>
      </c>
      <c r="E706"/>
      <c r="F706"/>
      <c r="G706"/>
      <c r="I706"/>
    </row>
    <row r="707" spans="1:9" outlineLevel="1">
      <c r="A707" s="2" t="str">
        <f t="shared" si="61"/>
        <v/>
      </c>
      <c r="B707" t="str">
        <f t="shared" si="59"/>
        <v/>
      </c>
      <c r="C707" t="e">
        <f t="shared" si="60"/>
        <v>#REF!</v>
      </c>
      <c r="D707" s="330" t="s">
        <v>628</v>
      </c>
      <c r="E707"/>
      <c r="F707"/>
      <c r="G707"/>
      <c r="I707"/>
    </row>
    <row r="708" spans="1:9" outlineLevel="1">
      <c r="A708" s="2" t="str">
        <f t="shared" si="61"/>
        <v/>
      </c>
      <c r="B708" t="str">
        <f t="shared" si="59"/>
        <v/>
      </c>
      <c r="C708" t="e">
        <f t="shared" si="60"/>
        <v>#REF!</v>
      </c>
      <c r="D708" s="330" t="s">
        <v>628</v>
      </c>
      <c r="E708"/>
      <c r="F708"/>
      <c r="G708"/>
      <c r="I708"/>
    </row>
    <row r="709" spans="1:9" outlineLevel="1">
      <c r="A709" s="2" t="str">
        <f t="shared" si="61"/>
        <v/>
      </c>
      <c r="B709" t="str">
        <f t="shared" si="59"/>
        <v/>
      </c>
      <c r="C709" t="e">
        <f t="shared" si="60"/>
        <v>#REF!</v>
      </c>
      <c r="D709" s="330" t="s">
        <v>628</v>
      </c>
      <c r="E709"/>
      <c r="F709"/>
      <c r="G709"/>
      <c r="I709"/>
    </row>
    <row r="710" spans="1:9" outlineLevel="1">
      <c r="A710" s="2" t="str">
        <f t="shared" si="61"/>
        <v/>
      </c>
      <c r="B710" t="str">
        <f t="shared" si="59"/>
        <v/>
      </c>
      <c r="C710" t="e">
        <f t="shared" si="60"/>
        <v>#REF!</v>
      </c>
      <c r="D710" s="330" t="s">
        <v>628</v>
      </c>
      <c r="E710"/>
      <c r="F710"/>
      <c r="G710"/>
      <c r="I710"/>
    </row>
    <row r="711" spans="1:9" outlineLevel="1">
      <c r="A711" s="2" t="str">
        <f t="shared" si="61"/>
        <v/>
      </c>
      <c r="B711" t="str">
        <f t="shared" si="59"/>
        <v/>
      </c>
      <c r="C711" t="e">
        <f t="shared" si="60"/>
        <v>#REF!</v>
      </c>
      <c r="D711" s="330" t="s">
        <v>628</v>
      </c>
      <c r="E711"/>
      <c r="F711"/>
      <c r="G711"/>
      <c r="I711"/>
    </row>
    <row r="712" spans="1:9" outlineLevel="1">
      <c r="A712" s="2" t="str">
        <f t="shared" si="61"/>
        <v/>
      </c>
      <c r="B712" t="str">
        <f t="shared" si="59"/>
        <v/>
      </c>
      <c r="C712" t="e">
        <f t="shared" si="60"/>
        <v>#REF!</v>
      </c>
      <c r="D712" s="330" t="s">
        <v>628</v>
      </c>
      <c r="E712"/>
      <c r="F712"/>
      <c r="G712"/>
      <c r="I712"/>
    </row>
    <row r="713" spans="1:9" outlineLevel="1">
      <c r="A713" s="2" t="str">
        <f t="shared" si="61"/>
        <v/>
      </c>
      <c r="B713" t="str">
        <f t="shared" si="59"/>
        <v/>
      </c>
      <c r="C713" t="e">
        <f t="shared" si="60"/>
        <v>#REF!</v>
      </c>
      <c r="D713" s="330" t="s">
        <v>628</v>
      </c>
      <c r="E713"/>
      <c r="F713"/>
      <c r="G713"/>
      <c r="I713"/>
    </row>
    <row r="714" spans="1:9" outlineLevel="1">
      <c r="A714" s="2" t="str">
        <f t="shared" si="61"/>
        <v/>
      </c>
      <c r="B714" t="str">
        <f t="shared" si="59"/>
        <v/>
      </c>
      <c r="C714" t="e">
        <f t="shared" si="60"/>
        <v>#REF!</v>
      </c>
      <c r="D714" s="330" t="s">
        <v>628</v>
      </c>
      <c r="E714"/>
      <c r="F714"/>
      <c r="G714"/>
      <c r="I714"/>
    </row>
    <row r="715" spans="1:9" outlineLevel="1">
      <c r="A715" s="2" t="str">
        <f t="shared" si="61"/>
        <v/>
      </c>
      <c r="B715" t="str">
        <f t="shared" si="59"/>
        <v/>
      </c>
      <c r="C715" t="e">
        <f t="shared" si="60"/>
        <v>#REF!</v>
      </c>
      <c r="D715" s="330" t="s">
        <v>628</v>
      </c>
      <c r="E715"/>
      <c r="F715"/>
      <c r="G715"/>
      <c r="I715"/>
    </row>
    <row r="716" spans="1:9" outlineLevel="1">
      <c r="A716" s="2" t="str">
        <f t="shared" si="61"/>
        <v/>
      </c>
      <c r="B716" t="str">
        <f t="shared" si="59"/>
        <v/>
      </c>
      <c r="C716" t="e">
        <f t="shared" si="60"/>
        <v>#REF!</v>
      </c>
      <c r="D716" s="330" t="s">
        <v>628</v>
      </c>
      <c r="E716"/>
      <c r="F716"/>
      <c r="G716"/>
      <c r="I716"/>
    </row>
    <row r="717" spans="1:9" outlineLevel="1">
      <c r="A717" s="2" t="str">
        <f t="shared" si="61"/>
        <v/>
      </c>
      <c r="B717" t="str">
        <f t="shared" si="59"/>
        <v/>
      </c>
      <c r="C717" t="e">
        <f t="shared" si="60"/>
        <v>#REF!</v>
      </c>
      <c r="D717" s="330" t="s">
        <v>628</v>
      </c>
      <c r="E717"/>
      <c r="F717"/>
      <c r="G717"/>
      <c r="I717"/>
    </row>
    <row r="718" spans="1:9" outlineLevel="1">
      <c r="A718" s="2" t="str">
        <f t="shared" si="61"/>
        <v/>
      </c>
      <c r="B718" t="str">
        <f t="shared" si="59"/>
        <v/>
      </c>
      <c r="C718" t="e">
        <f t="shared" si="60"/>
        <v>#REF!</v>
      </c>
      <c r="D718" s="330" t="s">
        <v>628</v>
      </c>
      <c r="E718"/>
      <c r="F718"/>
      <c r="G718"/>
      <c r="I718"/>
    </row>
    <row r="719" spans="1:9" outlineLevel="1">
      <c r="A719" s="2" t="str">
        <f t="shared" si="61"/>
        <v/>
      </c>
      <c r="B719" t="str">
        <f t="shared" si="59"/>
        <v/>
      </c>
      <c r="C719" t="e">
        <f t="shared" si="60"/>
        <v>#REF!</v>
      </c>
      <c r="D719" s="330" t="s">
        <v>628</v>
      </c>
      <c r="E719"/>
      <c r="F719"/>
      <c r="G719"/>
      <c r="I719"/>
    </row>
    <row r="720" spans="1:9" outlineLevel="1">
      <c r="A720" s="2" t="str">
        <f t="shared" si="61"/>
        <v/>
      </c>
      <c r="B720" t="str">
        <f t="shared" si="59"/>
        <v/>
      </c>
      <c r="C720" t="e">
        <f t="shared" si="60"/>
        <v>#REF!</v>
      </c>
      <c r="D720" s="330" t="s">
        <v>628</v>
      </c>
      <c r="E720"/>
      <c r="F720"/>
      <c r="G720"/>
      <c r="I720"/>
    </row>
    <row r="721" spans="1:9" outlineLevel="1">
      <c r="A721" s="2" t="str">
        <f t="shared" si="61"/>
        <v/>
      </c>
      <c r="B721" t="str">
        <f t="shared" ref="B721:B745" si="62">LEFT(E721,1)</f>
        <v/>
      </c>
      <c r="C721" t="e">
        <f t="shared" ref="C721:C745" si="63">IF(B721="*",RIGHT(E721,10),C720)</f>
        <v>#REF!</v>
      </c>
      <c r="D721" s="330" t="s">
        <v>628</v>
      </c>
      <c r="E721"/>
      <c r="F721"/>
      <c r="G721"/>
      <c r="I721"/>
    </row>
    <row r="722" spans="1:9" outlineLevel="1">
      <c r="A722" s="2" t="str">
        <f t="shared" si="61"/>
        <v/>
      </c>
      <c r="B722" t="str">
        <f t="shared" si="62"/>
        <v/>
      </c>
      <c r="C722" t="e">
        <f t="shared" si="63"/>
        <v>#REF!</v>
      </c>
      <c r="D722" s="330" t="s">
        <v>628</v>
      </c>
      <c r="E722"/>
      <c r="F722"/>
      <c r="G722"/>
      <c r="I722"/>
    </row>
    <row r="723" spans="1:9" outlineLevel="1">
      <c r="A723" s="2" t="str">
        <f t="shared" si="61"/>
        <v/>
      </c>
      <c r="B723" t="str">
        <f t="shared" si="62"/>
        <v/>
      </c>
      <c r="C723" t="e">
        <f t="shared" si="63"/>
        <v>#REF!</v>
      </c>
      <c r="D723" s="330" t="s">
        <v>628</v>
      </c>
      <c r="E723"/>
      <c r="F723"/>
      <c r="G723"/>
      <c r="I723"/>
    </row>
    <row r="724" spans="1:9" outlineLevel="1">
      <c r="A724" s="2" t="str">
        <f t="shared" si="61"/>
        <v/>
      </c>
      <c r="B724" t="str">
        <f t="shared" si="62"/>
        <v/>
      </c>
      <c r="C724" t="e">
        <f t="shared" si="63"/>
        <v>#REF!</v>
      </c>
      <c r="D724" s="330" t="s">
        <v>628</v>
      </c>
      <c r="E724"/>
      <c r="F724"/>
      <c r="G724"/>
      <c r="I724"/>
    </row>
    <row r="725" spans="1:9" outlineLevel="1">
      <c r="A725" s="2" t="str">
        <f t="shared" si="61"/>
        <v/>
      </c>
      <c r="B725" t="str">
        <f t="shared" si="62"/>
        <v/>
      </c>
      <c r="C725" t="e">
        <f t="shared" si="63"/>
        <v>#REF!</v>
      </c>
      <c r="D725" s="330" t="s">
        <v>628</v>
      </c>
      <c r="E725"/>
      <c r="F725"/>
      <c r="G725"/>
      <c r="I725"/>
    </row>
    <row r="726" spans="1:9" outlineLevel="1">
      <c r="A726" s="2" t="str">
        <f t="shared" si="61"/>
        <v/>
      </c>
      <c r="B726" t="str">
        <f t="shared" si="62"/>
        <v/>
      </c>
      <c r="C726" t="e">
        <f t="shared" si="63"/>
        <v>#REF!</v>
      </c>
      <c r="D726" s="330" t="s">
        <v>628</v>
      </c>
      <c r="E726"/>
      <c r="F726"/>
      <c r="G726"/>
      <c r="I726"/>
    </row>
    <row r="727" spans="1:9" outlineLevel="1">
      <c r="A727" s="2" t="str">
        <f t="shared" si="61"/>
        <v/>
      </c>
      <c r="B727" t="str">
        <f t="shared" si="62"/>
        <v/>
      </c>
      <c r="C727" t="e">
        <f t="shared" si="63"/>
        <v>#REF!</v>
      </c>
      <c r="D727" s="330" t="s">
        <v>628</v>
      </c>
      <c r="E727"/>
      <c r="F727"/>
      <c r="G727"/>
      <c r="I727"/>
    </row>
    <row r="728" spans="1:9" outlineLevel="1">
      <c r="A728" s="2" t="str">
        <f t="shared" si="61"/>
        <v/>
      </c>
      <c r="B728" t="str">
        <f t="shared" si="62"/>
        <v/>
      </c>
      <c r="C728" t="e">
        <f t="shared" si="63"/>
        <v>#REF!</v>
      </c>
      <c r="D728" s="330" t="s">
        <v>628</v>
      </c>
      <c r="E728"/>
      <c r="F728"/>
      <c r="G728"/>
      <c r="I728"/>
    </row>
    <row r="729" spans="1:9" outlineLevel="1">
      <c r="A729" s="2" t="str">
        <f t="shared" si="61"/>
        <v/>
      </c>
      <c r="B729" t="str">
        <f t="shared" si="62"/>
        <v/>
      </c>
      <c r="C729" t="e">
        <f t="shared" si="63"/>
        <v>#REF!</v>
      </c>
      <c r="D729" s="330" t="s">
        <v>628</v>
      </c>
      <c r="E729"/>
      <c r="F729"/>
      <c r="G729"/>
      <c r="I729"/>
    </row>
    <row r="730" spans="1:9" outlineLevel="1">
      <c r="A730" s="2" t="str">
        <f t="shared" si="61"/>
        <v/>
      </c>
      <c r="B730" t="str">
        <f t="shared" si="62"/>
        <v/>
      </c>
      <c r="C730" t="e">
        <f t="shared" si="63"/>
        <v>#REF!</v>
      </c>
      <c r="D730" s="330" t="s">
        <v>628</v>
      </c>
      <c r="E730"/>
      <c r="F730"/>
      <c r="G730"/>
      <c r="I730"/>
    </row>
    <row r="731" spans="1:9" outlineLevel="1">
      <c r="A731" s="2" t="str">
        <f t="shared" si="61"/>
        <v/>
      </c>
      <c r="B731" t="str">
        <f t="shared" si="62"/>
        <v/>
      </c>
      <c r="C731" t="e">
        <f t="shared" si="63"/>
        <v>#REF!</v>
      </c>
      <c r="D731" s="330" t="s">
        <v>628</v>
      </c>
      <c r="E731"/>
      <c r="F731"/>
      <c r="G731"/>
      <c r="I731"/>
    </row>
    <row r="732" spans="1:9" outlineLevel="1">
      <c r="A732" s="2" t="str">
        <f t="shared" si="61"/>
        <v/>
      </c>
      <c r="B732" t="str">
        <f t="shared" si="62"/>
        <v/>
      </c>
      <c r="C732" t="e">
        <f t="shared" si="63"/>
        <v>#REF!</v>
      </c>
      <c r="D732" s="330" t="s">
        <v>628</v>
      </c>
      <c r="E732"/>
      <c r="F732"/>
      <c r="G732"/>
      <c r="I732"/>
    </row>
    <row r="733" spans="1:9" outlineLevel="1">
      <c r="A733" s="2" t="str">
        <f t="shared" si="61"/>
        <v/>
      </c>
      <c r="B733" t="str">
        <f t="shared" si="62"/>
        <v/>
      </c>
      <c r="C733" t="e">
        <f t="shared" si="63"/>
        <v>#REF!</v>
      </c>
      <c r="D733" s="330" t="s">
        <v>628</v>
      </c>
      <c r="E733"/>
      <c r="F733"/>
      <c r="G733"/>
      <c r="I733"/>
    </row>
    <row r="734" spans="1:9">
      <c r="A734" s="2" t="str">
        <f t="shared" si="61"/>
        <v/>
      </c>
      <c r="B734" t="str">
        <f t="shared" si="62"/>
        <v/>
      </c>
      <c r="C734" t="e">
        <f t="shared" si="63"/>
        <v>#REF!</v>
      </c>
      <c r="D734" s="330" t="s">
        <v>628</v>
      </c>
      <c r="E734"/>
      <c r="F734"/>
      <c r="G734"/>
      <c r="I734"/>
    </row>
    <row r="735" spans="1:9" outlineLevel="1">
      <c r="A735" s="2" t="str">
        <f t="shared" si="61"/>
        <v/>
      </c>
      <c r="B735" t="str">
        <f t="shared" si="62"/>
        <v/>
      </c>
      <c r="C735" t="e">
        <f t="shared" si="63"/>
        <v>#REF!</v>
      </c>
      <c r="D735" s="330" t="s">
        <v>628</v>
      </c>
      <c r="E735"/>
      <c r="F735"/>
      <c r="G735"/>
      <c r="I735"/>
    </row>
    <row r="736" spans="1:9" outlineLevel="1">
      <c r="A736" s="2" t="str">
        <f t="shared" si="61"/>
        <v/>
      </c>
      <c r="B736" t="str">
        <f t="shared" si="62"/>
        <v/>
      </c>
      <c r="C736" t="e">
        <f t="shared" si="63"/>
        <v>#REF!</v>
      </c>
      <c r="D736" s="330" t="s">
        <v>628</v>
      </c>
      <c r="E736"/>
      <c r="F736"/>
      <c r="G736"/>
      <c r="I736"/>
    </row>
    <row r="737" spans="1:9" outlineLevel="1">
      <c r="A737" s="2" t="str">
        <f t="shared" si="61"/>
        <v/>
      </c>
      <c r="B737" t="str">
        <f t="shared" si="62"/>
        <v/>
      </c>
      <c r="C737" t="e">
        <f t="shared" si="63"/>
        <v>#REF!</v>
      </c>
      <c r="D737" s="330" t="s">
        <v>628</v>
      </c>
      <c r="E737"/>
      <c r="F737"/>
      <c r="G737"/>
      <c r="I737"/>
    </row>
    <row r="738" spans="1:9" outlineLevel="1">
      <c r="A738" s="2" t="str">
        <f t="shared" si="61"/>
        <v/>
      </c>
      <c r="B738" t="str">
        <f t="shared" si="62"/>
        <v/>
      </c>
      <c r="C738" t="e">
        <f t="shared" si="63"/>
        <v>#REF!</v>
      </c>
      <c r="D738" s="330" t="s">
        <v>628</v>
      </c>
      <c r="E738"/>
      <c r="F738"/>
      <c r="G738"/>
      <c r="I738"/>
    </row>
    <row r="739" spans="1:9" outlineLevel="1">
      <c r="A739" s="2" t="str">
        <f t="shared" si="61"/>
        <v/>
      </c>
      <c r="B739" t="str">
        <f t="shared" si="62"/>
        <v/>
      </c>
      <c r="C739" t="e">
        <f t="shared" si="63"/>
        <v>#REF!</v>
      </c>
      <c r="D739" s="330" t="s">
        <v>628</v>
      </c>
      <c r="E739"/>
      <c r="F739"/>
      <c r="G739"/>
      <c r="I739"/>
    </row>
    <row r="740" spans="1:9" outlineLevel="1">
      <c r="A740" s="2" t="str">
        <f t="shared" si="61"/>
        <v/>
      </c>
      <c r="B740" t="str">
        <f t="shared" si="62"/>
        <v/>
      </c>
      <c r="C740" t="e">
        <f t="shared" si="63"/>
        <v>#REF!</v>
      </c>
      <c r="D740" s="330" t="s">
        <v>628</v>
      </c>
      <c r="E740"/>
      <c r="F740"/>
      <c r="G740"/>
      <c r="I740"/>
    </row>
    <row r="741" spans="1:9" outlineLevel="1">
      <c r="A741" s="2" t="str">
        <f t="shared" si="61"/>
        <v/>
      </c>
      <c r="B741" t="str">
        <f t="shared" si="62"/>
        <v/>
      </c>
      <c r="C741" t="e">
        <f t="shared" si="63"/>
        <v>#REF!</v>
      </c>
      <c r="D741" s="330" t="s">
        <v>628</v>
      </c>
      <c r="E741"/>
      <c r="F741"/>
      <c r="G741"/>
      <c r="I741"/>
    </row>
    <row r="742" spans="1:9" outlineLevel="1">
      <c r="A742" s="2" t="str">
        <f t="shared" si="61"/>
        <v/>
      </c>
      <c r="B742" t="str">
        <f t="shared" si="62"/>
        <v/>
      </c>
      <c r="C742" t="e">
        <f t="shared" si="63"/>
        <v>#REF!</v>
      </c>
      <c r="D742" s="330" t="s">
        <v>628</v>
      </c>
      <c r="E742"/>
      <c r="F742"/>
      <c r="G742"/>
      <c r="I742"/>
    </row>
    <row r="743" spans="1:9" outlineLevel="1">
      <c r="A743" s="2" t="str">
        <f t="shared" si="61"/>
        <v/>
      </c>
      <c r="B743" t="str">
        <f t="shared" si="62"/>
        <v/>
      </c>
      <c r="C743" t="e">
        <f t="shared" si="63"/>
        <v>#REF!</v>
      </c>
      <c r="D743" s="330" t="s">
        <v>628</v>
      </c>
      <c r="E743"/>
      <c r="F743"/>
      <c r="G743"/>
      <c r="I743"/>
    </row>
    <row r="744" spans="1:9" outlineLevel="1">
      <c r="A744" s="2" t="str">
        <f t="shared" si="61"/>
        <v/>
      </c>
      <c r="B744" t="str">
        <f t="shared" si="62"/>
        <v/>
      </c>
      <c r="C744" t="e">
        <f t="shared" si="63"/>
        <v>#REF!</v>
      </c>
      <c r="D744" s="330" t="s">
        <v>628</v>
      </c>
      <c r="E744"/>
      <c r="F744"/>
      <c r="G744"/>
      <c r="I744"/>
    </row>
    <row r="745" spans="1:9" outlineLevel="1">
      <c r="A745" s="2" t="str">
        <f t="shared" si="61"/>
        <v/>
      </c>
      <c r="B745" t="str">
        <f t="shared" si="62"/>
        <v/>
      </c>
      <c r="C745" t="e">
        <f t="shared" si="63"/>
        <v>#REF!</v>
      </c>
      <c r="D745" s="330" t="s">
        <v>628</v>
      </c>
      <c r="E745"/>
      <c r="F745"/>
      <c r="G745"/>
      <c r="I745"/>
    </row>
    <row r="746" spans="1:9" outlineLevel="1">
      <c r="A746" s="2" t="str">
        <f t="shared" si="61"/>
        <v/>
      </c>
      <c r="B746" t="str">
        <f t="shared" ref="B746:B770" si="64">LEFT(E746,1)</f>
        <v/>
      </c>
      <c r="C746" t="e">
        <f t="shared" ref="C746:C770" si="65">IF(B746="*",RIGHT(E746,10),C745)</f>
        <v>#REF!</v>
      </c>
      <c r="D746" s="330" t="s">
        <v>628</v>
      </c>
      <c r="E746"/>
      <c r="F746"/>
      <c r="G746"/>
      <c r="I746"/>
    </row>
    <row r="747" spans="1:9" outlineLevel="1">
      <c r="A747" s="2" t="str">
        <f t="shared" si="61"/>
        <v/>
      </c>
      <c r="B747" t="str">
        <f t="shared" si="64"/>
        <v/>
      </c>
      <c r="C747" t="e">
        <f t="shared" si="65"/>
        <v>#REF!</v>
      </c>
      <c r="D747" s="330" t="s">
        <v>628</v>
      </c>
      <c r="E747"/>
      <c r="F747"/>
      <c r="G747"/>
      <c r="I747"/>
    </row>
    <row r="748" spans="1:9" outlineLevel="1">
      <c r="A748" s="2" t="str">
        <f t="shared" si="61"/>
        <v/>
      </c>
      <c r="B748" t="str">
        <f t="shared" si="64"/>
        <v/>
      </c>
      <c r="C748" t="e">
        <f t="shared" si="65"/>
        <v>#REF!</v>
      </c>
      <c r="D748" s="330" t="s">
        <v>628</v>
      </c>
      <c r="E748"/>
      <c r="F748"/>
      <c r="G748"/>
      <c r="I748"/>
    </row>
    <row r="749" spans="1:9" outlineLevel="1">
      <c r="A749" s="2" t="str">
        <f t="shared" si="61"/>
        <v/>
      </c>
      <c r="B749" t="str">
        <f t="shared" si="64"/>
        <v/>
      </c>
      <c r="C749" t="e">
        <f t="shared" si="65"/>
        <v>#REF!</v>
      </c>
      <c r="D749" s="330" t="s">
        <v>628</v>
      </c>
      <c r="E749"/>
      <c r="F749"/>
      <c r="G749"/>
      <c r="I749"/>
    </row>
    <row r="750" spans="1:9" outlineLevel="1">
      <c r="A750" s="2" t="str">
        <f t="shared" si="61"/>
        <v/>
      </c>
      <c r="B750" t="str">
        <f t="shared" si="64"/>
        <v/>
      </c>
      <c r="C750" t="e">
        <f t="shared" si="65"/>
        <v>#REF!</v>
      </c>
      <c r="D750" s="330" t="s">
        <v>628</v>
      </c>
      <c r="E750"/>
      <c r="F750"/>
      <c r="G750"/>
      <c r="I750"/>
    </row>
    <row r="751" spans="1:9" outlineLevel="1">
      <c r="A751" s="2" t="str">
        <f t="shared" si="61"/>
        <v/>
      </c>
      <c r="B751" t="str">
        <f t="shared" si="64"/>
        <v/>
      </c>
      <c r="C751" t="e">
        <f t="shared" si="65"/>
        <v>#REF!</v>
      </c>
      <c r="D751" s="330" t="s">
        <v>628</v>
      </c>
      <c r="E751"/>
      <c r="F751"/>
      <c r="G751"/>
      <c r="I751"/>
    </row>
    <row r="752" spans="1:9" outlineLevel="1">
      <c r="A752" s="2" t="str">
        <f t="shared" si="61"/>
        <v/>
      </c>
      <c r="B752" t="str">
        <f t="shared" si="64"/>
        <v/>
      </c>
      <c r="C752" t="e">
        <f t="shared" si="65"/>
        <v>#REF!</v>
      </c>
      <c r="D752" s="330" t="s">
        <v>628</v>
      </c>
      <c r="E752"/>
      <c r="F752"/>
      <c r="G752"/>
      <c r="I752"/>
    </row>
    <row r="753" spans="1:9" outlineLevel="1">
      <c r="A753" s="2" t="str">
        <f t="shared" si="61"/>
        <v/>
      </c>
      <c r="B753" t="str">
        <f t="shared" si="64"/>
        <v/>
      </c>
      <c r="C753" t="e">
        <f t="shared" si="65"/>
        <v>#REF!</v>
      </c>
      <c r="D753" s="330" t="s">
        <v>628</v>
      </c>
      <c r="E753"/>
      <c r="F753"/>
      <c r="G753"/>
      <c r="I753"/>
    </row>
    <row r="754" spans="1:9" outlineLevel="1">
      <c r="A754" s="2" t="str">
        <f t="shared" si="61"/>
        <v/>
      </c>
      <c r="B754" t="str">
        <f t="shared" si="64"/>
        <v/>
      </c>
      <c r="C754" t="e">
        <f t="shared" si="65"/>
        <v>#REF!</v>
      </c>
      <c r="D754" s="330" t="s">
        <v>628</v>
      </c>
      <c r="E754"/>
      <c r="F754"/>
      <c r="G754"/>
      <c r="I754"/>
    </row>
    <row r="755" spans="1:9" outlineLevel="1">
      <c r="A755" s="2" t="str">
        <f t="shared" si="61"/>
        <v/>
      </c>
      <c r="B755" t="str">
        <f t="shared" si="64"/>
        <v/>
      </c>
      <c r="C755" t="e">
        <f t="shared" si="65"/>
        <v>#REF!</v>
      </c>
      <c r="D755" s="330" t="s">
        <v>628</v>
      </c>
      <c r="E755"/>
      <c r="F755"/>
      <c r="G755"/>
      <c r="I755"/>
    </row>
    <row r="756" spans="1:9" outlineLevel="1">
      <c r="A756" s="2" t="str">
        <f t="shared" si="61"/>
        <v/>
      </c>
      <c r="B756" t="str">
        <f t="shared" si="64"/>
        <v/>
      </c>
      <c r="C756" t="e">
        <f t="shared" si="65"/>
        <v>#REF!</v>
      </c>
      <c r="D756" s="330" t="s">
        <v>628</v>
      </c>
      <c r="E756"/>
      <c r="F756"/>
      <c r="G756"/>
      <c r="I756"/>
    </row>
    <row r="757" spans="1:9" outlineLevel="1">
      <c r="A757" s="2" t="str">
        <f t="shared" ref="A757:A819" si="66">IF(B757="*",ROW(),"")</f>
        <v/>
      </c>
      <c r="B757" t="str">
        <f t="shared" si="64"/>
        <v/>
      </c>
      <c r="C757" t="e">
        <f t="shared" si="65"/>
        <v>#REF!</v>
      </c>
      <c r="D757" s="330" t="s">
        <v>628</v>
      </c>
      <c r="E757"/>
      <c r="F757"/>
      <c r="G757"/>
      <c r="I757"/>
    </row>
    <row r="758" spans="1:9" outlineLevel="1">
      <c r="A758" s="2" t="str">
        <f t="shared" si="66"/>
        <v/>
      </c>
      <c r="B758" t="str">
        <f t="shared" si="64"/>
        <v/>
      </c>
      <c r="C758" t="e">
        <f t="shared" si="65"/>
        <v>#REF!</v>
      </c>
      <c r="D758" s="330" t="s">
        <v>628</v>
      </c>
      <c r="E758"/>
      <c r="F758"/>
      <c r="G758"/>
      <c r="I758"/>
    </row>
    <row r="759" spans="1:9" outlineLevel="1">
      <c r="A759" s="2" t="str">
        <f t="shared" si="66"/>
        <v/>
      </c>
      <c r="B759" t="str">
        <f t="shared" si="64"/>
        <v/>
      </c>
      <c r="C759" t="e">
        <f t="shared" si="65"/>
        <v>#REF!</v>
      </c>
      <c r="D759" s="330" t="s">
        <v>628</v>
      </c>
      <c r="E759"/>
      <c r="F759"/>
      <c r="G759"/>
      <c r="I759"/>
    </row>
    <row r="760" spans="1:9" outlineLevel="1">
      <c r="A760" s="2" t="str">
        <f t="shared" si="66"/>
        <v/>
      </c>
      <c r="B760" t="str">
        <f t="shared" si="64"/>
        <v/>
      </c>
      <c r="C760" t="e">
        <f t="shared" si="65"/>
        <v>#REF!</v>
      </c>
      <c r="D760" s="330" t="s">
        <v>628</v>
      </c>
      <c r="E760"/>
      <c r="F760"/>
      <c r="G760"/>
      <c r="I760"/>
    </row>
    <row r="761" spans="1:9" outlineLevel="1">
      <c r="A761" s="2" t="str">
        <f t="shared" si="66"/>
        <v/>
      </c>
      <c r="B761" t="str">
        <f t="shared" si="64"/>
        <v/>
      </c>
      <c r="C761" t="e">
        <f t="shared" si="65"/>
        <v>#REF!</v>
      </c>
      <c r="D761" s="330" t="s">
        <v>628</v>
      </c>
      <c r="E761"/>
      <c r="F761"/>
      <c r="G761"/>
      <c r="I761"/>
    </row>
    <row r="762" spans="1:9" outlineLevel="1">
      <c r="A762" s="2" t="str">
        <f t="shared" si="66"/>
        <v/>
      </c>
      <c r="B762" t="str">
        <f t="shared" si="64"/>
        <v/>
      </c>
      <c r="C762" t="e">
        <f t="shared" si="65"/>
        <v>#REF!</v>
      </c>
      <c r="D762" s="330" t="s">
        <v>628</v>
      </c>
      <c r="E762"/>
      <c r="F762"/>
      <c r="G762"/>
      <c r="I762"/>
    </row>
    <row r="763" spans="1:9" outlineLevel="1">
      <c r="A763" s="2" t="str">
        <f t="shared" si="66"/>
        <v/>
      </c>
      <c r="B763" t="str">
        <f t="shared" si="64"/>
        <v/>
      </c>
      <c r="C763" t="e">
        <f t="shared" si="65"/>
        <v>#REF!</v>
      </c>
      <c r="D763" s="330" t="s">
        <v>628</v>
      </c>
      <c r="E763"/>
      <c r="F763"/>
      <c r="G763"/>
      <c r="I763"/>
    </row>
    <row r="764" spans="1:9" outlineLevel="1">
      <c r="A764" s="2" t="str">
        <f t="shared" si="66"/>
        <v/>
      </c>
      <c r="B764" t="str">
        <f t="shared" si="64"/>
        <v/>
      </c>
      <c r="C764" t="e">
        <f t="shared" si="65"/>
        <v>#REF!</v>
      </c>
      <c r="D764" s="330" t="s">
        <v>628</v>
      </c>
      <c r="E764"/>
      <c r="F764"/>
      <c r="G764"/>
      <c r="I764"/>
    </row>
    <row r="765" spans="1:9" outlineLevel="1">
      <c r="A765" s="2" t="str">
        <f t="shared" si="66"/>
        <v/>
      </c>
      <c r="B765" t="str">
        <f t="shared" si="64"/>
        <v/>
      </c>
      <c r="C765" t="e">
        <f t="shared" si="65"/>
        <v>#REF!</v>
      </c>
      <c r="D765" s="330" t="s">
        <v>628</v>
      </c>
      <c r="E765"/>
      <c r="F765"/>
      <c r="G765"/>
      <c r="I765"/>
    </row>
    <row r="766" spans="1:9" outlineLevel="1">
      <c r="A766" s="2" t="str">
        <f t="shared" si="66"/>
        <v/>
      </c>
      <c r="B766" t="str">
        <f t="shared" si="64"/>
        <v/>
      </c>
      <c r="C766" t="e">
        <f t="shared" si="65"/>
        <v>#REF!</v>
      </c>
      <c r="D766" s="330" t="s">
        <v>628</v>
      </c>
      <c r="E766"/>
      <c r="F766"/>
      <c r="G766"/>
      <c r="I766"/>
    </row>
    <row r="767" spans="1:9" outlineLevel="1">
      <c r="A767" s="2" t="str">
        <f t="shared" si="66"/>
        <v/>
      </c>
      <c r="B767" t="str">
        <f t="shared" si="64"/>
        <v/>
      </c>
      <c r="C767" t="e">
        <f t="shared" si="65"/>
        <v>#REF!</v>
      </c>
      <c r="D767" s="330" t="s">
        <v>628</v>
      </c>
      <c r="E767"/>
      <c r="F767"/>
      <c r="G767"/>
      <c r="I767"/>
    </row>
    <row r="768" spans="1:9" outlineLevel="1">
      <c r="A768" s="2" t="str">
        <f t="shared" si="66"/>
        <v/>
      </c>
      <c r="B768" t="str">
        <f t="shared" si="64"/>
        <v/>
      </c>
      <c r="C768" t="e">
        <f t="shared" si="65"/>
        <v>#REF!</v>
      </c>
      <c r="D768" s="330" t="s">
        <v>628</v>
      </c>
      <c r="E768"/>
      <c r="F768"/>
      <c r="G768"/>
      <c r="I768"/>
    </row>
    <row r="769" spans="1:9" outlineLevel="1">
      <c r="A769" s="2" t="str">
        <f t="shared" si="66"/>
        <v/>
      </c>
      <c r="B769" t="str">
        <f t="shared" si="64"/>
        <v/>
      </c>
      <c r="C769" t="e">
        <f t="shared" si="65"/>
        <v>#REF!</v>
      </c>
      <c r="D769" s="330" t="s">
        <v>628</v>
      </c>
      <c r="E769"/>
      <c r="F769"/>
      <c r="G769"/>
      <c r="I769"/>
    </row>
    <row r="770" spans="1:9" outlineLevel="1">
      <c r="A770" s="2" t="str">
        <f t="shared" si="66"/>
        <v/>
      </c>
      <c r="B770" s="2" t="str">
        <f t="shared" si="64"/>
        <v/>
      </c>
      <c r="C770" s="2" t="e">
        <f t="shared" si="65"/>
        <v>#REF!</v>
      </c>
      <c r="D770" s="330" t="s">
        <v>628</v>
      </c>
      <c r="E770"/>
      <c r="F770"/>
      <c r="G770"/>
      <c r="I770"/>
    </row>
    <row r="771" spans="1:9" outlineLevel="1">
      <c r="A771" s="2" t="str">
        <f t="shared" si="66"/>
        <v/>
      </c>
      <c r="B771" s="2" t="str">
        <f t="shared" ref="B771:B832" si="67">LEFT(E771,1)</f>
        <v/>
      </c>
      <c r="C771" s="2" t="e">
        <f t="shared" ref="C771:C832" si="68">IF(B771="*",RIGHT(E771,10),C770)</f>
        <v>#REF!</v>
      </c>
      <c r="D771" s="330" t="s">
        <v>628</v>
      </c>
      <c r="E771"/>
      <c r="F771"/>
      <c r="G771"/>
      <c r="I771"/>
    </row>
    <row r="772" spans="1:9" outlineLevel="1">
      <c r="A772" s="2" t="str">
        <f t="shared" si="66"/>
        <v/>
      </c>
      <c r="B772" s="2" t="str">
        <f t="shared" si="67"/>
        <v/>
      </c>
      <c r="C772" s="2" t="e">
        <f t="shared" si="68"/>
        <v>#REF!</v>
      </c>
      <c r="D772" s="330" t="s">
        <v>628</v>
      </c>
      <c r="E772"/>
      <c r="F772"/>
      <c r="G772"/>
      <c r="I772"/>
    </row>
    <row r="773" spans="1:9" outlineLevel="1">
      <c r="A773" s="2" t="str">
        <f t="shared" si="66"/>
        <v/>
      </c>
      <c r="B773" s="2" t="str">
        <f t="shared" si="67"/>
        <v/>
      </c>
      <c r="C773" s="2" t="e">
        <f t="shared" si="68"/>
        <v>#REF!</v>
      </c>
      <c r="D773" s="330" t="s">
        <v>628</v>
      </c>
      <c r="E773"/>
      <c r="F773"/>
      <c r="G773"/>
      <c r="I773"/>
    </row>
    <row r="774" spans="1:9" outlineLevel="1">
      <c r="A774" s="2" t="str">
        <f t="shared" si="66"/>
        <v/>
      </c>
      <c r="B774" s="2" t="str">
        <f t="shared" si="67"/>
        <v/>
      </c>
      <c r="C774" s="2" t="e">
        <f t="shared" si="68"/>
        <v>#REF!</v>
      </c>
      <c r="D774" s="330" t="s">
        <v>628</v>
      </c>
      <c r="E774"/>
      <c r="F774"/>
      <c r="G774"/>
      <c r="I774"/>
    </row>
    <row r="775" spans="1:9" outlineLevel="1">
      <c r="A775" s="2" t="str">
        <f t="shared" si="66"/>
        <v/>
      </c>
      <c r="B775" s="2" t="str">
        <f t="shared" si="67"/>
        <v/>
      </c>
      <c r="C775" s="2" t="e">
        <f t="shared" si="68"/>
        <v>#REF!</v>
      </c>
      <c r="D775" s="330" t="s">
        <v>628</v>
      </c>
      <c r="E775"/>
      <c r="F775"/>
      <c r="G775"/>
      <c r="I775"/>
    </row>
    <row r="776" spans="1:9" outlineLevel="1">
      <c r="A776" s="2" t="str">
        <f t="shared" si="66"/>
        <v/>
      </c>
      <c r="B776" s="2" t="str">
        <f t="shared" si="67"/>
        <v/>
      </c>
      <c r="C776" s="2" t="e">
        <f t="shared" si="68"/>
        <v>#REF!</v>
      </c>
      <c r="D776" s="330" t="s">
        <v>628</v>
      </c>
      <c r="E776"/>
      <c r="F776"/>
      <c r="G776"/>
      <c r="I776"/>
    </row>
    <row r="777" spans="1:9" outlineLevel="1">
      <c r="A777" s="2" t="str">
        <f t="shared" si="66"/>
        <v/>
      </c>
      <c r="B777" s="2" t="str">
        <f t="shared" si="67"/>
        <v/>
      </c>
      <c r="C777" s="2" t="e">
        <f t="shared" si="68"/>
        <v>#REF!</v>
      </c>
      <c r="D777" s="330" t="s">
        <v>628</v>
      </c>
      <c r="E777"/>
      <c r="F777"/>
      <c r="G777"/>
      <c r="I777"/>
    </row>
    <row r="778" spans="1:9" outlineLevel="1">
      <c r="A778" s="2" t="str">
        <f t="shared" si="66"/>
        <v/>
      </c>
      <c r="B778" s="2" t="str">
        <f t="shared" si="67"/>
        <v/>
      </c>
      <c r="C778" s="2" t="e">
        <f t="shared" si="68"/>
        <v>#REF!</v>
      </c>
      <c r="D778" s="330" t="s">
        <v>628</v>
      </c>
      <c r="E778"/>
      <c r="F778"/>
      <c r="G778"/>
      <c r="I778"/>
    </row>
    <row r="779" spans="1:9" outlineLevel="1">
      <c r="A779" s="2" t="str">
        <f t="shared" si="66"/>
        <v/>
      </c>
      <c r="B779" s="2" t="str">
        <f t="shared" si="67"/>
        <v/>
      </c>
      <c r="C779" s="2" t="e">
        <f t="shared" si="68"/>
        <v>#REF!</v>
      </c>
      <c r="D779" s="330" t="s">
        <v>628</v>
      </c>
      <c r="E779"/>
      <c r="F779"/>
      <c r="G779"/>
      <c r="I779"/>
    </row>
    <row r="780" spans="1:9" outlineLevel="1">
      <c r="A780" s="2" t="str">
        <f t="shared" si="66"/>
        <v/>
      </c>
      <c r="B780" s="2" t="str">
        <f t="shared" si="67"/>
        <v/>
      </c>
      <c r="C780" s="2" t="e">
        <f t="shared" si="68"/>
        <v>#REF!</v>
      </c>
      <c r="D780" s="330" t="s">
        <v>628</v>
      </c>
      <c r="E780"/>
      <c r="F780"/>
      <c r="G780"/>
      <c r="I780"/>
    </row>
    <row r="781" spans="1:9" outlineLevel="1">
      <c r="A781" s="2" t="str">
        <f t="shared" si="66"/>
        <v/>
      </c>
      <c r="B781" s="2" t="str">
        <f t="shared" si="67"/>
        <v/>
      </c>
      <c r="C781" s="2" t="e">
        <f t="shared" si="68"/>
        <v>#REF!</v>
      </c>
      <c r="D781" s="330" t="s">
        <v>628</v>
      </c>
      <c r="E781"/>
      <c r="F781"/>
      <c r="G781"/>
      <c r="I781"/>
    </row>
    <row r="782" spans="1:9" outlineLevel="1">
      <c r="A782" s="2" t="str">
        <f t="shared" si="66"/>
        <v/>
      </c>
      <c r="B782" s="2" t="str">
        <f t="shared" si="67"/>
        <v/>
      </c>
      <c r="C782" s="2" t="e">
        <f t="shared" si="68"/>
        <v>#REF!</v>
      </c>
      <c r="D782" s="330" t="s">
        <v>628</v>
      </c>
      <c r="E782"/>
      <c r="F782"/>
      <c r="G782"/>
      <c r="I782"/>
    </row>
    <row r="783" spans="1:9" outlineLevel="1">
      <c r="A783" s="2" t="str">
        <f t="shared" si="66"/>
        <v/>
      </c>
      <c r="B783" s="2" t="str">
        <f t="shared" si="67"/>
        <v/>
      </c>
      <c r="C783" s="2" t="e">
        <f t="shared" si="68"/>
        <v>#REF!</v>
      </c>
      <c r="D783" s="330" t="s">
        <v>628</v>
      </c>
      <c r="E783"/>
      <c r="F783"/>
      <c r="G783"/>
      <c r="I783"/>
    </row>
    <row r="784" spans="1:9" outlineLevel="1">
      <c r="A784" s="2" t="str">
        <f t="shared" si="66"/>
        <v/>
      </c>
      <c r="B784" s="2" t="str">
        <f t="shared" si="67"/>
        <v/>
      </c>
      <c r="C784" s="2" t="e">
        <f t="shared" si="68"/>
        <v>#REF!</v>
      </c>
      <c r="D784" s="330" t="s">
        <v>628</v>
      </c>
      <c r="E784"/>
      <c r="F784"/>
      <c r="G784"/>
      <c r="I784"/>
    </row>
    <row r="785" spans="1:9" outlineLevel="1">
      <c r="A785" s="2" t="str">
        <f t="shared" si="66"/>
        <v/>
      </c>
      <c r="B785" s="2" t="str">
        <f t="shared" si="67"/>
        <v/>
      </c>
      <c r="C785" s="2" t="e">
        <f t="shared" si="68"/>
        <v>#REF!</v>
      </c>
      <c r="D785" s="330" t="s">
        <v>628</v>
      </c>
      <c r="E785"/>
      <c r="F785"/>
      <c r="G785"/>
      <c r="I785"/>
    </row>
    <row r="786" spans="1:9" outlineLevel="1">
      <c r="A786" s="2" t="str">
        <f t="shared" si="66"/>
        <v/>
      </c>
      <c r="B786" s="2" t="str">
        <f t="shared" si="67"/>
        <v/>
      </c>
      <c r="C786" s="2" t="e">
        <f t="shared" si="68"/>
        <v>#REF!</v>
      </c>
      <c r="D786" s="330" t="s">
        <v>628</v>
      </c>
      <c r="E786"/>
      <c r="F786"/>
      <c r="G786"/>
      <c r="I786"/>
    </row>
    <row r="787" spans="1:9" outlineLevel="1">
      <c r="A787" s="2" t="str">
        <f t="shared" si="66"/>
        <v/>
      </c>
      <c r="B787" s="2" t="str">
        <f t="shared" si="67"/>
        <v/>
      </c>
      <c r="C787" s="2" t="e">
        <f t="shared" si="68"/>
        <v>#REF!</v>
      </c>
      <c r="D787" s="330" t="s">
        <v>628</v>
      </c>
      <c r="E787"/>
      <c r="F787"/>
      <c r="G787"/>
      <c r="I787"/>
    </row>
    <row r="788" spans="1:9" outlineLevel="1">
      <c r="A788" s="2" t="str">
        <f t="shared" si="66"/>
        <v/>
      </c>
      <c r="B788" s="2" t="str">
        <f t="shared" si="67"/>
        <v/>
      </c>
      <c r="C788" s="2" t="e">
        <f t="shared" si="68"/>
        <v>#REF!</v>
      </c>
      <c r="D788" s="330" t="s">
        <v>628</v>
      </c>
      <c r="E788"/>
      <c r="F788"/>
      <c r="G788"/>
      <c r="I788"/>
    </row>
    <row r="789" spans="1:9" outlineLevel="1">
      <c r="A789" s="2" t="str">
        <f t="shared" si="66"/>
        <v/>
      </c>
      <c r="B789" s="2" t="str">
        <f t="shared" si="67"/>
        <v/>
      </c>
      <c r="C789" s="2" t="e">
        <f t="shared" si="68"/>
        <v>#REF!</v>
      </c>
      <c r="D789" s="330" t="s">
        <v>628</v>
      </c>
      <c r="E789"/>
      <c r="F789"/>
      <c r="G789"/>
      <c r="I789"/>
    </row>
    <row r="790" spans="1:9" outlineLevel="1">
      <c r="A790" s="2" t="str">
        <f t="shared" si="66"/>
        <v/>
      </c>
      <c r="B790" s="2" t="str">
        <f t="shared" si="67"/>
        <v/>
      </c>
      <c r="C790" s="2" t="e">
        <f t="shared" si="68"/>
        <v>#REF!</v>
      </c>
      <c r="D790" s="330" t="s">
        <v>628</v>
      </c>
      <c r="E790"/>
      <c r="F790"/>
      <c r="G790"/>
      <c r="I790"/>
    </row>
    <row r="791" spans="1:9" outlineLevel="1">
      <c r="A791" s="2" t="str">
        <f t="shared" si="66"/>
        <v/>
      </c>
      <c r="B791" s="2" t="str">
        <f t="shared" si="67"/>
        <v/>
      </c>
      <c r="C791" s="2" t="e">
        <f t="shared" si="68"/>
        <v>#REF!</v>
      </c>
      <c r="D791" s="330" t="s">
        <v>628</v>
      </c>
      <c r="E791"/>
      <c r="F791"/>
      <c r="G791"/>
      <c r="I791"/>
    </row>
    <row r="792" spans="1:9" outlineLevel="1">
      <c r="A792" s="2" t="str">
        <f t="shared" si="66"/>
        <v/>
      </c>
      <c r="B792" s="2" t="str">
        <f t="shared" si="67"/>
        <v/>
      </c>
      <c r="C792" s="2" t="e">
        <f t="shared" si="68"/>
        <v>#REF!</v>
      </c>
      <c r="D792" s="330" t="s">
        <v>628</v>
      </c>
      <c r="E792"/>
      <c r="F792"/>
      <c r="G792"/>
      <c r="I792"/>
    </row>
    <row r="793" spans="1:9" outlineLevel="1">
      <c r="A793" s="2" t="str">
        <f t="shared" si="66"/>
        <v/>
      </c>
      <c r="B793" s="2" t="str">
        <f t="shared" si="67"/>
        <v/>
      </c>
      <c r="C793" s="2" t="e">
        <f t="shared" si="68"/>
        <v>#REF!</v>
      </c>
      <c r="D793" s="330" t="s">
        <v>628</v>
      </c>
      <c r="E793"/>
      <c r="F793"/>
      <c r="G793"/>
      <c r="I793"/>
    </row>
    <row r="794" spans="1:9" outlineLevel="1">
      <c r="A794" s="2" t="str">
        <f t="shared" si="66"/>
        <v/>
      </c>
      <c r="B794" s="2" t="str">
        <f t="shared" si="67"/>
        <v/>
      </c>
      <c r="C794" s="2" t="e">
        <f t="shared" si="68"/>
        <v>#REF!</v>
      </c>
      <c r="D794" s="330" t="s">
        <v>628</v>
      </c>
      <c r="E794"/>
      <c r="F794"/>
      <c r="G794"/>
      <c r="I794"/>
    </row>
    <row r="795" spans="1:9" outlineLevel="1">
      <c r="A795" s="2" t="str">
        <f t="shared" si="66"/>
        <v/>
      </c>
      <c r="B795" s="2" t="str">
        <f t="shared" si="67"/>
        <v/>
      </c>
      <c r="C795" s="2" t="e">
        <f t="shared" si="68"/>
        <v>#REF!</v>
      </c>
      <c r="D795" s="330" t="s">
        <v>628</v>
      </c>
      <c r="E795"/>
      <c r="F795"/>
      <c r="G795"/>
      <c r="I795"/>
    </row>
    <row r="796" spans="1:9" outlineLevel="1">
      <c r="A796" s="2" t="str">
        <f t="shared" si="66"/>
        <v/>
      </c>
      <c r="B796" s="2" t="str">
        <f t="shared" si="67"/>
        <v/>
      </c>
      <c r="C796" s="2" t="e">
        <f t="shared" si="68"/>
        <v>#REF!</v>
      </c>
      <c r="D796" s="330" t="s">
        <v>628</v>
      </c>
      <c r="E796"/>
      <c r="F796"/>
      <c r="G796"/>
      <c r="I796"/>
    </row>
    <row r="797" spans="1:9" outlineLevel="1">
      <c r="A797" s="2" t="str">
        <f t="shared" si="66"/>
        <v/>
      </c>
      <c r="B797" s="2" t="str">
        <f t="shared" si="67"/>
        <v/>
      </c>
      <c r="C797" s="2" t="e">
        <f t="shared" si="68"/>
        <v>#REF!</v>
      </c>
      <c r="D797" s="330" t="s">
        <v>628</v>
      </c>
      <c r="E797"/>
      <c r="F797"/>
      <c r="G797"/>
      <c r="I797"/>
    </row>
    <row r="798" spans="1:9" outlineLevel="1">
      <c r="A798" s="2" t="str">
        <f t="shared" si="66"/>
        <v/>
      </c>
      <c r="B798" s="2" t="str">
        <f t="shared" si="67"/>
        <v/>
      </c>
      <c r="C798" s="2" t="e">
        <f t="shared" si="68"/>
        <v>#REF!</v>
      </c>
      <c r="D798" s="330" t="s">
        <v>628</v>
      </c>
      <c r="E798"/>
      <c r="F798"/>
      <c r="G798"/>
      <c r="I798"/>
    </row>
    <row r="799" spans="1:9" outlineLevel="1">
      <c r="A799" s="2" t="str">
        <f t="shared" si="66"/>
        <v/>
      </c>
      <c r="B799" s="2" t="str">
        <f t="shared" si="67"/>
        <v/>
      </c>
      <c r="C799" s="2" t="e">
        <f t="shared" si="68"/>
        <v>#REF!</v>
      </c>
      <c r="D799" s="330" t="s">
        <v>628</v>
      </c>
      <c r="E799"/>
      <c r="F799"/>
      <c r="G799"/>
      <c r="I799"/>
    </row>
    <row r="800" spans="1:9" outlineLevel="1">
      <c r="A800" s="2" t="str">
        <f t="shared" si="66"/>
        <v/>
      </c>
      <c r="B800" s="2" t="str">
        <f t="shared" si="67"/>
        <v/>
      </c>
      <c r="C800" s="2" t="e">
        <f t="shared" si="68"/>
        <v>#REF!</v>
      </c>
      <c r="D800" s="330" t="s">
        <v>628</v>
      </c>
      <c r="E800"/>
      <c r="F800"/>
      <c r="G800"/>
      <c r="I800"/>
    </row>
    <row r="801" spans="1:9" outlineLevel="1">
      <c r="A801" s="2" t="str">
        <f t="shared" si="66"/>
        <v/>
      </c>
      <c r="B801" s="2" t="str">
        <f t="shared" si="67"/>
        <v/>
      </c>
      <c r="C801" s="2" t="e">
        <f t="shared" si="68"/>
        <v>#REF!</v>
      </c>
      <c r="D801" s="330" t="s">
        <v>628</v>
      </c>
      <c r="E801"/>
      <c r="F801"/>
      <c r="G801"/>
      <c r="I801"/>
    </row>
    <row r="802" spans="1:9" outlineLevel="1">
      <c r="A802" s="2" t="str">
        <f t="shared" si="66"/>
        <v/>
      </c>
      <c r="B802" s="2" t="str">
        <f t="shared" si="67"/>
        <v/>
      </c>
      <c r="C802" s="2" t="e">
        <f t="shared" si="68"/>
        <v>#REF!</v>
      </c>
      <c r="D802" s="330" t="s">
        <v>628</v>
      </c>
      <c r="E802"/>
      <c r="F802"/>
      <c r="G802"/>
      <c r="I802"/>
    </row>
    <row r="803" spans="1:9" outlineLevel="1">
      <c r="A803" s="2" t="str">
        <f t="shared" si="66"/>
        <v/>
      </c>
      <c r="B803" s="2" t="str">
        <f t="shared" si="67"/>
        <v/>
      </c>
      <c r="C803" s="2" t="e">
        <f t="shared" si="68"/>
        <v>#REF!</v>
      </c>
      <c r="D803" s="330" t="s">
        <v>628</v>
      </c>
      <c r="E803"/>
      <c r="F803"/>
      <c r="G803"/>
      <c r="I803"/>
    </row>
    <row r="804" spans="1:9" outlineLevel="1">
      <c r="A804" s="2" t="str">
        <f t="shared" si="66"/>
        <v/>
      </c>
      <c r="B804" s="2" t="str">
        <f t="shared" si="67"/>
        <v/>
      </c>
      <c r="C804" s="2" t="e">
        <f t="shared" si="68"/>
        <v>#REF!</v>
      </c>
      <c r="D804" s="330" t="s">
        <v>628</v>
      </c>
      <c r="E804"/>
      <c r="F804"/>
      <c r="G804"/>
      <c r="I804"/>
    </row>
    <row r="805" spans="1:9" outlineLevel="1">
      <c r="A805" s="2" t="str">
        <f t="shared" si="66"/>
        <v/>
      </c>
      <c r="B805" s="2" t="str">
        <f t="shared" si="67"/>
        <v/>
      </c>
      <c r="C805" s="2" t="e">
        <f t="shared" si="68"/>
        <v>#REF!</v>
      </c>
      <c r="D805" s="330" t="s">
        <v>628</v>
      </c>
      <c r="E805"/>
      <c r="F805"/>
      <c r="G805"/>
      <c r="I805"/>
    </row>
    <row r="806" spans="1:9" outlineLevel="1">
      <c r="A806" s="2" t="str">
        <f t="shared" si="66"/>
        <v/>
      </c>
      <c r="B806" s="2" t="str">
        <f t="shared" si="67"/>
        <v/>
      </c>
      <c r="C806" s="2" t="e">
        <f t="shared" si="68"/>
        <v>#REF!</v>
      </c>
      <c r="D806" s="330" t="s">
        <v>628</v>
      </c>
      <c r="E806"/>
      <c r="F806"/>
      <c r="G806"/>
      <c r="I806"/>
    </row>
    <row r="807" spans="1:9" outlineLevel="1">
      <c r="A807" s="2" t="str">
        <f t="shared" si="66"/>
        <v/>
      </c>
      <c r="B807" s="2" t="str">
        <f t="shared" si="67"/>
        <v/>
      </c>
      <c r="C807" s="2" t="e">
        <f t="shared" si="68"/>
        <v>#REF!</v>
      </c>
      <c r="D807" s="330" t="s">
        <v>628</v>
      </c>
      <c r="E807"/>
      <c r="F807"/>
      <c r="G807"/>
      <c r="I807"/>
    </row>
    <row r="808" spans="1:9" outlineLevel="1">
      <c r="A808" s="2" t="str">
        <f t="shared" si="66"/>
        <v/>
      </c>
      <c r="B808" s="2" t="str">
        <f t="shared" si="67"/>
        <v/>
      </c>
      <c r="C808" s="2" t="e">
        <f t="shared" si="68"/>
        <v>#REF!</v>
      </c>
      <c r="D808" s="330" t="s">
        <v>628</v>
      </c>
      <c r="E808"/>
      <c r="F808"/>
      <c r="G808"/>
      <c r="I808"/>
    </row>
    <row r="809" spans="1:9" outlineLevel="1">
      <c r="A809" s="2" t="str">
        <f t="shared" si="66"/>
        <v/>
      </c>
      <c r="B809" s="2" t="str">
        <f t="shared" si="67"/>
        <v/>
      </c>
      <c r="C809" s="2" t="e">
        <f t="shared" si="68"/>
        <v>#REF!</v>
      </c>
      <c r="D809" s="330" t="s">
        <v>628</v>
      </c>
      <c r="E809"/>
      <c r="F809"/>
      <c r="G809"/>
      <c r="I809"/>
    </row>
    <row r="810" spans="1:9" outlineLevel="1">
      <c r="A810" s="2" t="str">
        <f t="shared" si="66"/>
        <v/>
      </c>
      <c r="B810" s="2" t="str">
        <f t="shared" si="67"/>
        <v/>
      </c>
      <c r="C810" s="2" t="e">
        <f t="shared" si="68"/>
        <v>#REF!</v>
      </c>
      <c r="D810" s="330" t="s">
        <v>628</v>
      </c>
      <c r="E810"/>
      <c r="F810"/>
      <c r="G810"/>
      <c r="I810"/>
    </row>
    <row r="811" spans="1:9" outlineLevel="1">
      <c r="A811" s="2" t="str">
        <f t="shared" si="66"/>
        <v/>
      </c>
      <c r="B811" s="2" t="str">
        <f t="shared" si="67"/>
        <v/>
      </c>
      <c r="C811" s="2" t="e">
        <f t="shared" si="68"/>
        <v>#REF!</v>
      </c>
      <c r="D811" s="330" t="s">
        <v>628</v>
      </c>
      <c r="E811"/>
      <c r="F811"/>
      <c r="G811"/>
      <c r="I811"/>
    </row>
    <row r="812" spans="1:9" outlineLevel="1">
      <c r="A812" s="2" t="str">
        <f t="shared" si="66"/>
        <v/>
      </c>
      <c r="B812" s="2" t="str">
        <f t="shared" si="67"/>
        <v/>
      </c>
      <c r="C812" s="2" t="e">
        <f t="shared" si="68"/>
        <v>#REF!</v>
      </c>
      <c r="D812" s="330" t="s">
        <v>628</v>
      </c>
      <c r="E812"/>
      <c r="F812"/>
      <c r="G812"/>
      <c r="I812"/>
    </row>
    <row r="813" spans="1:9" outlineLevel="1">
      <c r="A813" s="2" t="str">
        <f t="shared" si="66"/>
        <v/>
      </c>
      <c r="B813" s="2" t="str">
        <f t="shared" si="67"/>
        <v/>
      </c>
      <c r="C813" s="2" t="e">
        <f t="shared" si="68"/>
        <v>#REF!</v>
      </c>
      <c r="D813" s="330" t="s">
        <v>628</v>
      </c>
      <c r="E813"/>
      <c r="F813"/>
      <c r="G813"/>
      <c r="I813"/>
    </row>
    <row r="814" spans="1:9" outlineLevel="1">
      <c r="A814" s="2" t="str">
        <f t="shared" si="66"/>
        <v/>
      </c>
      <c r="B814" s="2" t="str">
        <f t="shared" si="67"/>
        <v/>
      </c>
      <c r="C814" s="2" t="e">
        <f t="shared" si="68"/>
        <v>#REF!</v>
      </c>
      <c r="D814" s="330" t="s">
        <v>628</v>
      </c>
      <c r="E814"/>
      <c r="F814"/>
      <c r="G814"/>
      <c r="I814"/>
    </row>
    <row r="815" spans="1:9" outlineLevel="1">
      <c r="A815" s="2" t="str">
        <f t="shared" si="66"/>
        <v/>
      </c>
      <c r="B815" s="2" t="str">
        <f t="shared" si="67"/>
        <v/>
      </c>
      <c r="C815" s="2" t="e">
        <f t="shared" si="68"/>
        <v>#REF!</v>
      </c>
      <c r="D815" s="330" t="s">
        <v>628</v>
      </c>
      <c r="E815"/>
      <c r="F815"/>
      <c r="G815"/>
      <c r="I815"/>
    </row>
    <row r="816" spans="1:9" outlineLevel="1">
      <c r="A816" s="2" t="str">
        <f t="shared" si="66"/>
        <v/>
      </c>
      <c r="B816" s="2" t="str">
        <f t="shared" si="67"/>
        <v/>
      </c>
      <c r="C816" s="2" t="e">
        <f t="shared" si="68"/>
        <v>#REF!</v>
      </c>
      <c r="D816" s="330" t="s">
        <v>628</v>
      </c>
      <c r="E816"/>
      <c r="F816"/>
      <c r="G816"/>
      <c r="I816"/>
    </row>
    <row r="817" spans="1:9" outlineLevel="1">
      <c r="A817" s="2" t="str">
        <f t="shared" si="66"/>
        <v/>
      </c>
      <c r="B817" s="2" t="str">
        <f t="shared" si="67"/>
        <v/>
      </c>
      <c r="C817" s="2" t="e">
        <f t="shared" si="68"/>
        <v>#REF!</v>
      </c>
      <c r="D817" s="330" t="s">
        <v>628</v>
      </c>
      <c r="E817"/>
      <c r="F817"/>
      <c r="G817"/>
      <c r="I817"/>
    </row>
    <row r="818" spans="1:9" outlineLevel="1">
      <c r="A818" s="2" t="str">
        <f t="shared" si="66"/>
        <v/>
      </c>
      <c r="B818" s="2" t="str">
        <f t="shared" si="67"/>
        <v/>
      </c>
      <c r="C818" s="2" t="e">
        <f t="shared" si="68"/>
        <v>#REF!</v>
      </c>
      <c r="D818" s="330" t="s">
        <v>628</v>
      </c>
      <c r="E818"/>
      <c r="F818"/>
      <c r="G818"/>
      <c r="I818"/>
    </row>
    <row r="819" spans="1:9" outlineLevel="1">
      <c r="A819" s="2" t="str">
        <f t="shared" si="66"/>
        <v/>
      </c>
      <c r="B819" s="2" t="str">
        <f t="shared" si="67"/>
        <v/>
      </c>
      <c r="C819" s="2" t="e">
        <f t="shared" si="68"/>
        <v>#REF!</v>
      </c>
      <c r="D819" s="330" t="s">
        <v>628</v>
      </c>
      <c r="E819"/>
      <c r="F819"/>
      <c r="G819"/>
      <c r="I819"/>
    </row>
    <row r="820" spans="1:9" outlineLevel="1">
      <c r="A820" s="2" t="str">
        <f t="shared" ref="A820:A833" si="69">IF(B820="*",ROW(),"")</f>
        <v/>
      </c>
      <c r="B820" s="2" t="str">
        <f t="shared" si="67"/>
        <v/>
      </c>
      <c r="C820" s="2" t="e">
        <f t="shared" si="68"/>
        <v>#REF!</v>
      </c>
      <c r="D820" s="330" t="s">
        <v>628</v>
      </c>
      <c r="E820"/>
      <c r="F820"/>
      <c r="G820"/>
      <c r="I820"/>
    </row>
    <row r="821" spans="1:9" outlineLevel="1">
      <c r="A821" s="2" t="str">
        <f t="shared" si="69"/>
        <v/>
      </c>
      <c r="B821" s="2" t="str">
        <f t="shared" si="67"/>
        <v/>
      </c>
      <c r="C821" s="2" t="e">
        <f>IF(B821="*",RIGHT(E821,10),#REF!)</f>
        <v>#REF!</v>
      </c>
      <c r="D821" s="330" t="s">
        <v>628</v>
      </c>
      <c r="E821"/>
      <c r="F821"/>
      <c r="G821"/>
      <c r="I821"/>
    </row>
    <row r="822" spans="1:9" outlineLevel="1">
      <c r="A822" s="2" t="str">
        <f t="shared" si="69"/>
        <v/>
      </c>
      <c r="B822" s="2" t="str">
        <f t="shared" si="67"/>
        <v/>
      </c>
      <c r="C822" s="2" t="e">
        <f t="shared" si="68"/>
        <v>#REF!</v>
      </c>
      <c r="D822" s="330" t="s">
        <v>628</v>
      </c>
      <c r="E822"/>
      <c r="F822"/>
      <c r="G822"/>
      <c r="I822"/>
    </row>
    <row r="823" spans="1:9" outlineLevel="1">
      <c r="A823" s="2" t="str">
        <f t="shared" si="69"/>
        <v/>
      </c>
      <c r="B823" s="2" t="str">
        <f t="shared" si="67"/>
        <v/>
      </c>
      <c r="C823" s="2" t="e">
        <f t="shared" si="68"/>
        <v>#REF!</v>
      </c>
      <c r="D823" s="330" t="s">
        <v>628</v>
      </c>
      <c r="E823"/>
      <c r="F823"/>
      <c r="G823"/>
      <c r="I823"/>
    </row>
    <row r="824" spans="1:9" outlineLevel="1">
      <c r="A824" s="2" t="str">
        <f t="shared" si="69"/>
        <v/>
      </c>
      <c r="B824" s="2" t="str">
        <f t="shared" si="67"/>
        <v/>
      </c>
      <c r="C824" s="2" t="e">
        <f t="shared" si="68"/>
        <v>#REF!</v>
      </c>
      <c r="D824" s="330" t="s">
        <v>628</v>
      </c>
      <c r="E824"/>
      <c r="F824"/>
      <c r="G824"/>
      <c r="I824"/>
    </row>
    <row r="825" spans="1:9" outlineLevel="1">
      <c r="A825" s="2" t="str">
        <f t="shared" si="69"/>
        <v/>
      </c>
      <c r="B825" s="2" t="str">
        <f t="shared" si="67"/>
        <v/>
      </c>
      <c r="C825" s="2" t="e">
        <f t="shared" si="68"/>
        <v>#REF!</v>
      </c>
      <c r="D825" s="330" t="s">
        <v>628</v>
      </c>
      <c r="E825"/>
      <c r="F825"/>
      <c r="G825"/>
      <c r="I825"/>
    </row>
    <row r="826" spans="1:9" outlineLevel="1">
      <c r="A826" s="2" t="str">
        <f t="shared" si="69"/>
        <v/>
      </c>
      <c r="B826" s="2" t="str">
        <f t="shared" si="67"/>
        <v/>
      </c>
      <c r="C826" s="2" t="e">
        <f t="shared" si="68"/>
        <v>#REF!</v>
      </c>
      <c r="D826" s="330" t="s">
        <v>628</v>
      </c>
      <c r="E826"/>
      <c r="F826"/>
      <c r="G826"/>
      <c r="I826"/>
    </row>
    <row r="827" spans="1:9" outlineLevel="1">
      <c r="A827" s="2" t="str">
        <f t="shared" si="69"/>
        <v/>
      </c>
      <c r="B827" s="2" t="str">
        <f t="shared" si="67"/>
        <v/>
      </c>
      <c r="C827" s="2" t="e">
        <f t="shared" si="68"/>
        <v>#REF!</v>
      </c>
      <c r="D827" s="330" t="s">
        <v>628</v>
      </c>
      <c r="E827"/>
      <c r="F827"/>
      <c r="G827"/>
      <c r="I827"/>
    </row>
    <row r="828" spans="1:9" outlineLevel="1">
      <c r="A828" s="2" t="str">
        <f t="shared" si="69"/>
        <v/>
      </c>
      <c r="B828" s="2" t="str">
        <f t="shared" si="67"/>
        <v/>
      </c>
      <c r="C828" s="2" t="e">
        <f t="shared" si="68"/>
        <v>#REF!</v>
      </c>
      <c r="D828" s="330" t="s">
        <v>628</v>
      </c>
      <c r="E828"/>
      <c r="F828"/>
      <c r="G828"/>
      <c r="I828"/>
    </row>
    <row r="829" spans="1:9" outlineLevel="1">
      <c r="A829" s="2" t="str">
        <f t="shared" si="69"/>
        <v/>
      </c>
      <c r="B829" s="2" t="str">
        <f t="shared" si="67"/>
        <v/>
      </c>
      <c r="C829" s="2" t="e">
        <f t="shared" si="68"/>
        <v>#REF!</v>
      </c>
      <c r="D829" s="330" t="s">
        <v>628</v>
      </c>
      <c r="E829"/>
      <c r="F829"/>
      <c r="G829"/>
      <c r="I829"/>
    </row>
    <row r="830" spans="1:9" outlineLevel="1">
      <c r="A830" s="2" t="str">
        <f t="shared" si="69"/>
        <v/>
      </c>
      <c r="B830" s="2" t="str">
        <f t="shared" si="67"/>
        <v/>
      </c>
      <c r="C830" s="2" t="e">
        <f t="shared" si="68"/>
        <v>#REF!</v>
      </c>
      <c r="D830" s="330" t="s">
        <v>628</v>
      </c>
      <c r="E830"/>
      <c r="F830"/>
      <c r="G830"/>
      <c r="I830"/>
    </row>
    <row r="831" spans="1:9" outlineLevel="1">
      <c r="A831" s="2" t="str">
        <f t="shared" si="69"/>
        <v/>
      </c>
      <c r="B831" s="2" t="str">
        <f t="shared" si="67"/>
        <v/>
      </c>
      <c r="C831" s="2" t="e">
        <f t="shared" si="68"/>
        <v>#REF!</v>
      </c>
      <c r="D831" s="330" t="s">
        <v>628</v>
      </c>
      <c r="E831"/>
      <c r="F831"/>
      <c r="G831"/>
      <c r="I831"/>
    </row>
    <row r="832" spans="1:9" outlineLevel="1">
      <c r="A832" s="2" t="str">
        <f t="shared" si="69"/>
        <v/>
      </c>
      <c r="B832" s="2" t="str">
        <f t="shared" si="67"/>
        <v/>
      </c>
      <c r="C832" s="2" t="e">
        <f t="shared" si="68"/>
        <v>#REF!</v>
      </c>
      <c r="D832" s="330" t="s">
        <v>628</v>
      </c>
      <c r="E832"/>
      <c r="F832"/>
      <c r="G832"/>
      <c r="I832"/>
    </row>
    <row r="833" spans="1:9" outlineLevel="1">
      <c r="A833" s="2" t="str">
        <f t="shared" si="69"/>
        <v/>
      </c>
      <c r="B833" s="2" t="str">
        <f>LEFT(E833,1)</f>
        <v/>
      </c>
      <c r="C833" s="2" t="e">
        <f>IF(B833="*",RIGHT(E833,10),C832)</f>
        <v>#REF!</v>
      </c>
      <c r="D833" s="330" t="s">
        <v>628</v>
      </c>
      <c r="E833"/>
      <c r="F833"/>
      <c r="G833"/>
      <c r="I833"/>
    </row>
    <row r="834" spans="1:9" outlineLevel="1">
      <c r="A834" s="2" t="str">
        <f t="shared" ref="A834:A890" si="70">IF(B834="*",ROW(),"")</f>
        <v/>
      </c>
      <c r="B834" s="2" t="str">
        <f t="shared" ref="B834:B890" si="71">LEFT(E834,1)</f>
        <v/>
      </c>
      <c r="C834" s="2" t="e">
        <f>IF(B834="*",RIGHT(E834,10),#REF!)</f>
        <v>#REF!</v>
      </c>
      <c r="D834" s="330" t="s">
        <v>628</v>
      </c>
      <c r="E834"/>
      <c r="F834"/>
      <c r="G834"/>
      <c r="I834"/>
    </row>
    <row r="835" spans="1:9" outlineLevel="1">
      <c r="A835" s="2" t="str">
        <f t="shared" si="70"/>
        <v/>
      </c>
      <c r="B835" s="2" t="str">
        <f t="shared" si="71"/>
        <v/>
      </c>
      <c r="C835" s="2" t="e">
        <f t="shared" ref="C835:C890" si="72">IF(B835="*",RIGHT(E835,10),C834)</f>
        <v>#REF!</v>
      </c>
      <c r="D835" s="330" t="s">
        <v>628</v>
      </c>
      <c r="E835"/>
      <c r="F835"/>
      <c r="G835"/>
      <c r="I835"/>
    </row>
    <row r="836" spans="1:9" outlineLevel="1">
      <c r="A836" s="2" t="str">
        <f t="shared" si="70"/>
        <v/>
      </c>
      <c r="B836" s="2" t="str">
        <f t="shared" si="71"/>
        <v/>
      </c>
      <c r="C836" s="2" t="e">
        <f t="shared" si="72"/>
        <v>#REF!</v>
      </c>
      <c r="D836" s="330" t="s">
        <v>628</v>
      </c>
      <c r="E836"/>
      <c r="F836"/>
      <c r="G836"/>
      <c r="I836"/>
    </row>
    <row r="837" spans="1:9" outlineLevel="1">
      <c r="A837" s="2" t="str">
        <f t="shared" si="70"/>
        <v/>
      </c>
      <c r="B837" s="2" t="str">
        <f t="shared" si="71"/>
        <v/>
      </c>
      <c r="C837" s="2" t="e">
        <f t="shared" si="72"/>
        <v>#REF!</v>
      </c>
      <c r="D837" s="330" t="s">
        <v>628</v>
      </c>
      <c r="E837"/>
      <c r="F837"/>
      <c r="G837"/>
      <c r="I837"/>
    </row>
    <row r="838" spans="1:9" outlineLevel="1">
      <c r="A838" s="2" t="str">
        <f t="shared" si="70"/>
        <v/>
      </c>
      <c r="B838" s="2" t="str">
        <f t="shared" si="71"/>
        <v/>
      </c>
      <c r="C838" s="2" t="e">
        <f t="shared" si="72"/>
        <v>#REF!</v>
      </c>
      <c r="D838" s="330" t="s">
        <v>628</v>
      </c>
      <c r="E838"/>
      <c r="F838"/>
      <c r="G838"/>
      <c r="I838"/>
    </row>
    <row r="839" spans="1:9" outlineLevel="1">
      <c r="A839" s="2" t="str">
        <f t="shared" si="70"/>
        <v/>
      </c>
      <c r="B839" s="2" t="str">
        <f t="shared" si="71"/>
        <v/>
      </c>
      <c r="C839" s="2" t="e">
        <f t="shared" si="72"/>
        <v>#REF!</v>
      </c>
      <c r="D839" s="330" t="s">
        <v>628</v>
      </c>
      <c r="E839"/>
      <c r="F839"/>
      <c r="G839"/>
      <c r="I839"/>
    </row>
    <row r="840" spans="1:9" outlineLevel="1">
      <c r="A840" s="2" t="str">
        <f t="shared" si="70"/>
        <v/>
      </c>
      <c r="B840" s="2" t="str">
        <f t="shared" si="71"/>
        <v/>
      </c>
      <c r="C840" s="2" t="e">
        <f t="shared" si="72"/>
        <v>#REF!</v>
      </c>
      <c r="D840" s="330" t="s">
        <v>628</v>
      </c>
      <c r="E840"/>
      <c r="F840"/>
      <c r="G840"/>
      <c r="I840"/>
    </row>
    <row r="841" spans="1:9" outlineLevel="1">
      <c r="A841" s="2" t="str">
        <f t="shared" si="70"/>
        <v/>
      </c>
      <c r="B841" s="2" t="str">
        <f t="shared" si="71"/>
        <v/>
      </c>
      <c r="C841" s="2" t="e">
        <f t="shared" si="72"/>
        <v>#REF!</v>
      </c>
      <c r="D841" s="330" t="s">
        <v>628</v>
      </c>
      <c r="E841"/>
      <c r="F841"/>
      <c r="G841"/>
      <c r="I841"/>
    </row>
    <row r="842" spans="1:9" outlineLevel="1">
      <c r="A842" s="2" t="str">
        <f t="shared" si="70"/>
        <v/>
      </c>
      <c r="B842" s="2" t="str">
        <f t="shared" si="71"/>
        <v/>
      </c>
      <c r="C842" s="2" t="e">
        <f t="shared" si="72"/>
        <v>#REF!</v>
      </c>
      <c r="D842" s="330" t="s">
        <v>628</v>
      </c>
      <c r="E842"/>
      <c r="F842"/>
      <c r="G842"/>
      <c r="I842"/>
    </row>
    <row r="843" spans="1:9" outlineLevel="1">
      <c r="A843" s="2" t="str">
        <f t="shared" si="70"/>
        <v/>
      </c>
      <c r="B843" s="2" t="str">
        <f t="shared" si="71"/>
        <v/>
      </c>
      <c r="C843" s="2" t="e">
        <f t="shared" si="72"/>
        <v>#REF!</v>
      </c>
      <c r="D843" s="330" t="s">
        <v>628</v>
      </c>
      <c r="E843"/>
      <c r="F843"/>
      <c r="G843"/>
      <c r="I843"/>
    </row>
    <row r="844" spans="1:9" outlineLevel="1">
      <c r="A844" s="2" t="str">
        <f t="shared" si="70"/>
        <v/>
      </c>
      <c r="B844" s="2" t="str">
        <f t="shared" si="71"/>
        <v/>
      </c>
      <c r="C844" s="2" t="e">
        <f t="shared" si="72"/>
        <v>#REF!</v>
      </c>
      <c r="D844" s="330" t="s">
        <v>628</v>
      </c>
      <c r="E844"/>
      <c r="F844"/>
      <c r="G844"/>
      <c r="I844"/>
    </row>
    <row r="845" spans="1:9" outlineLevel="1">
      <c r="A845" s="2" t="str">
        <f t="shared" si="70"/>
        <v/>
      </c>
      <c r="B845" s="2" t="str">
        <f t="shared" si="71"/>
        <v/>
      </c>
      <c r="C845" s="2" t="e">
        <f>IF(B845="*",RIGHT(E845,10),#REF!)</f>
        <v>#REF!</v>
      </c>
      <c r="D845" s="330" t="s">
        <v>628</v>
      </c>
      <c r="E845"/>
      <c r="F845"/>
      <c r="G845"/>
      <c r="I845"/>
    </row>
    <row r="846" spans="1:9" outlineLevel="1">
      <c r="A846" s="2" t="str">
        <f t="shared" si="70"/>
        <v/>
      </c>
      <c r="B846" s="2" t="str">
        <f t="shared" si="71"/>
        <v/>
      </c>
      <c r="C846" s="2" t="e">
        <f t="shared" si="72"/>
        <v>#REF!</v>
      </c>
      <c r="D846" s="330" t="s">
        <v>628</v>
      </c>
      <c r="E846"/>
      <c r="F846"/>
      <c r="G846"/>
      <c r="I846"/>
    </row>
    <row r="847" spans="1:9" outlineLevel="1">
      <c r="A847" s="2" t="str">
        <f t="shared" si="70"/>
        <v/>
      </c>
      <c r="B847" s="2" t="str">
        <f t="shared" si="71"/>
        <v/>
      </c>
      <c r="C847" s="2" t="e">
        <f t="shared" si="72"/>
        <v>#REF!</v>
      </c>
      <c r="D847" s="330" t="s">
        <v>628</v>
      </c>
      <c r="E847"/>
      <c r="F847"/>
      <c r="G847"/>
      <c r="I847"/>
    </row>
    <row r="848" spans="1:9" outlineLevel="1">
      <c r="A848" s="2" t="str">
        <f t="shared" si="70"/>
        <v/>
      </c>
      <c r="B848" s="2" t="str">
        <f t="shared" si="71"/>
        <v/>
      </c>
      <c r="C848" s="2" t="e">
        <f t="shared" si="72"/>
        <v>#REF!</v>
      </c>
      <c r="D848" s="330" t="s">
        <v>628</v>
      </c>
      <c r="E848"/>
      <c r="F848"/>
      <c r="G848"/>
      <c r="I848"/>
    </row>
    <row r="849" spans="1:9" outlineLevel="1">
      <c r="A849" s="2" t="str">
        <f t="shared" si="70"/>
        <v/>
      </c>
      <c r="B849" s="2" t="str">
        <f t="shared" si="71"/>
        <v/>
      </c>
      <c r="C849" s="2" t="e">
        <f t="shared" si="72"/>
        <v>#REF!</v>
      </c>
      <c r="D849" s="330" t="s">
        <v>628</v>
      </c>
      <c r="E849"/>
      <c r="F849"/>
      <c r="G849"/>
      <c r="I849"/>
    </row>
    <row r="850" spans="1:9" outlineLevel="1">
      <c r="A850" s="2" t="str">
        <f t="shared" si="70"/>
        <v/>
      </c>
      <c r="B850" s="2" t="str">
        <f t="shared" si="71"/>
        <v/>
      </c>
      <c r="C850" s="2" t="e">
        <f t="shared" si="72"/>
        <v>#REF!</v>
      </c>
      <c r="D850" s="330" t="s">
        <v>628</v>
      </c>
      <c r="E850"/>
      <c r="F850"/>
      <c r="G850"/>
      <c r="I850"/>
    </row>
    <row r="851" spans="1:9" outlineLevel="1">
      <c r="A851" s="2" t="str">
        <f t="shared" si="70"/>
        <v/>
      </c>
      <c r="B851" s="2" t="str">
        <f t="shared" si="71"/>
        <v/>
      </c>
      <c r="C851" s="2" t="e">
        <f t="shared" si="72"/>
        <v>#REF!</v>
      </c>
      <c r="D851" s="330" t="s">
        <v>628</v>
      </c>
      <c r="E851"/>
      <c r="F851"/>
      <c r="G851"/>
      <c r="I851"/>
    </row>
    <row r="852" spans="1:9" outlineLevel="1">
      <c r="A852" s="2" t="str">
        <f t="shared" si="70"/>
        <v/>
      </c>
      <c r="B852" s="2" t="str">
        <f t="shared" si="71"/>
        <v/>
      </c>
      <c r="C852" s="2" t="e">
        <f t="shared" si="72"/>
        <v>#REF!</v>
      </c>
      <c r="D852" s="330" t="s">
        <v>628</v>
      </c>
      <c r="E852"/>
      <c r="F852"/>
      <c r="G852"/>
      <c r="I852"/>
    </row>
    <row r="853" spans="1:9" outlineLevel="1">
      <c r="A853" s="2" t="str">
        <f t="shared" si="70"/>
        <v/>
      </c>
      <c r="B853" s="2" t="str">
        <f t="shared" si="71"/>
        <v/>
      </c>
      <c r="C853" s="2" t="e">
        <f t="shared" si="72"/>
        <v>#REF!</v>
      </c>
      <c r="D853" s="330" t="s">
        <v>628</v>
      </c>
      <c r="E853"/>
      <c r="F853"/>
      <c r="G853"/>
      <c r="I853"/>
    </row>
    <row r="854" spans="1:9" outlineLevel="1">
      <c r="A854" s="2" t="str">
        <f t="shared" si="70"/>
        <v/>
      </c>
      <c r="B854" s="2" t="str">
        <f t="shared" si="71"/>
        <v/>
      </c>
      <c r="C854" s="2" t="e">
        <f t="shared" si="72"/>
        <v>#REF!</v>
      </c>
      <c r="D854" s="330" t="s">
        <v>628</v>
      </c>
      <c r="E854"/>
      <c r="F854"/>
      <c r="G854"/>
      <c r="I854"/>
    </row>
    <row r="855" spans="1:9" outlineLevel="1">
      <c r="A855" s="2" t="str">
        <f t="shared" si="70"/>
        <v/>
      </c>
      <c r="B855" s="2" t="str">
        <f t="shared" si="71"/>
        <v/>
      </c>
      <c r="C855" s="2" t="e">
        <f t="shared" si="72"/>
        <v>#REF!</v>
      </c>
      <c r="D855" s="330" t="s">
        <v>628</v>
      </c>
      <c r="E855"/>
      <c r="F855"/>
      <c r="G855"/>
      <c r="I855"/>
    </row>
    <row r="856" spans="1:9" outlineLevel="1">
      <c r="A856" s="2" t="str">
        <f t="shared" si="70"/>
        <v/>
      </c>
      <c r="B856" s="2" t="str">
        <f t="shared" si="71"/>
        <v/>
      </c>
      <c r="C856" s="2" t="e">
        <f t="shared" si="72"/>
        <v>#REF!</v>
      </c>
      <c r="D856" s="330" t="s">
        <v>628</v>
      </c>
      <c r="E856"/>
      <c r="F856"/>
      <c r="G856"/>
      <c r="I856"/>
    </row>
    <row r="857" spans="1:9" outlineLevel="1">
      <c r="A857" s="2" t="str">
        <f t="shared" si="70"/>
        <v/>
      </c>
      <c r="B857" s="2" t="str">
        <f t="shared" si="71"/>
        <v/>
      </c>
      <c r="C857" s="2" t="e">
        <f>IF(B857="*",RIGHT(E857,10),#REF!)</f>
        <v>#REF!</v>
      </c>
      <c r="D857" s="330" t="s">
        <v>628</v>
      </c>
      <c r="E857"/>
      <c r="F857"/>
      <c r="G857"/>
      <c r="I857"/>
    </row>
    <row r="858" spans="1:9" outlineLevel="1">
      <c r="A858" s="2" t="str">
        <f t="shared" si="70"/>
        <v/>
      </c>
      <c r="B858" s="2" t="str">
        <f t="shared" si="71"/>
        <v/>
      </c>
      <c r="C858" s="2" t="e">
        <f t="shared" si="72"/>
        <v>#REF!</v>
      </c>
      <c r="D858" s="330" t="s">
        <v>628</v>
      </c>
      <c r="E858"/>
      <c r="F858"/>
      <c r="G858"/>
      <c r="I858"/>
    </row>
    <row r="859" spans="1:9" outlineLevel="1">
      <c r="A859" s="2" t="str">
        <f t="shared" si="70"/>
        <v/>
      </c>
      <c r="B859" s="2" t="str">
        <f t="shared" si="71"/>
        <v/>
      </c>
      <c r="C859" s="2" t="e">
        <f t="shared" si="72"/>
        <v>#REF!</v>
      </c>
      <c r="D859" s="330" t="s">
        <v>628</v>
      </c>
      <c r="E859"/>
      <c r="F859"/>
      <c r="G859"/>
      <c r="I859"/>
    </row>
    <row r="860" spans="1:9" outlineLevel="1">
      <c r="A860" s="2" t="str">
        <f t="shared" si="70"/>
        <v/>
      </c>
      <c r="B860" s="2" t="str">
        <f t="shared" si="71"/>
        <v/>
      </c>
      <c r="C860" s="2" t="e">
        <f t="shared" si="72"/>
        <v>#REF!</v>
      </c>
      <c r="D860" s="330" t="s">
        <v>628</v>
      </c>
      <c r="E860"/>
      <c r="F860"/>
      <c r="G860"/>
      <c r="I860"/>
    </row>
    <row r="861" spans="1:9" outlineLevel="1">
      <c r="A861" s="2" t="str">
        <f t="shared" si="70"/>
        <v/>
      </c>
      <c r="B861" s="2" t="str">
        <f t="shared" si="71"/>
        <v/>
      </c>
      <c r="C861" s="2" t="e">
        <f t="shared" si="72"/>
        <v>#REF!</v>
      </c>
      <c r="D861" s="330" t="s">
        <v>628</v>
      </c>
      <c r="E861"/>
      <c r="F861"/>
      <c r="G861"/>
      <c r="I861"/>
    </row>
    <row r="862" spans="1:9" outlineLevel="1">
      <c r="A862" s="2" t="str">
        <f t="shared" si="70"/>
        <v/>
      </c>
      <c r="B862" s="2" t="str">
        <f t="shared" si="71"/>
        <v/>
      </c>
      <c r="C862" s="2" t="e">
        <f t="shared" si="72"/>
        <v>#REF!</v>
      </c>
      <c r="D862" s="330" t="s">
        <v>628</v>
      </c>
      <c r="E862"/>
      <c r="F862"/>
      <c r="G862"/>
      <c r="I862"/>
    </row>
    <row r="863" spans="1:9" outlineLevel="1">
      <c r="A863" s="2" t="str">
        <f t="shared" si="70"/>
        <v/>
      </c>
      <c r="B863" s="2" t="str">
        <f t="shared" si="71"/>
        <v/>
      </c>
      <c r="C863" s="2" t="e">
        <f t="shared" si="72"/>
        <v>#REF!</v>
      </c>
      <c r="D863" s="330" t="s">
        <v>628</v>
      </c>
      <c r="E863"/>
      <c r="F863"/>
      <c r="G863"/>
      <c r="I863"/>
    </row>
    <row r="864" spans="1:9" outlineLevel="1">
      <c r="A864" s="2" t="str">
        <f t="shared" si="70"/>
        <v/>
      </c>
      <c r="B864" s="2" t="str">
        <f t="shared" si="71"/>
        <v/>
      </c>
      <c r="C864" s="2" t="e">
        <f t="shared" si="72"/>
        <v>#REF!</v>
      </c>
      <c r="D864" s="330" t="s">
        <v>628</v>
      </c>
      <c r="E864"/>
      <c r="F864"/>
      <c r="G864"/>
      <c r="I864"/>
    </row>
    <row r="865" spans="1:9" outlineLevel="1">
      <c r="A865" s="2" t="str">
        <f t="shared" si="70"/>
        <v/>
      </c>
      <c r="B865" s="2" t="str">
        <f t="shared" si="71"/>
        <v/>
      </c>
      <c r="C865" s="2" t="e">
        <f t="shared" si="72"/>
        <v>#REF!</v>
      </c>
      <c r="D865" s="330" t="s">
        <v>628</v>
      </c>
      <c r="E865"/>
      <c r="F865"/>
      <c r="G865"/>
      <c r="I865"/>
    </row>
    <row r="866" spans="1:9" outlineLevel="1">
      <c r="A866" s="2" t="str">
        <f t="shared" si="70"/>
        <v/>
      </c>
      <c r="B866" s="2" t="str">
        <f t="shared" si="71"/>
        <v/>
      </c>
      <c r="C866" s="2" t="e">
        <f t="shared" si="72"/>
        <v>#REF!</v>
      </c>
      <c r="D866" s="330" t="s">
        <v>628</v>
      </c>
      <c r="E866"/>
      <c r="F866"/>
      <c r="G866"/>
      <c r="I866"/>
    </row>
    <row r="867" spans="1:9" outlineLevel="1">
      <c r="A867" s="2" t="str">
        <f t="shared" si="70"/>
        <v/>
      </c>
      <c r="B867" s="2" t="str">
        <f t="shared" si="71"/>
        <v/>
      </c>
      <c r="C867" s="2" t="e">
        <f t="shared" si="72"/>
        <v>#REF!</v>
      </c>
      <c r="D867" s="330" t="s">
        <v>628</v>
      </c>
      <c r="E867"/>
      <c r="F867"/>
      <c r="G867"/>
      <c r="I867"/>
    </row>
    <row r="868" spans="1:9" outlineLevel="1">
      <c r="A868" s="2" t="str">
        <f t="shared" si="70"/>
        <v/>
      </c>
      <c r="B868" s="2" t="str">
        <f t="shared" si="71"/>
        <v/>
      </c>
      <c r="C868" s="2" t="e">
        <f t="shared" si="72"/>
        <v>#REF!</v>
      </c>
      <c r="D868" s="330" t="s">
        <v>628</v>
      </c>
      <c r="E868"/>
      <c r="F868"/>
      <c r="G868"/>
      <c r="I868"/>
    </row>
    <row r="869" spans="1:9" outlineLevel="1">
      <c r="A869" s="2" t="str">
        <f t="shared" si="70"/>
        <v/>
      </c>
      <c r="B869" s="2" t="str">
        <f t="shared" si="71"/>
        <v/>
      </c>
      <c r="C869" s="2" t="e">
        <f t="shared" si="72"/>
        <v>#REF!</v>
      </c>
      <c r="D869" s="330" t="s">
        <v>628</v>
      </c>
      <c r="E869"/>
      <c r="F869"/>
      <c r="G869"/>
      <c r="I869"/>
    </row>
    <row r="870" spans="1:9" outlineLevel="1">
      <c r="A870" s="2" t="str">
        <f t="shared" si="70"/>
        <v/>
      </c>
      <c r="B870" s="2" t="str">
        <f t="shared" si="71"/>
        <v/>
      </c>
      <c r="C870" s="2" t="e">
        <f>IF(B870="*",RIGHT(E870,10),#REF!)</f>
        <v>#REF!</v>
      </c>
      <c r="D870" s="330" t="s">
        <v>628</v>
      </c>
      <c r="E870"/>
      <c r="F870"/>
      <c r="G870"/>
      <c r="I870"/>
    </row>
    <row r="871" spans="1:9" outlineLevel="1">
      <c r="A871" s="2" t="str">
        <f t="shared" si="70"/>
        <v/>
      </c>
      <c r="B871" s="2" t="str">
        <f t="shared" si="71"/>
        <v/>
      </c>
      <c r="C871" s="2" t="e">
        <f t="shared" si="72"/>
        <v>#REF!</v>
      </c>
      <c r="D871" s="330" t="s">
        <v>628</v>
      </c>
      <c r="E871"/>
      <c r="F871"/>
      <c r="G871"/>
      <c r="I871"/>
    </row>
    <row r="872" spans="1:9" outlineLevel="1">
      <c r="A872" s="2" t="str">
        <f t="shared" si="70"/>
        <v/>
      </c>
      <c r="B872" s="2" t="str">
        <f t="shared" si="71"/>
        <v/>
      </c>
      <c r="C872" s="2" t="e">
        <f t="shared" si="72"/>
        <v>#REF!</v>
      </c>
      <c r="D872" s="330" t="s">
        <v>628</v>
      </c>
      <c r="E872"/>
      <c r="F872"/>
      <c r="G872"/>
      <c r="I872"/>
    </row>
    <row r="873" spans="1:9" outlineLevel="1">
      <c r="A873" s="2" t="str">
        <f t="shared" si="70"/>
        <v/>
      </c>
      <c r="B873" s="2" t="str">
        <f t="shared" si="71"/>
        <v/>
      </c>
      <c r="C873" s="2" t="e">
        <f t="shared" si="72"/>
        <v>#REF!</v>
      </c>
      <c r="D873" s="330" t="s">
        <v>628</v>
      </c>
      <c r="E873"/>
      <c r="F873"/>
      <c r="G873"/>
      <c r="I873"/>
    </row>
    <row r="874" spans="1:9" outlineLevel="1">
      <c r="A874" s="2" t="str">
        <f t="shared" si="70"/>
        <v/>
      </c>
      <c r="B874" s="2" t="str">
        <f t="shared" si="71"/>
        <v/>
      </c>
      <c r="C874" s="2" t="e">
        <f t="shared" si="72"/>
        <v>#REF!</v>
      </c>
      <c r="D874" s="330" t="s">
        <v>628</v>
      </c>
      <c r="E874"/>
      <c r="F874"/>
      <c r="G874"/>
      <c r="I874"/>
    </row>
    <row r="875" spans="1:9" outlineLevel="1">
      <c r="A875" s="2" t="str">
        <f t="shared" si="70"/>
        <v/>
      </c>
      <c r="B875" s="2" t="str">
        <f t="shared" si="71"/>
        <v/>
      </c>
      <c r="C875" s="2" t="e">
        <f t="shared" si="72"/>
        <v>#REF!</v>
      </c>
      <c r="D875" s="330" t="s">
        <v>628</v>
      </c>
      <c r="E875"/>
      <c r="F875"/>
      <c r="G875"/>
      <c r="I875"/>
    </row>
    <row r="876" spans="1:9" outlineLevel="1">
      <c r="A876" s="2" t="str">
        <f t="shared" si="70"/>
        <v/>
      </c>
      <c r="B876" s="2" t="str">
        <f t="shared" si="71"/>
        <v/>
      </c>
      <c r="C876" s="2" t="e">
        <f t="shared" si="72"/>
        <v>#REF!</v>
      </c>
      <c r="D876" s="330" t="s">
        <v>628</v>
      </c>
      <c r="E876"/>
      <c r="F876"/>
      <c r="G876"/>
      <c r="I876"/>
    </row>
    <row r="877" spans="1:9" outlineLevel="1">
      <c r="A877" s="2" t="str">
        <f t="shared" si="70"/>
        <v/>
      </c>
      <c r="B877" s="2" t="str">
        <f t="shared" si="71"/>
        <v/>
      </c>
      <c r="C877" s="2" t="e">
        <f t="shared" si="72"/>
        <v>#REF!</v>
      </c>
      <c r="D877" s="330" t="s">
        <v>628</v>
      </c>
      <c r="E877"/>
      <c r="F877"/>
      <c r="G877"/>
      <c r="I877"/>
    </row>
    <row r="878" spans="1:9" outlineLevel="1">
      <c r="A878" s="2" t="str">
        <f t="shared" si="70"/>
        <v/>
      </c>
      <c r="B878" s="2" t="str">
        <f t="shared" si="71"/>
        <v/>
      </c>
      <c r="C878" s="2" t="e">
        <f t="shared" si="72"/>
        <v>#REF!</v>
      </c>
      <c r="D878" s="330" t="s">
        <v>628</v>
      </c>
      <c r="E878"/>
      <c r="F878"/>
      <c r="G878"/>
      <c r="I878"/>
    </row>
    <row r="879" spans="1:9" outlineLevel="1">
      <c r="A879" s="2" t="str">
        <f t="shared" si="70"/>
        <v/>
      </c>
      <c r="B879" s="2" t="str">
        <f t="shared" si="71"/>
        <v/>
      </c>
      <c r="C879" s="2" t="e">
        <f t="shared" si="72"/>
        <v>#REF!</v>
      </c>
      <c r="D879" s="330" t="s">
        <v>628</v>
      </c>
      <c r="E879"/>
      <c r="F879"/>
      <c r="G879"/>
      <c r="I879"/>
    </row>
    <row r="880" spans="1:9" outlineLevel="1">
      <c r="A880" s="2" t="str">
        <f t="shared" si="70"/>
        <v/>
      </c>
      <c r="B880" s="2" t="str">
        <f t="shared" si="71"/>
        <v/>
      </c>
      <c r="C880" s="2" t="e">
        <f t="shared" si="72"/>
        <v>#REF!</v>
      </c>
      <c r="D880" s="330" t="s">
        <v>628</v>
      </c>
      <c r="E880"/>
      <c r="F880"/>
      <c r="G880"/>
      <c r="I880"/>
    </row>
    <row r="881" spans="1:9" outlineLevel="1">
      <c r="A881" s="2" t="str">
        <f t="shared" si="70"/>
        <v/>
      </c>
      <c r="B881" s="2" t="str">
        <f t="shared" si="71"/>
        <v/>
      </c>
      <c r="C881" s="2" t="e">
        <f t="shared" si="72"/>
        <v>#REF!</v>
      </c>
      <c r="D881" s="330" t="s">
        <v>628</v>
      </c>
      <c r="E881"/>
      <c r="F881"/>
      <c r="G881"/>
      <c r="I881"/>
    </row>
    <row r="882" spans="1:9" outlineLevel="1">
      <c r="A882" s="2" t="str">
        <f t="shared" si="70"/>
        <v/>
      </c>
      <c r="B882" s="2" t="str">
        <f t="shared" si="71"/>
        <v/>
      </c>
      <c r="C882" s="2" t="e">
        <f t="shared" si="72"/>
        <v>#REF!</v>
      </c>
      <c r="D882" s="330" t="s">
        <v>628</v>
      </c>
      <c r="E882"/>
      <c r="F882"/>
      <c r="G882"/>
      <c r="I882"/>
    </row>
    <row r="883" spans="1:9" outlineLevel="1">
      <c r="A883" s="2" t="str">
        <f t="shared" si="70"/>
        <v/>
      </c>
      <c r="B883" s="2" t="str">
        <f t="shared" si="71"/>
        <v/>
      </c>
      <c r="C883" s="2" t="e">
        <f t="shared" si="72"/>
        <v>#REF!</v>
      </c>
      <c r="D883" s="330" t="s">
        <v>628</v>
      </c>
      <c r="E883"/>
      <c r="F883"/>
      <c r="G883"/>
      <c r="I883"/>
    </row>
    <row r="884" spans="1:9" outlineLevel="1">
      <c r="A884" s="2" t="str">
        <f t="shared" si="70"/>
        <v/>
      </c>
      <c r="B884" s="2" t="str">
        <f t="shared" si="71"/>
        <v/>
      </c>
      <c r="C884" s="2" t="e">
        <f t="shared" si="72"/>
        <v>#REF!</v>
      </c>
      <c r="D884" s="330" t="s">
        <v>628</v>
      </c>
      <c r="E884"/>
      <c r="F884"/>
      <c r="G884"/>
      <c r="I884"/>
    </row>
    <row r="885" spans="1:9" outlineLevel="1">
      <c r="A885" s="2" t="str">
        <f t="shared" si="70"/>
        <v/>
      </c>
      <c r="B885" s="2" t="str">
        <f t="shared" si="71"/>
        <v/>
      </c>
      <c r="C885" s="2" t="e">
        <f t="shared" si="72"/>
        <v>#REF!</v>
      </c>
      <c r="D885" s="330" t="s">
        <v>628</v>
      </c>
      <c r="E885"/>
      <c r="F885"/>
      <c r="G885"/>
      <c r="I885"/>
    </row>
    <row r="886" spans="1:9" outlineLevel="1">
      <c r="A886" s="2" t="str">
        <f t="shared" si="70"/>
        <v/>
      </c>
      <c r="B886" s="2" t="str">
        <f t="shared" si="71"/>
        <v/>
      </c>
      <c r="C886" s="2" t="e">
        <f t="shared" si="72"/>
        <v>#REF!</v>
      </c>
      <c r="D886" s="330" t="s">
        <v>628</v>
      </c>
      <c r="E886"/>
      <c r="F886"/>
      <c r="G886"/>
      <c r="I886"/>
    </row>
    <row r="887" spans="1:9" outlineLevel="1">
      <c r="A887" s="2" t="str">
        <f t="shared" si="70"/>
        <v/>
      </c>
      <c r="B887" s="2" t="str">
        <f t="shared" si="71"/>
        <v/>
      </c>
      <c r="C887" s="2" t="e">
        <f t="shared" si="72"/>
        <v>#REF!</v>
      </c>
      <c r="D887" s="330" t="s">
        <v>628</v>
      </c>
      <c r="E887"/>
      <c r="F887"/>
      <c r="G887"/>
      <c r="I887"/>
    </row>
    <row r="888" spans="1:9" outlineLevel="1">
      <c r="A888" s="2" t="str">
        <f t="shared" si="70"/>
        <v/>
      </c>
      <c r="B888" s="2" t="str">
        <f t="shared" si="71"/>
        <v/>
      </c>
      <c r="C888" s="2" t="e">
        <f t="shared" si="72"/>
        <v>#REF!</v>
      </c>
      <c r="D888" s="330" t="s">
        <v>628</v>
      </c>
      <c r="E888"/>
      <c r="F888"/>
      <c r="G888"/>
      <c r="I888"/>
    </row>
    <row r="889" spans="1:9" outlineLevel="1">
      <c r="A889" s="2" t="str">
        <f t="shared" si="70"/>
        <v/>
      </c>
      <c r="B889" s="2" t="str">
        <f t="shared" si="71"/>
        <v/>
      </c>
      <c r="C889" s="2" t="e">
        <f t="shared" si="72"/>
        <v>#REF!</v>
      </c>
      <c r="D889" s="330" t="s">
        <v>628</v>
      </c>
      <c r="E889"/>
      <c r="F889"/>
      <c r="G889"/>
      <c r="I889"/>
    </row>
    <row r="890" spans="1:9" outlineLevel="1">
      <c r="A890" s="2" t="str">
        <f t="shared" si="70"/>
        <v/>
      </c>
      <c r="B890" s="2" t="str">
        <f t="shared" si="71"/>
        <v/>
      </c>
      <c r="C890" s="2" t="e">
        <f t="shared" si="72"/>
        <v>#REF!</v>
      </c>
      <c r="D890" s="330" t="s">
        <v>628</v>
      </c>
      <c r="E890"/>
      <c r="F890"/>
      <c r="G890"/>
      <c r="I890"/>
    </row>
    <row r="891" spans="1:9" outlineLevel="1">
      <c r="A891" s="2" t="str">
        <f t="shared" ref="A891:A924" si="73">IF(B891="*",ROW(),"")</f>
        <v/>
      </c>
      <c r="B891" s="2" t="str">
        <f t="shared" ref="B891:B924" si="74">LEFT(E891,1)</f>
        <v/>
      </c>
      <c r="C891" s="2" t="e">
        <f t="shared" ref="C891:C924" si="75">IF(B891="*",RIGHT(E891,10),C890)</f>
        <v>#REF!</v>
      </c>
      <c r="D891" s="330" t="s">
        <v>628</v>
      </c>
      <c r="E891"/>
      <c r="F891"/>
      <c r="G891"/>
      <c r="I891"/>
    </row>
    <row r="892" spans="1:9" outlineLevel="1">
      <c r="A892" s="2" t="str">
        <f t="shared" si="73"/>
        <v/>
      </c>
      <c r="B892" s="2" t="str">
        <f t="shared" si="74"/>
        <v/>
      </c>
      <c r="C892" s="2" t="e">
        <f t="shared" si="75"/>
        <v>#REF!</v>
      </c>
      <c r="D892" s="330" t="s">
        <v>628</v>
      </c>
      <c r="E892"/>
      <c r="F892"/>
      <c r="G892"/>
      <c r="I892"/>
    </row>
    <row r="893" spans="1:9" outlineLevel="1">
      <c r="A893" s="2" t="str">
        <f t="shared" si="73"/>
        <v/>
      </c>
      <c r="B893" s="2" t="str">
        <f t="shared" si="74"/>
        <v/>
      </c>
      <c r="C893" s="2" t="e">
        <f t="shared" si="75"/>
        <v>#REF!</v>
      </c>
      <c r="D893" s="330" t="s">
        <v>628</v>
      </c>
      <c r="E893"/>
      <c r="F893"/>
      <c r="G893"/>
      <c r="I893"/>
    </row>
    <row r="894" spans="1:9" outlineLevel="1">
      <c r="A894" s="2" t="str">
        <f t="shared" si="73"/>
        <v/>
      </c>
      <c r="B894" s="2" t="str">
        <f t="shared" si="74"/>
        <v/>
      </c>
      <c r="C894" s="2" t="e">
        <f t="shared" si="75"/>
        <v>#REF!</v>
      </c>
      <c r="D894" s="330" t="s">
        <v>628</v>
      </c>
      <c r="E894"/>
      <c r="F894"/>
      <c r="G894"/>
      <c r="I894"/>
    </row>
    <row r="895" spans="1:9" outlineLevel="1">
      <c r="A895" s="2" t="str">
        <f t="shared" si="73"/>
        <v/>
      </c>
      <c r="B895" s="2" t="str">
        <f t="shared" si="74"/>
        <v/>
      </c>
      <c r="C895" s="2" t="e">
        <f>IF(B895="*",RIGHT(E895,10),#REF!)</f>
        <v>#REF!</v>
      </c>
      <c r="D895" s="330" t="s">
        <v>628</v>
      </c>
      <c r="E895"/>
      <c r="F895"/>
      <c r="G895"/>
      <c r="I895"/>
    </row>
    <row r="896" spans="1:9" outlineLevel="1">
      <c r="A896" s="2" t="str">
        <f t="shared" si="73"/>
        <v/>
      </c>
      <c r="B896" s="2" t="str">
        <f t="shared" si="74"/>
        <v/>
      </c>
      <c r="C896" s="2" t="e">
        <f t="shared" si="75"/>
        <v>#REF!</v>
      </c>
      <c r="D896" s="330" t="s">
        <v>628</v>
      </c>
      <c r="E896"/>
      <c r="F896"/>
      <c r="G896"/>
      <c r="I896"/>
    </row>
    <row r="897" spans="1:9" outlineLevel="1">
      <c r="A897" s="2" t="str">
        <f t="shared" si="73"/>
        <v/>
      </c>
      <c r="B897" s="2" t="str">
        <f t="shared" si="74"/>
        <v/>
      </c>
      <c r="C897" s="2" t="e">
        <f t="shared" si="75"/>
        <v>#REF!</v>
      </c>
      <c r="D897" s="330" t="s">
        <v>628</v>
      </c>
      <c r="E897"/>
      <c r="F897"/>
      <c r="G897"/>
      <c r="I897"/>
    </row>
    <row r="898" spans="1:9" outlineLevel="1">
      <c r="A898" s="2" t="str">
        <f t="shared" si="73"/>
        <v/>
      </c>
      <c r="B898" s="2" t="str">
        <f t="shared" si="74"/>
        <v/>
      </c>
      <c r="C898" s="2" t="e">
        <f t="shared" si="75"/>
        <v>#REF!</v>
      </c>
      <c r="D898" s="330" t="s">
        <v>628</v>
      </c>
      <c r="E898"/>
      <c r="F898"/>
      <c r="G898"/>
      <c r="I898"/>
    </row>
    <row r="899" spans="1:9" outlineLevel="1">
      <c r="A899" s="2" t="str">
        <f t="shared" si="73"/>
        <v/>
      </c>
      <c r="B899" s="2" t="str">
        <f t="shared" si="74"/>
        <v/>
      </c>
      <c r="C899" s="2" t="e">
        <f t="shared" si="75"/>
        <v>#REF!</v>
      </c>
      <c r="D899" s="330" t="s">
        <v>628</v>
      </c>
      <c r="E899"/>
      <c r="F899"/>
      <c r="G899"/>
      <c r="I899"/>
    </row>
    <row r="900" spans="1:9" outlineLevel="1">
      <c r="A900" s="2" t="str">
        <f t="shared" si="73"/>
        <v/>
      </c>
      <c r="B900" s="2" t="str">
        <f t="shared" si="74"/>
        <v/>
      </c>
      <c r="C900" s="2" t="e">
        <f t="shared" si="75"/>
        <v>#REF!</v>
      </c>
      <c r="D900" s="330" t="s">
        <v>628</v>
      </c>
      <c r="E900"/>
      <c r="F900"/>
      <c r="G900"/>
      <c r="I900"/>
    </row>
    <row r="901" spans="1:9" outlineLevel="1">
      <c r="A901" s="2" t="str">
        <f t="shared" si="73"/>
        <v/>
      </c>
      <c r="B901" s="2" t="str">
        <f t="shared" si="74"/>
        <v/>
      </c>
      <c r="C901" s="2" t="e">
        <f t="shared" si="75"/>
        <v>#REF!</v>
      </c>
      <c r="D901" s="330" t="s">
        <v>628</v>
      </c>
      <c r="E901"/>
      <c r="F901"/>
      <c r="G901"/>
      <c r="I901"/>
    </row>
    <row r="902" spans="1:9" outlineLevel="1">
      <c r="A902" s="2" t="str">
        <f t="shared" si="73"/>
        <v/>
      </c>
      <c r="B902" s="2" t="str">
        <f t="shared" si="74"/>
        <v/>
      </c>
      <c r="C902" s="2" t="e">
        <f t="shared" si="75"/>
        <v>#REF!</v>
      </c>
      <c r="D902" s="330" t="s">
        <v>628</v>
      </c>
      <c r="E902"/>
      <c r="F902"/>
      <c r="G902"/>
      <c r="I902"/>
    </row>
    <row r="903" spans="1:9" outlineLevel="1">
      <c r="A903" s="2" t="str">
        <f t="shared" si="73"/>
        <v/>
      </c>
      <c r="B903" s="2" t="str">
        <f t="shared" si="74"/>
        <v/>
      </c>
      <c r="C903" s="2" t="e">
        <f t="shared" si="75"/>
        <v>#REF!</v>
      </c>
      <c r="D903" s="330" t="s">
        <v>628</v>
      </c>
      <c r="E903"/>
      <c r="F903"/>
      <c r="G903"/>
      <c r="I903"/>
    </row>
    <row r="904" spans="1:9" outlineLevel="1">
      <c r="A904" s="2" t="str">
        <f t="shared" si="73"/>
        <v/>
      </c>
      <c r="B904" s="2" t="str">
        <f t="shared" si="74"/>
        <v/>
      </c>
      <c r="C904" s="2" t="e">
        <f t="shared" si="75"/>
        <v>#REF!</v>
      </c>
      <c r="D904" s="330" t="s">
        <v>628</v>
      </c>
      <c r="E904"/>
      <c r="F904"/>
      <c r="G904"/>
      <c r="I904"/>
    </row>
    <row r="905" spans="1:9" outlineLevel="1">
      <c r="A905" s="2" t="str">
        <f t="shared" si="73"/>
        <v/>
      </c>
      <c r="B905" s="2" t="str">
        <f t="shared" si="74"/>
        <v/>
      </c>
      <c r="C905" s="2" t="e">
        <f>IF(B905="*",RIGHT(E905,10),#REF!)</f>
        <v>#REF!</v>
      </c>
      <c r="D905" s="330" t="s">
        <v>628</v>
      </c>
      <c r="E905"/>
      <c r="F905"/>
      <c r="G905"/>
      <c r="I905"/>
    </row>
    <row r="906" spans="1:9" outlineLevel="1">
      <c r="A906" s="2" t="str">
        <f t="shared" si="73"/>
        <v/>
      </c>
      <c r="B906" s="2" t="str">
        <f t="shared" si="74"/>
        <v/>
      </c>
      <c r="C906" s="2" t="e">
        <f t="shared" si="75"/>
        <v>#REF!</v>
      </c>
      <c r="D906" s="330" t="s">
        <v>628</v>
      </c>
      <c r="E906"/>
      <c r="F906"/>
      <c r="G906"/>
      <c r="I906"/>
    </row>
    <row r="907" spans="1:9" outlineLevel="1">
      <c r="A907" s="2" t="str">
        <f t="shared" si="73"/>
        <v/>
      </c>
      <c r="B907" s="2" t="str">
        <f t="shared" si="74"/>
        <v/>
      </c>
      <c r="C907" s="2" t="e">
        <f t="shared" si="75"/>
        <v>#REF!</v>
      </c>
      <c r="D907" s="330" t="s">
        <v>628</v>
      </c>
      <c r="E907"/>
      <c r="F907"/>
      <c r="G907"/>
      <c r="I907"/>
    </row>
    <row r="908" spans="1:9" outlineLevel="1">
      <c r="A908" s="2" t="str">
        <f t="shared" si="73"/>
        <v/>
      </c>
      <c r="B908" s="2" t="str">
        <f t="shared" si="74"/>
        <v/>
      </c>
      <c r="C908" s="2" t="e">
        <f t="shared" si="75"/>
        <v>#REF!</v>
      </c>
      <c r="D908" s="330" t="s">
        <v>628</v>
      </c>
      <c r="E908"/>
      <c r="F908"/>
      <c r="G908"/>
      <c r="I908"/>
    </row>
    <row r="909" spans="1:9" outlineLevel="1">
      <c r="A909" s="2" t="str">
        <f t="shared" si="73"/>
        <v/>
      </c>
      <c r="B909" s="2" t="str">
        <f t="shared" si="74"/>
        <v/>
      </c>
      <c r="C909" s="2" t="e">
        <f t="shared" si="75"/>
        <v>#REF!</v>
      </c>
      <c r="D909" s="330" t="s">
        <v>628</v>
      </c>
      <c r="E909"/>
      <c r="F909"/>
      <c r="G909"/>
      <c r="I909"/>
    </row>
    <row r="910" spans="1:9" outlineLevel="1">
      <c r="A910" s="2" t="str">
        <f t="shared" si="73"/>
        <v/>
      </c>
      <c r="B910" s="2" t="str">
        <f t="shared" si="74"/>
        <v/>
      </c>
      <c r="C910" s="2" t="e">
        <f t="shared" si="75"/>
        <v>#REF!</v>
      </c>
      <c r="D910" s="330" t="s">
        <v>628</v>
      </c>
      <c r="E910"/>
      <c r="F910"/>
      <c r="G910"/>
      <c r="I910"/>
    </row>
    <row r="911" spans="1:9" outlineLevel="1">
      <c r="A911" s="2" t="str">
        <f t="shared" si="73"/>
        <v/>
      </c>
      <c r="B911" s="2" t="str">
        <f t="shared" si="74"/>
        <v/>
      </c>
      <c r="C911" s="2" t="e">
        <f t="shared" si="75"/>
        <v>#REF!</v>
      </c>
      <c r="D911" s="330" t="s">
        <v>628</v>
      </c>
      <c r="E911"/>
      <c r="F911"/>
      <c r="G911"/>
      <c r="I911"/>
    </row>
    <row r="912" spans="1:9" outlineLevel="1">
      <c r="A912" s="2" t="str">
        <f t="shared" si="73"/>
        <v/>
      </c>
      <c r="B912" s="2" t="str">
        <f t="shared" si="74"/>
        <v/>
      </c>
      <c r="C912" s="2" t="e">
        <f t="shared" si="75"/>
        <v>#REF!</v>
      </c>
      <c r="D912" s="330" t="s">
        <v>628</v>
      </c>
      <c r="E912"/>
      <c r="F912"/>
      <c r="G912"/>
      <c r="I912"/>
    </row>
    <row r="913" spans="1:9" outlineLevel="1">
      <c r="A913" s="2" t="str">
        <f t="shared" si="73"/>
        <v/>
      </c>
      <c r="B913" s="2" t="str">
        <f t="shared" si="74"/>
        <v/>
      </c>
      <c r="C913" s="2" t="e">
        <f t="shared" si="75"/>
        <v>#REF!</v>
      </c>
      <c r="D913" s="330" t="s">
        <v>628</v>
      </c>
      <c r="E913"/>
      <c r="F913"/>
      <c r="G913"/>
      <c r="I913"/>
    </row>
    <row r="914" spans="1:9" outlineLevel="1">
      <c r="A914" s="2" t="str">
        <f t="shared" si="73"/>
        <v/>
      </c>
      <c r="B914" s="2" t="str">
        <f t="shared" si="74"/>
        <v/>
      </c>
      <c r="C914" s="2" t="e">
        <f>IF(B914="*",RIGHT(E914,10),#REF!)</f>
        <v>#REF!</v>
      </c>
      <c r="D914" s="330" t="s">
        <v>628</v>
      </c>
      <c r="E914"/>
      <c r="F914"/>
      <c r="G914"/>
      <c r="I914"/>
    </row>
    <row r="915" spans="1:9" outlineLevel="1">
      <c r="A915" s="2" t="str">
        <f t="shared" si="73"/>
        <v/>
      </c>
      <c r="B915" s="2" t="str">
        <f t="shared" si="74"/>
        <v/>
      </c>
      <c r="C915" s="2" t="e">
        <f t="shared" si="75"/>
        <v>#REF!</v>
      </c>
      <c r="D915" s="330" t="s">
        <v>628</v>
      </c>
      <c r="E915"/>
      <c r="F915"/>
      <c r="G915"/>
      <c r="I915"/>
    </row>
    <row r="916" spans="1:9" outlineLevel="1">
      <c r="A916" s="2" t="str">
        <f t="shared" si="73"/>
        <v/>
      </c>
      <c r="B916" s="2" t="str">
        <f t="shared" si="74"/>
        <v/>
      </c>
      <c r="C916" s="2" t="e">
        <f t="shared" si="75"/>
        <v>#REF!</v>
      </c>
      <c r="D916" s="330" t="s">
        <v>628</v>
      </c>
      <c r="E916"/>
      <c r="F916"/>
      <c r="G916"/>
      <c r="I916"/>
    </row>
    <row r="917" spans="1:9" outlineLevel="1">
      <c r="A917" s="2" t="str">
        <f t="shared" si="73"/>
        <v/>
      </c>
      <c r="B917" s="2" t="str">
        <f t="shared" si="74"/>
        <v/>
      </c>
      <c r="C917" s="2" t="e">
        <f t="shared" si="75"/>
        <v>#REF!</v>
      </c>
      <c r="D917" s="330" t="s">
        <v>628</v>
      </c>
      <c r="E917"/>
      <c r="F917"/>
      <c r="G917"/>
      <c r="I917"/>
    </row>
    <row r="918" spans="1:9" outlineLevel="1">
      <c r="A918" s="2" t="str">
        <f t="shared" si="73"/>
        <v/>
      </c>
      <c r="B918" s="2" t="str">
        <f t="shared" si="74"/>
        <v/>
      </c>
      <c r="C918" s="2" t="e">
        <f t="shared" si="75"/>
        <v>#REF!</v>
      </c>
      <c r="D918" s="330" t="s">
        <v>628</v>
      </c>
      <c r="E918"/>
      <c r="F918"/>
      <c r="G918"/>
      <c r="I918"/>
    </row>
    <row r="919" spans="1:9" outlineLevel="1">
      <c r="A919" s="2" t="str">
        <f t="shared" si="73"/>
        <v/>
      </c>
      <c r="B919" s="2" t="str">
        <f t="shared" si="74"/>
        <v/>
      </c>
      <c r="C919" s="2" t="e">
        <f t="shared" si="75"/>
        <v>#REF!</v>
      </c>
      <c r="D919" s="330" t="s">
        <v>628</v>
      </c>
      <c r="E919"/>
      <c r="F919"/>
      <c r="G919"/>
      <c r="I919"/>
    </row>
    <row r="920" spans="1:9" outlineLevel="1">
      <c r="A920" s="2" t="str">
        <f t="shared" si="73"/>
        <v/>
      </c>
      <c r="B920" s="2" t="str">
        <f t="shared" si="74"/>
        <v/>
      </c>
      <c r="C920" s="2" t="e">
        <f t="shared" si="75"/>
        <v>#REF!</v>
      </c>
      <c r="D920" s="330" t="s">
        <v>628</v>
      </c>
      <c r="E920"/>
      <c r="F920"/>
      <c r="G920"/>
      <c r="I920"/>
    </row>
    <row r="921" spans="1:9" outlineLevel="1">
      <c r="A921" s="2" t="str">
        <f t="shared" si="73"/>
        <v/>
      </c>
      <c r="B921" s="2" t="str">
        <f t="shared" si="74"/>
        <v/>
      </c>
      <c r="C921" s="2" t="e">
        <f t="shared" si="75"/>
        <v>#REF!</v>
      </c>
      <c r="D921" s="330" t="s">
        <v>628</v>
      </c>
      <c r="E921"/>
      <c r="F921"/>
      <c r="G921"/>
      <c r="I921"/>
    </row>
    <row r="922" spans="1:9" outlineLevel="1">
      <c r="A922" s="2" t="str">
        <f t="shared" si="73"/>
        <v/>
      </c>
      <c r="B922" s="2" t="str">
        <f t="shared" si="74"/>
        <v/>
      </c>
      <c r="C922" s="2" t="e">
        <f t="shared" si="75"/>
        <v>#REF!</v>
      </c>
      <c r="D922" s="330" t="s">
        <v>628</v>
      </c>
      <c r="E922"/>
      <c r="F922"/>
      <c r="G922"/>
      <c r="I922"/>
    </row>
    <row r="923" spans="1:9" outlineLevel="1">
      <c r="A923" s="2" t="str">
        <f t="shared" si="73"/>
        <v/>
      </c>
      <c r="B923" s="2" t="str">
        <f t="shared" si="74"/>
        <v/>
      </c>
      <c r="C923" s="2" t="e">
        <f t="shared" si="75"/>
        <v>#REF!</v>
      </c>
      <c r="D923" s="330" t="s">
        <v>628</v>
      </c>
      <c r="E923"/>
      <c r="F923"/>
      <c r="G923"/>
      <c r="I923"/>
    </row>
    <row r="924" spans="1:9" outlineLevel="1">
      <c r="A924" s="2" t="str">
        <f t="shared" si="73"/>
        <v/>
      </c>
      <c r="B924" s="2" t="str">
        <f t="shared" si="74"/>
        <v/>
      </c>
      <c r="C924" s="2" t="e">
        <f t="shared" si="75"/>
        <v>#REF!</v>
      </c>
      <c r="D924" s="330" t="s">
        <v>628</v>
      </c>
      <c r="E924"/>
      <c r="F924"/>
      <c r="G924"/>
      <c r="I924"/>
    </row>
    <row r="925" spans="1:9" outlineLevel="1">
      <c r="A925" s="2" t="str">
        <f t="shared" ref="A925:A943" si="76">IF(B925="*",ROW(),"")</f>
        <v/>
      </c>
      <c r="B925" s="2" t="str">
        <f t="shared" ref="B925:B943" si="77">LEFT(E925,1)</f>
        <v/>
      </c>
      <c r="C925" s="2" t="e">
        <f t="shared" ref="C925:C943" si="78">IF(B925="*",RIGHT(E925,10),C924)</f>
        <v>#REF!</v>
      </c>
      <c r="D925" s="330" t="s">
        <v>628</v>
      </c>
      <c r="E925"/>
      <c r="F925"/>
      <c r="G925"/>
      <c r="I925"/>
    </row>
    <row r="926" spans="1:9" outlineLevel="1">
      <c r="A926" s="2" t="str">
        <f t="shared" si="76"/>
        <v/>
      </c>
      <c r="B926" s="2" t="str">
        <f t="shared" si="77"/>
        <v/>
      </c>
      <c r="C926" s="2" t="e">
        <f t="shared" si="78"/>
        <v>#REF!</v>
      </c>
      <c r="D926" s="330" t="s">
        <v>628</v>
      </c>
      <c r="E926"/>
      <c r="F926"/>
      <c r="G926"/>
      <c r="I926"/>
    </row>
    <row r="927" spans="1:9" outlineLevel="1">
      <c r="A927" s="2" t="str">
        <f t="shared" si="76"/>
        <v/>
      </c>
      <c r="B927" s="2" t="str">
        <f t="shared" si="77"/>
        <v/>
      </c>
      <c r="C927" s="2" t="e">
        <f t="shared" si="78"/>
        <v>#REF!</v>
      </c>
      <c r="D927" s="330" t="s">
        <v>628</v>
      </c>
      <c r="E927"/>
      <c r="F927"/>
      <c r="G927"/>
      <c r="I927"/>
    </row>
    <row r="928" spans="1:9" outlineLevel="1">
      <c r="A928" s="2" t="str">
        <f t="shared" si="76"/>
        <v/>
      </c>
      <c r="B928" s="2" t="str">
        <f t="shared" si="77"/>
        <v/>
      </c>
      <c r="C928" s="2" t="e">
        <f t="shared" si="78"/>
        <v>#REF!</v>
      </c>
      <c r="D928" s="330" t="s">
        <v>628</v>
      </c>
      <c r="E928"/>
      <c r="F928"/>
      <c r="G928"/>
      <c r="I928"/>
    </row>
    <row r="929" spans="1:9" outlineLevel="1">
      <c r="A929" s="2" t="str">
        <f t="shared" si="76"/>
        <v/>
      </c>
      <c r="B929" s="2" t="str">
        <f t="shared" si="77"/>
        <v/>
      </c>
      <c r="C929" s="2" t="e">
        <f t="shared" si="78"/>
        <v>#REF!</v>
      </c>
      <c r="D929" s="330" t="s">
        <v>628</v>
      </c>
      <c r="E929"/>
      <c r="F929"/>
      <c r="G929"/>
      <c r="I929"/>
    </row>
    <row r="930" spans="1:9" outlineLevel="1">
      <c r="A930" s="2" t="str">
        <f t="shared" si="76"/>
        <v/>
      </c>
      <c r="B930" s="2" t="str">
        <f t="shared" si="77"/>
        <v/>
      </c>
      <c r="C930" s="2" t="e">
        <f t="shared" si="78"/>
        <v>#REF!</v>
      </c>
      <c r="D930" s="330" t="s">
        <v>628</v>
      </c>
      <c r="E930"/>
      <c r="F930"/>
      <c r="G930"/>
      <c r="I930"/>
    </row>
    <row r="931" spans="1:9" outlineLevel="1">
      <c r="A931" s="2" t="str">
        <f t="shared" si="76"/>
        <v/>
      </c>
      <c r="B931" s="2" t="str">
        <f t="shared" si="77"/>
        <v/>
      </c>
      <c r="C931" s="2" t="e">
        <f t="shared" si="78"/>
        <v>#REF!</v>
      </c>
      <c r="D931" s="330" t="s">
        <v>628</v>
      </c>
      <c r="E931"/>
      <c r="F931"/>
      <c r="G931"/>
      <c r="I931"/>
    </row>
    <row r="932" spans="1:9" outlineLevel="1">
      <c r="A932" s="2" t="str">
        <f t="shared" si="76"/>
        <v/>
      </c>
      <c r="B932" s="2" t="str">
        <f t="shared" si="77"/>
        <v/>
      </c>
      <c r="C932" s="2" t="e">
        <f t="shared" si="78"/>
        <v>#REF!</v>
      </c>
      <c r="D932" s="330" t="s">
        <v>628</v>
      </c>
      <c r="E932"/>
      <c r="F932"/>
      <c r="G932"/>
      <c r="I932"/>
    </row>
    <row r="933" spans="1:9" outlineLevel="1">
      <c r="A933" s="2" t="str">
        <f t="shared" si="76"/>
        <v/>
      </c>
      <c r="B933" s="2" t="str">
        <f t="shared" si="77"/>
        <v/>
      </c>
      <c r="C933" s="2" t="e">
        <f t="shared" si="78"/>
        <v>#REF!</v>
      </c>
      <c r="D933" s="330" t="s">
        <v>628</v>
      </c>
      <c r="E933"/>
      <c r="F933"/>
      <c r="G933"/>
      <c r="I933"/>
    </row>
    <row r="934" spans="1:9" outlineLevel="1">
      <c r="A934" s="2" t="str">
        <f t="shared" si="76"/>
        <v/>
      </c>
      <c r="B934" s="2" t="str">
        <f t="shared" si="77"/>
        <v/>
      </c>
      <c r="C934" s="2" t="e">
        <f t="shared" si="78"/>
        <v>#REF!</v>
      </c>
      <c r="D934" s="330" t="s">
        <v>628</v>
      </c>
      <c r="E934"/>
      <c r="F934"/>
      <c r="G934"/>
      <c r="I934"/>
    </row>
    <row r="935" spans="1:9" outlineLevel="1">
      <c r="A935" s="2" t="str">
        <f t="shared" si="76"/>
        <v/>
      </c>
      <c r="B935" s="2" t="str">
        <f t="shared" si="77"/>
        <v/>
      </c>
      <c r="C935" s="2" t="e">
        <f t="shared" si="78"/>
        <v>#REF!</v>
      </c>
      <c r="D935" s="330" t="s">
        <v>628</v>
      </c>
      <c r="E935"/>
      <c r="F935"/>
      <c r="G935"/>
      <c r="I935"/>
    </row>
    <row r="936" spans="1:9" outlineLevel="1">
      <c r="A936" s="2" t="str">
        <f t="shared" si="76"/>
        <v/>
      </c>
      <c r="B936" s="2" t="str">
        <f t="shared" si="77"/>
        <v/>
      </c>
      <c r="C936" s="2" t="e">
        <f t="shared" si="78"/>
        <v>#REF!</v>
      </c>
      <c r="D936" s="330" t="s">
        <v>628</v>
      </c>
      <c r="E936"/>
      <c r="F936"/>
      <c r="G936"/>
      <c r="I936"/>
    </row>
    <row r="937" spans="1:9" outlineLevel="1">
      <c r="A937" s="2" t="str">
        <f t="shared" si="76"/>
        <v/>
      </c>
      <c r="B937" s="2" t="str">
        <f t="shared" si="77"/>
        <v/>
      </c>
      <c r="C937" s="2" t="e">
        <f t="shared" si="78"/>
        <v>#REF!</v>
      </c>
      <c r="D937" s="330" t="s">
        <v>628</v>
      </c>
      <c r="E937"/>
      <c r="F937"/>
      <c r="G937"/>
      <c r="I937"/>
    </row>
    <row r="938" spans="1:9" outlineLevel="1">
      <c r="A938" s="2" t="str">
        <f t="shared" si="76"/>
        <v/>
      </c>
      <c r="B938" s="2" t="str">
        <f t="shared" si="77"/>
        <v/>
      </c>
      <c r="C938" s="2" t="e">
        <f t="shared" si="78"/>
        <v>#REF!</v>
      </c>
      <c r="D938" s="330" t="s">
        <v>628</v>
      </c>
      <c r="E938"/>
      <c r="F938"/>
      <c r="G938"/>
      <c r="I938"/>
    </row>
    <row r="939" spans="1:9" outlineLevel="1">
      <c r="A939" s="2" t="str">
        <f t="shared" si="76"/>
        <v/>
      </c>
      <c r="B939" s="2" t="str">
        <f t="shared" si="77"/>
        <v/>
      </c>
      <c r="C939" s="2" t="e">
        <f t="shared" si="78"/>
        <v>#REF!</v>
      </c>
      <c r="D939" s="330" t="s">
        <v>628</v>
      </c>
      <c r="E939"/>
      <c r="F939"/>
      <c r="G939"/>
      <c r="I939"/>
    </row>
    <row r="940" spans="1:9" outlineLevel="1">
      <c r="A940" s="2" t="str">
        <f t="shared" si="76"/>
        <v/>
      </c>
      <c r="B940" s="2" t="str">
        <f t="shared" si="77"/>
        <v/>
      </c>
      <c r="C940" s="2" t="e">
        <f t="shared" si="78"/>
        <v>#REF!</v>
      </c>
      <c r="D940" s="330" t="s">
        <v>628</v>
      </c>
      <c r="E940"/>
      <c r="F940"/>
      <c r="G940"/>
      <c r="I940"/>
    </row>
    <row r="941" spans="1:9" outlineLevel="1">
      <c r="A941" s="2" t="str">
        <f t="shared" si="76"/>
        <v/>
      </c>
      <c r="B941" s="2" t="str">
        <f t="shared" si="77"/>
        <v/>
      </c>
      <c r="C941" s="2" t="e">
        <f t="shared" si="78"/>
        <v>#REF!</v>
      </c>
      <c r="D941" s="330" t="s">
        <v>628</v>
      </c>
      <c r="E941"/>
      <c r="F941"/>
      <c r="G941"/>
      <c r="I941"/>
    </row>
    <row r="942" spans="1:9" outlineLevel="1">
      <c r="A942" s="2" t="str">
        <f t="shared" si="76"/>
        <v/>
      </c>
      <c r="B942" s="2" t="str">
        <f t="shared" si="77"/>
        <v/>
      </c>
      <c r="C942" s="2" t="e">
        <f t="shared" si="78"/>
        <v>#REF!</v>
      </c>
      <c r="D942" s="330" t="s">
        <v>628</v>
      </c>
      <c r="E942"/>
      <c r="F942"/>
      <c r="G942"/>
      <c r="I942"/>
    </row>
    <row r="943" spans="1:9" outlineLevel="1">
      <c r="A943" s="2" t="str">
        <f t="shared" si="76"/>
        <v/>
      </c>
      <c r="B943" s="2" t="str">
        <f t="shared" si="77"/>
        <v/>
      </c>
      <c r="C943" s="2" t="e">
        <f t="shared" si="78"/>
        <v>#REF!</v>
      </c>
      <c r="D943" s="330" t="s">
        <v>628</v>
      </c>
      <c r="E943"/>
      <c r="F943"/>
      <c r="G943"/>
      <c r="I943"/>
    </row>
    <row r="944" spans="1:9">
      <c r="A944" s="2" t="str">
        <f t="shared" ref="A944:A987" si="79">IF(B944="*",ROW(),"")</f>
        <v/>
      </c>
      <c r="B944" s="2" t="str">
        <f t="shared" ref="B944:B987" si="80">LEFT(E944,1)</f>
        <v/>
      </c>
      <c r="C944" s="2" t="e">
        <f t="shared" ref="C944:C987" si="81">IF(B944="*",RIGHT(E944,10),C943)</f>
        <v>#REF!</v>
      </c>
      <c r="D944" s="330" t="s">
        <v>628</v>
      </c>
      <c r="E944"/>
      <c r="F944"/>
      <c r="G944"/>
      <c r="I944"/>
    </row>
    <row r="945" spans="1:9">
      <c r="A945" s="2" t="str">
        <f t="shared" si="79"/>
        <v/>
      </c>
      <c r="B945" s="2" t="str">
        <f t="shared" si="80"/>
        <v/>
      </c>
      <c r="C945" s="2" t="e">
        <f t="shared" si="81"/>
        <v>#REF!</v>
      </c>
      <c r="D945" s="330" t="s">
        <v>628</v>
      </c>
      <c r="E945"/>
      <c r="F945"/>
      <c r="G945"/>
      <c r="I945"/>
    </row>
    <row r="946" spans="1:9">
      <c r="A946" s="2" t="str">
        <f t="shared" si="79"/>
        <v/>
      </c>
      <c r="B946" s="2" t="str">
        <f t="shared" si="80"/>
        <v/>
      </c>
      <c r="C946" s="2" t="e">
        <f t="shared" si="81"/>
        <v>#REF!</v>
      </c>
      <c r="D946" s="330" t="s">
        <v>628</v>
      </c>
      <c r="E946"/>
      <c r="F946"/>
      <c r="G946"/>
      <c r="I946"/>
    </row>
    <row r="947" spans="1:9">
      <c r="A947" s="2" t="str">
        <f t="shared" si="79"/>
        <v/>
      </c>
      <c r="B947" s="2" t="str">
        <f t="shared" si="80"/>
        <v/>
      </c>
      <c r="C947" s="2" t="e">
        <f t="shared" si="81"/>
        <v>#REF!</v>
      </c>
      <c r="D947" s="330" t="s">
        <v>628</v>
      </c>
      <c r="E947"/>
      <c r="F947"/>
      <c r="G947"/>
      <c r="I947"/>
    </row>
    <row r="948" spans="1:9">
      <c r="A948" s="2" t="str">
        <f t="shared" si="79"/>
        <v/>
      </c>
      <c r="B948" s="2" t="str">
        <f t="shared" si="80"/>
        <v/>
      </c>
      <c r="C948" s="2" t="e">
        <f t="shared" si="81"/>
        <v>#REF!</v>
      </c>
      <c r="D948" s="330" t="s">
        <v>628</v>
      </c>
      <c r="E948"/>
      <c r="F948"/>
      <c r="G948"/>
      <c r="I948"/>
    </row>
    <row r="949" spans="1:9">
      <c r="A949" s="2" t="str">
        <f t="shared" si="79"/>
        <v/>
      </c>
      <c r="B949" s="2" t="str">
        <f t="shared" si="80"/>
        <v/>
      </c>
      <c r="C949" s="2" t="e">
        <f t="shared" si="81"/>
        <v>#REF!</v>
      </c>
      <c r="D949" s="330" t="s">
        <v>628</v>
      </c>
      <c r="E949"/>
      <c r="F949"/>
      <c r="G949"/>
      <c r="I949"/>
    </row>
    <row r="950" spans="1:9">
      <c r="A950" s="2" t="str">
        <f t="shared" si="79"/>
        <v/>
      </c>
      <c r="B950" s="2" t="str">
        <f t="shared" si="80"/>
        <v/>
      </c>
      <c r="C950" s="2" t="e">
        <f t="shared" si="81"/>
        <v>#REF!</v>
      </c>
      <c r="D950" s="330" t="s">
        <v>628</v>
      </c>
      <c r="E950"/>
      <c r="F950"/>
      <c r="G950"/>
      <c r="I950"/>
    </row>
    <row r="951" spans="1:9">
      <c r="A951" s="2" t="str">
        <f t="shared" si="79"/>
        <v/>
      </c>
      <c r="B951" s="2" t="str">
        <f t="shared" si="80"/>
        <v/>
      </c>
      <c r="C951" s="2" t="e">
        <f t="shared" si="81"/>
        <v>#REF!</v>
      </c>
      <c r="D951" s="330" t="s">
        <v>628</v>
      </c>
      <c r="E951"/>
      <c r="F951"/>
      <c r="G951"/>
      <c r="I951"/>
    </row>
    <row r="952" spans="1:9">
      <c r="A952" s="2" t="str">
        <f t="shared" si="79"/>
        <v/>
      </c>
      <c r="B952" s="2" t="str">
        <f t="shared" si="80"/>
        <v/>
      </c>
      <c r="C952" s="2" t="e">
        <f>IF(B952="*",RIGHT(E952,10),#REF!)</f>
        <v>#REF!</v>
      </c>
      <c r="D952" s="330" t="s">
        <v>628</v>
      </c>
      <c r="E952"/>
      <c r="F952"/>
      <c r="G952"/>
      <c r="I952"/>
    </row>
    <row r="953" spans="1:9">
      <c r="A953" s="2" t="str">
        <f t="shared" si="79"/>
        <v/>
      </c>
      <c r="B953" s="2" t="str">
        <f t="shared" si="80"/>
        <v/>
      </c>
      <c r="C953" s="2" t="e">
        <f t="shared" si="81"/>
        <v>#REF!</v>
      </c>
      <c r="D953" s="330" t="s">
        <v>628</v>
      </c>
      <c r="E953"/>
      <c r="F953"/>
      <c r="G953"/>
      <c r="I953"/>
    </row>
    <row r="954" spans="1:9">
      <c r="A954" s="2" t="str">
        <f t="shared" si="79"/>
        <v/>
      </c>
      <c r="B954" s="2" t="str">
        <f t="shared" si="80"/>
        <v/>
      </c>
      <c r="C954" s="2" t="e">
        <f t="shared" si="81"/>
        <v>#REF!</v>
      </c>
      <c r="D954" s="330" t="s">
        <v>628</v>
      </c>
      <c r="E954"/>
      <c r="F954"/>
      <c r="G954"/>
      <c r="I954"/>
    </row>
    <row r="955" spans="1:9">
      <c r="A955" s="2" t="str">
        <f t="shared" si="79"/>
        <v/>
      </c>
      <c r="B955" s="2" t="str">
        <f t="shared" si="80"/>
        <v/>
      </c>
      <c r="C955" s="2" t="e">
        <f t="shared" si="81"/>
        <v>#REF!</v>
      </c>
      <c r="D955" s="330" t="s">
        <v>628</v>
      </c>
      <c r="E955"/>
      <c r="F955"/>
      <c r="G955"/>
      <c r="I955"/>
    </row>
    <row r="956" spans="1:9">
      <c r="A956" s="2" t="str">
        <f t="shared" si="79"/>
        <v/>
      </c>
      <c r="B956" s="2" t="str">
        <f t="shared" si="80"/>
        <v/>
      </c>
      <c r="C956" s="2" t="e">
        <f t="shared" si="81"/>
        <v>#REF!</v>
      </c>
      <c r="D956" s="330" t="s">
        <v>628</v>
      </c>
      <c r="E956"/>
      <c r="F956"/>
      <c r="G956"/>
      <c r="I956"/>
    </row>
    <row r="957" spans="1:9">
      <c r="A957" s="2" t="str">
        <f t="shared" si="79"/>
        <v/>
      </c>
      <c r="B957" s="2" t="str">
        <f t="shared" si="80"/>
        <v/>
      </c>
      <c r="C957" s="2" t="e">
        <f t="shared" si="81"/>
        <v>#REF!</v>
      </c>
      <c r="D957" s="330" t="s">
        <v>628</v>
      </c>
      <c r="E957"/>
      <c r="F957"/>
      <c r="G957"/>
      <c r="I957"/>
    </row>
    <row r="958" spans="1:9">
      <c r="A958" s="2" t="str">
        <f t="shared" si="79"/>
        <v/>
      </c>
      <c r="B958" s="2" t="str">
        <f t="shared" si="80"/>
        <v/>
      </c>
      <c r="C958" s="2" t="e">
        <f t="shared" si="81"/>
        <v>#REF!</v>
      </c>
      <c r="D958" s="330" t="s">
        <v>628</v>
      </c>
      <c r="E958"/>
      <c r="F958"/>
      <c r="G958"/>
      <c r="I958"/>
    </row>
    <row r="959" spans="1:9">
      <c r="A959" s="2" t="str">
        <f t="shared" si="79"/>
        <v/>
      </c>
      <c r="B959" s="2" t="str">
        <f t="shared" si="80"/>
        <v/>
      </c>
      <c r="C959" s="2" t="e">
        <f t="shared" si="81"/>
        <v>#REF!</v>
      </c>
      <c r="D959" s="330" t="s">
        <v>628</v>
      </c>
      <c r="E959"/>
      <c r="F959"/>
      <c r="G959"/>
      <c r="I959"/>
    </row>
    <row r="960" spans="1:9">
      <c r="A960" s="2" t="str">
        <f t="shared" si="79"/>
        <v/>
      </c>
      <c r="B960" s="2" t="str">
        <f t="shared" si="80"/>
        <v/>
      </c>
      <c r="C960" s="2" t="e">
        <f t="shared" si="81"/>
        <v>#REF!</v>
      </c>
      <c r="D960" s="330" t="s">
        <v>628</v>
      </c>
      <c r="E960"/>
      <c r="F960"/>
      <c r="G960"/>
      <c r="I960"/>
    </row>
    <row r="961" spans="1:9">
      <c r="A961" s="2" t="str">
        <f t="shared" si="79"/>
        <v/>
      </c>
      <c r="B961" s="2" t="str">
        <f t="shared" si="80"/>
        <v/>
      </c>
      <c r="C961" s="2" t="e">
        <f t="shared" si="81"/>
        <v>#REF!</v>
      </c>
      <c r="D961" s="330" t="s">
        <v>628</v>
      </c>
      <c r="E961"/>
      <c r="F961"/>
      <c r="G961"/>
      <c r="I961"/>
    </row>
    <row r="962" spans="1:9">
      <c r="A962" s="2" t="str">
        <f t="shared" si="79"/>
        <v/>
      </c>
      <c r="B962" s="2" t="str">
        <f t="shared" si="80"/>
        <v/>
      </c>
      <c r="C962" s="2" t="e">
        <f t="shared" si="81"/>
        <v>#REF!</v>
      </c>
      <c r="D962" s="330" t="s">
        <v>628</v>
      </c>
      <c r="E962"/>
      <c r="F962"/>
      <c r="G962"/>
      <c r="I962"/>
    </row>
    <row r="963" spans="1:9">
      <c r="A963" s="2" t="str">
        <f t="shared" si="79"/>
        <v/>
      </c>
      <c r="B963" s="2" t="str">
        <f t="shared" si="80"/>
        <v/>
      </c>
      <c r="C963" s="2" t="e">
        <f t="shared" si="81"/>
        <v>#REF!</v>
      </c>
      <c r="D963" s="330" t="s">
        <v>628</v>
      </c>
      <c r="E963"/>
      <c r="F963"/>
      <c r="G963"/>
      <c r="I963"/>
    </row>
    <row r="964" spans="1:9">
      <c r="A964" s="2" t="str">
        <f t="shared" si="79"/>
        <v/>
      </c>
      <c r="B964" s="2" t="str">
        <f t="shared" si="80"/>
        <v/>
      </c>
      <c r="C964" s="2" t="e">
        <f t="shared" si="81"/>
        <v>#REF!</v>
      </c>
      <c r="D964" s="330" t="s">
        <v>628</v>
      </c>
      <c r="E964"/>
      <c r="F964"/>
      <c r="G964"/>
      <c r="I964"/>
    </row>
    <row r="965" spans="1:9">
      <c r="A965" s="2" t="str">
        <f t="shared" si="79"/>
        <v/>
      </c>
      <c r="B965" s="2" t="str">
        <f t="shared" si="80"/>
        <v/>
      </c>
      <c r="C965" s="2" t="e">
        <f t="shared" si="81"/>
        <v>#REF!</v>
      </c>
      <c r="D965" s="330" t="s">
        <v>628</v>
      </c>
      <c r="E965"/>
      <c r="F965"/>
      <c r="G965"/>
      <c r="I965"/>
    </row>
    <row r="966" spans="1:9">
      <c r="A966" s="2" t="str">
        <f t="shared" si="79"/>
        <v/>
      </c>
      <c r="B966" s="2" t="str">
        <f t="shared" si="80"/>
        <v/>
      </c>
      <c r="C966" s="2" t="e">
        <f t="shared" si="81"/>
        <v>#REF!</v>
      </c>
      <c r="D966" s="330" t="s">
        <v>628</v>
      </c>
      <c r="E966"/>
      <c r="F966"/>
      <c r="G966"/>
      <c r="I966"/>
    </row>
    <row r="967" spans="1:9">
      <c r="A967" s="2" t="str">
        <f t="shared" si="79"/>
        <v/>
      </c>
      <c r="B967" s="2" t="str">
        <f t="shared" si="80"/>
        <v/>
      </c>
      <c r="C967" s="2" t="e">
        <f t="shared" si="81"/>
        <v>#REF!</v>
      </c>
      <c r="D967" s="330" t="s">
        <v>628</v>
      </c>
      <c r="E967"/>
      <c r="F967"/>
      <c r="G967"/>
      <c r="I967"/>
    </row>
    <row r="968" spans="1:9">
      <c r="A968" s="2" t="str">
        <f t="shared" si="79"/>
        <v/>
      </c>
      <c r="B968" s="2" t="str">
        <f t="shared" si="80"/>
        <v/>
      </c>
      <c r="C968" s="2" t="e">
        <f t="shared" si="81"/>
        <v>#REF!</v>
      </c>
      <c r="D968" s="330" t="s">
        <v>628</v>
      </c>
      <c r="E968"/>
      <c r="F968"/>
      <c r="G968"/>
      <c r="I968"/>
    </row>
    <row r="969" spans="1:9">
      <c r="A969" s="2" t="str">
        <f t="shared" si="79"/>
        <v/>
      </c>
      <c r="B969" s="2" t="str">
        <f t="shared" si="80"/>
        <v/>
      </c>
      <c r="C969" s="2" t="e">
        <f t="shared" si="81"/>
        <v>#REF!</v>
      </c>
      <c r="D969" s="330" t="s">
        <v>628</v>
      </c>
      <c r="E969"/>
      <c r="F969"/>
      <c r="G969"/>
      <c r="I969"/>
    </row>
    <row r="970" spans="1:9">
      <c r="A970" s="2" t="str">
        <f t="shared" si="79"/>
        <v/>
      </c>
      <c r="B970" s="2" t="str">
        <f t="shared" si="80"/>
        <v/>
      </c>
      <c r="C970" s="2" t="e">
        <f t="shared" si="81"/>
        <v>#REF!</v>
      </c>
      <c r="D970" s="330" t="s">
        <v>628</v>
      </c>
      <c r="E970"/>
      <c r="F970"/>
      <c r="G970"/>
      <c r="I970"/>
    </row>
    <row r="971" spans="1:9">
      <c r="A971" s="2" t="str">
        <f t="shared" si="79"/>
        <v/>
      </c>
      <c r="B971" s="2" t="str">
        <f t="shared" si="80"/>
        <v/>
      </c>
      <c r="C971" s="2" t="e">
        <f t="shared" si="81"/>
        <v>#REF!</v>
      </c>
      <c r="D971" s="330" t="s">
        <v>628</v>
      </c>
      <c r="E971"/>
      <c r="F971"/>
      <c r="G971"/>
      <c r="I971"/>
    </row>
    <row r="972" spans="1:9">
      <c r="A972" s="2" t="str">
        <f t="shared" si="79"/>
        <v/>
      </c>
      <c r="B972" s="2" t="str">
        <f t="shared" si="80"/>
        <v/>
      </c>
      <c r="C972" s="2" t="e">
        <f t="shared" si="81"/>
        <v>#REF!</v>
      </c>
      <c r="D972" s="330" t="s">
        <v>628</v>
      </c>
      <c r="E972"/>
      <c r="F972"/>
      <c r="G972"/>
      <c r="I972"/>
    </row>
    <row r="973" spans="1:9">
      <c r="A973" s="2" t="str">
        <f t="shared" si="79"/>
        <v/>
      </c>
      <c r="B973" s="2" t="str">
        <f t="shared" si="80"/>
        <v/>
      </c>
      <c r="C973" s="2" t="e">
        <f t="shared" si="81"/>
        <v>#REF!</v>
      </c>
      <c r="D973" s="330" t="s">
        <v>628</v>
      </c>
      <c r="E973"/>
      <c r="F973"/>
      <c r="G973"/>
      <c r="I973"/>
    </row>
    <row r="974" spans="1:9">
      <c r="A974" s="2" t="str">
        <f t="shared" si="79"/>
        <v/>
      </c>
      <c r="B974" s="2" t="str">
        <f t="shared" si="80"/>
        <v/>
      </c>
      <c r="C974" s="2" t="e">
        <f t="shared" si="81"/>
        <v>#REF!</v>
      </c>
      <c r="D974" s="330" t="s">
        <v>628</v>
      </c>
      <c r="E974"/>
      <c r="F974"/>
      <c r="G974"/>
      <c r="I974"/>
    </row>
    <row r="975" spans="1:9">
      <c r="A975" s="2" t="str">
        <f t="shared" si="79"/>
        <v/>
      </c>
      <c r="B975" s="2" t="str">
        <f t="shared" si="80"/>
        <v/>
      </c>
      <c r="C975" s="2" t="e">
        <f t="shared" si="81"/>
        <v>#REF!</v>
      </c>
      <c r="D975" s="330" t="s">
        <v>628</v>
      </c>
      <c r="E975"/>
      <c r="F975"/>
      <c r="G975"/>
      <c r="I975"/>
    </row>
    <row r="976" spans="1:9">
      <c r="A976" s="2" t="str">
        <f t="shared" si="79"/>
        <v/>
      </c>
      <c r="B976" s="2" t="str">
        <f t="shared" si="80"/>
        <v/>
      </c>
      <c r="C976" s="2" t="e">
        <f t="shared" si="81"/>
        <v>#REF!</v>
      </c>
      <c r="D976" s="330" t="s">
        <v>628</v>
      </c>
      <c r="E976"/>
      <c r="F976"/>
      <c r="G976"/>
      <c r="I976"/>
    </row>
    <row r="977" spans="1:14">
      <c r="A977" s="2" t="str">
        <f t="shared" si="79"/>
        <v/>
      </c>
      <c r="B977" s="2" t="str">
        <f t="shared" si="80"/>
        <v/>
      </c>
      <c r="C977" s="2" t="e">
        <f t="shared" si="81"/>
        <v>#REF!</v>
      </c>
      <c r="D977" s="330" t="s">
        <v>628</v>
      </c>
      <c r="E977"/>
      <c r="F977"/>
      <c r="G977"/>
      <c r="I977"/>
    </row>
    <row r="978" spans="1:14">
      <c r="A978" s="2" t="str">
        <f t="shared" si="79"/>
        <v/>
      </c>
      <c r="B978" s="2" t="str">
        <f t="shared" si="80"/>
        <v/>
      </c>
      <c r="C978" s="2" t="e">
        <f t="shared" si="81"/>
        <v>#REF!</v>
      </c>
      <c r="D978" s="330" t="s">
        <v>628</v>
      </c>
      <c r="E978"/>
      <c r="F978"/>
      <c r="G978"/>
      <c r="I978"/>
    </row>
    <row r="979" spans="1:14">
      <c r="A979" s="2" t="str">
        <f t="shared" si="79"/>
        <v/>
      </c>
      <c r="B979" s="2" t="str">
        <f t="shared" si="80"/>
        <v/>
      </c>
      <c r="C979" s="2" t="e">
        <f t="shared" si="81"/>
        <v>#REF!</v>
      </c>
      <c r="D979" s="330" t="s">
        <v>628</v>
      </c>
      <c r="E979"/>
      <c r="F979"/>
      <c r="G979"/>
      <c r="I979"/>
    </row>
    <row r="980" spans="1:14">
      <c r="A980" s="2" t="str">
        <f t="shared" si="79"/>
        <v/>
      </c>
      <c r="B980" s="2" t="str">
        <f t="shared" si="80"/>
        <v/>
      </c>
      <c r="C980" s="2" t="e">
        <f t="shared" si="81"/>
        <v>#REF!</v>
      </c>
      <c r="D980" s="330" t="s">
        <v>628</v>
      </c>
      <c r="E980"/>
      <c r="F980"/>
      <c r="G980"/>
      <c r="I980"/>
    </row>
    <row r="981" spans="1:14">
      <c r="A981" s="2" t="str">
        <f t="shared" si="79"/>
        <v/>
      </c>
      <c r="B981" s="2" t="str">
        <f t="shared" si="80"/>
        <v/>
      </c>
      <c r="C981" s="2" t="e">
        <f>IF(B981="*",RIGHT(E981,10),#REF!)</f>
        <v>#REF!</v>
      </c>
      <c r="D981" s="330" t="s">
        <v>628</v>
      </c>
      <c r="E981"/>
      <c r="F981"/>
      <c r="G981"/>
      <c r="I981"/>
    </row>
    <row r="982" spans="1:14">
      <c r="A982" s="2" t="str">
        <f t="shared" si="79"/>
        <v/>
      </c>
      <c r="B982" s="2" t="str">
        <f t="shared" si="80"/>
        <v/>
      </c>
      <c r="C982" s="2" t="e">
        <f t="shared" si="81"/>
        <v>#REF!</v>
      </c>
      <c r="D982" s="330" t="s">
        <v>628</v>
      </c>
      <c r="E982"/>
      <c r="F982"/>
      <c r="G982"/>
      <c r="I982"/>
    </row>
    <row r="983" spans="1:14">
      <c r="A983" s="2" t="str">
        <f t="shared" si="79"/>
        <v/>
      </c>
      <c r="B983" s="2" t="str">
        <f t="shared" si="80"/>
        <v/>
      </c>
      <c r="C983" s="2" t="e">
        <f t="shared" si="81"/>
        <v>#REF!</v>
      </c>
      <c r="D983" s="330" t="s">
        <v>628</v>
      </c>
      <c r="E983"/>
      <c r="F983"/>
      <c r="G983"/>
      <c r="I983"/>
    </row>
    <row r="984" spans="1:14">
      <c r="A984" s="2" t="str">
        <f t="shared" si="79"/>
        <v/>
      </c>
      <c r="B984" s="2" t="str">
        <f t="shared" si="80"/>
        <v/>
      </c>
      <c r="C984" s="2" t="e">
        <f t="shared" si="81"/>
        <v>#REF!</v>
      </c>
      <c r="D984" s="330" t="s">
        <v>628</v>
      </c>
      <c r="E984"/>
      <c r="F984"/>
      <c r="G984"/>
      <c r="I984"/>
    </row>
    <row r="985" spans="1:14">
      <c r="A985" s="2" t="str">
        <f t="shared" si="79"/>
        <v/>
      </c>
      <c r="B985" s="2" t="str">
        <f t="shared" si="80"/>
        <v/>
      </c>
      <c r="C985" s="2" t="e">
        <f t="shared" si="81"/>
        <v>#REF!</v>
      </c>
      <c r="D985" s="330" t="s">
        <v>628</v>
      </c>
      <c r="E985"/>
      <c r="F985"/>
      <c r="G985"/>
      <c r="I985"/>
    </row>
    <row r="986" spans="1:14">
      <c r="A986" s="2" t="str">
        <f t="shared" si="79"/>
        <v/>
      </c>
      <c r="B986" s="2" t="str">
        <f t="shared" si="80"/>
        <v/>
      </c>
      <c r="C986" s="2" t="e">
        <f t="shared" si="81"/>
        <v>#REF!</v>
      </c>
      <c r="D986" s="330" t="s">
        <v>628</v>
      </c>
      <c r="E986"/>
      <c r="F986"/>
      <c r="G986"/>
      <c r="I986"/>
    </row>
    <row r="987" spans="1:14">
      <c r="A987" s="2" t="str">
        <f t="shared" si="79"/>
        <v/>
      </c>
      <c r="B987" s="2" t="str">
        <f t="shared" si="80"/>
        <v/>
      </c>
      <c r="C987" s="2" t="e">
        <f t="shared" si="81"/>
        <v>#REF!</v>
      </c>
      <c r="D987" s="330" t="s">
        <v>628</v>
      </c>
      <c r="E987"/>
      <c r="F987"/>
      <c r="G987"/>
      <c r="I987"/>
    </row>
    <row r="988" spans="1:14">
      <c r="A988" s="2" t="str">
        <f t="shared" ref="A988:A1051" si="82">IF(B988="*",ROW(),"")</f>
        <v/>
      </c>
      <c r="B988" s="2" t="str">
        <f t="shared" ref="B988:B1032" si="83">LEFT(E988,1)</f>
        <v/>
      </c>
      <c r="C988" s="2" t="e">
        <f t="shared" ref="C988:C1032" si="84">IF(B988="*",RIGHT(E988,10),C987)</f>
        <v>#REF!</v>
      </c>
      <c r="D988" s="330" t="s">
        <v>628</v>
      </c>
      <c r="E988"/>
      <c r="F988"/>
      <c r="G988"/>
      <c r="I988"/>
      <c r="L988"/>
    </row>
    <row r="989" spans="1:14">
      <c r="A989" s="2" t="str">
        <f t="shared" si="82"/>
        <v/>
      </c>
      <c r="B989" s="2" t="str">
        <f t="shared" si="83"/>
        <v/>
      </c>
      <c r="C989" s="2" t="e">
        <f t="shared" si="84"/>
        <v>#REF!</v>
      </c>
      <c r="D989" s="330" t="s">
        <v>628</v>
      </c>
      <c r="E989"/>
      <c r="F989"/>
      <c r="G989"/>
      <c r="I989"/>
      <c r="L989"/>
    </row>
    <row r="990" spans="1:14">
      <c r="A990" s="2" t="str">
        <f t="shared" si="82"/>
        <v/>
      </c>
      <c r="B990" s="2" t="str">
        <f t="shared" si="83"/>
        <v/>
      </c>
      <c r="C990" s="2" t="e">
        <f t="shared" si="84"/>
        <v>#REF!</v>
      </c>
      <c r="D990" s="330" t="s">
        <v>628</v>
      </c>
      <c r="E990"/>
      <c r="F990"/>
      <c r="G990"/>
      <c r="I990"/>
      <c r="L990"/>
    </row>
    <row r="991" spans="1:14">
      <c r="A991" s="2" t="str">
        <f t="shared" si="82"/>
        <v/>
      </c>
      <c r="B991" s="2" t="str">
        <f t="shared" si="83"/>
        <v/>
      </c>
      <c r="C991" s="2" t="e">
        <f t="shared" si="84"/>
        <v>#REF!</v>
      </c>
      <c r="D991" s="330" t="s">
        <v>628</v>
      </c>
      <c r="E991"/>
      <c r="F991"/>
      <c r="G991"/>
      <c r="I991"/>
      <c r="L991"/>
      <c r="N991">
        <v>0</v>
      </c>
    </row>
    <row r="992" spans="1:14">
      <c r="A992" s="2" t="str">
        <f t="shared" si="82"/>
        <v/>
      </c>
      <c r="B992" s="2" t="str">
        <f t="shared" si="83"/>
        <v/>
      </c>
      <c r="C992" s="2" t="e">
        <f t="shared" si="84"/>
        <v>#REF!</v>
      </c>
      <c r="D992" s="330" t="s">
        <v>628</v>
      </c>
      <c r="E992"/>
      <c r="F992"/>
      <c r="G992"/>
      <c r="I992"/>
      <c r="L992"/>
    </row>
    <row r="993" spans="1:12">
      <c r="A993" s="2" t="str">
        <f t="shared" si="82"/>
        <v/>
      </c>
      <c r="B993" s="2" t="str">
        <f t="shared" si="83"/>
        <v/>
      </c>
      <c r="C993" s="2" t="e">
        <f t="shared" si="84"/>
        <v>#REF!</v>
      </c>
      <c r="D993" s="330" t="s">
        <v>628</v>
      </c>
      <c r="E993"/>
      <c r="F993"/>
      <c r="G993"/>
      <c r="I993"/>
      <c r="L993"/>
    </row>
    <row r="994" spans="1:12">
      <c r="A994" s="2" t="str">
        <f t="shared" si="82"/>
        <v/>
      </c>
      <c r="B994" s="2" t="str">
        <f t="shared" si="83"/>
        <v/>
      </c>
      <c r="C994" s="2" t="e">
        <f t="shared" si="84"/>
        <v>#REF!</v>
      </c>
      <c r="D994" s="330" t="s">
        <v>628</v>
      </c>
      <c r="E994"/>
      <c r="F994"/>
      <c r="G994"/>
      <c r="I994"/>
      <c r="L994"/>
    </row>
    <row r="995" spans="1:12">
      <c r="A995" s="2" t="str">
        <f t="shared" si="82"/>
        <v/>
      </c>
      <c r="B995" s="2" t="str">
        <f t="shared" si="83"/>
        <v/>
      </c>
      <c r="C995" s="2" t="e">
        <f t="shared" si="84"/>
        <v>#REF!</v>
      </c>
      <c r="D995" s="330" t="s">
        <v>628</v>
      </c>
      <c r="E995"/>
      <c r="F995"/>
      <c r="G995"/>
      <c r="I995"/>
      <c r="L995"/>
    </row>
    <row r="996" spans="1:12">
      <c r="A996" s="2" t="str">
        <f t="shared" si="82"/>
        <v/>
      </c>
      <c r="B996" s="2" t="str">
        <f t="shared" si="83"/>
        <v/>
      </c>
      <c r="C996" s="2" t="e">
        <f t="shared" si="84"/>
        <v>#REF!</v>
      </c>
      <c r="D996" s="330" t="s">
        <v>628</v>
      </c>
      <c r="E996"/>
      <c r="F996"/>
      <c r="G996"/>
      <c r="I996"/>
      <c r="L996"/>
    </row>
    <row r="997" spans="1:12">
      <c r="A997" s="2" t="str">
        <f t="shared" si="82"/>
        <v/>
      </c>
      <c r="B997" s="2" t="str">
        <f t="shared" si="83"/>
        <v/>
      </c>
      <c r="C997" s="2" t="e">
        <f t="shared" si="84"/>
        <v>#REF!</v>
      </c>
      <c r="D997" s="330" t="s">
        <v>628</v>
      </c>
      <c r="E997"/>
      <c r="F997"/>
      <c r="G997"/>
      <c r="I997"/>
      <c r="L997"/>
    </row>
    <row r="998" spans="1:12">
      <c r="A998" s="2" t="str">
        <f t="shared" si="82"/>
        <v/>
      </c>
      <c r="B998" s="2" t="str">
        <f t="shared" si="83"/>
        <v/>
      </c>
      <c r="C998" s="2" t="e">
        <f t="shared" si="84"/>
        <v>#REF!</v>
      </c>
      <c r="D998" s="330" t="s">
        <v>628</v>
      </c>
      <c r="E998"/>
      <c r="F998"/>
      <c r="G998"/>
      <c r="I998"/>
      <c r="L998"/>
    </row>
    <row r="999" spans="1:12">
      <c r="A999" s="2" t="str">
        <f t="shared" si="82"/>
        <v/>
      </c>
      <c r="B999" s="2" t="str">
        <f t="shared" si="83"/>
        <v/>
      </c>
      <c r="C999" s="2" t="e">
        <f t="shared" si="84"/>
        <v>#REF!</v>
      </c>
      <c r="D999" s="330" t="s">
        <v>628</v>
      </c>
      <c r="E999"/>
      <c r="F999"/>
      <c r="G999"/>
      <c r="I999"/>
      <c r="L999"/>
    </row>
    <row r="1000" spans="1:12">
      <c r="A1000" s="2" t="str">
        <f t="shared" si="82"/>
        <v/>
      </c>
      <c r="B1000" s="2" t="str">
        <f t="shared" si="83"/>
        <v/>
      </c>
      <c r="C1000" s="2" t="e">
        <f t="shared" si="84"/>
        <v>#REF!</v>
      </c>
      <c r="D1000" s="330" t="s">
        <v>628</v>
      </c>
      <c r="E1000"/>
      <c r="F1000"/>
      <c r="G1000"/>
      <c r="I1000"/>
      <c r="L1000"/>
    </row>
    <row r="1001" spans="1:12">
      <c r="A1001" s="2" t="str">
        <f t="shared" si="82"/>
        <v/>
      </c>
      <c r="B1001" s="2" t="str">
        <f t="shared" si="83"/>
        <v/>
      </c>
      <c r="C1001" s="2" t="e">
        <f t="shared" si="84"/>
        <v>#REF!</v>
      </c>
      <c r="D1001" s="330" t="s">
        <v>628</v>
      </c>
      <c r="E1001"/>
      <c r="F1001"/>
      <c r="G1001"/>
      <c r="I1001"/>
      <c r="L1001"/>
    </row>
    <row r="1002" spans="1:12">
      <c r="A1002" s="2" t="str">
        <f t="shared" si="82"/>
        <v/>
      </c>
      <c r="B1002" s="2" t="str">
        <f t="shared" si="83"/>
        <v/>
      </c>
      <c r="C1002" s="2" t="e">
        <f t="shared" si="84"/>
        <v>#REF!</v>
      </c>
      <c r="D1002" s="330" t="s">
        <v>628</v>
      </c>
      <c r="E1002"/>
      <c r="F1002"/>
      <c r="G1002"/>
      <c r="I1002"/>
      <c r="L1002"/>
    </row>
    <row r="1003" spans="1:12">
      <c r="A1003" s="2" t="str">
        <f t="shared" si="82"/>
        <v/>
      </c>
      <c r="B1003" s="2" t="str">
        <f t="shared" si="83"/>
        <v/>
      </c>
      <c r="C1003" s="2" t="e">
        <f t="shared" si="84"/>
        <v>#REF!</v>
      </c>
      <c r="D1003" s="330" t="s">
        <v>628</v>
      </c>
      <c r="E1003"/>
      <c r="F1003"/>
      <c r="G1003"/>
      <c r="I1003"/>
      <c r="L1003"/>
    </row>
    <row r="1004" spans="1:12">
      <c r="A1004" s="2" t="str">
        <f t="shared" si="82"/>
        <v/>
      </c>
      <c r="B1004" s="2" t="str">
        <f t="shared" si="83"/>
        <v/>
      </c>
      <c r="C1004" s="2" t="e">
        <f t="shared" si="84"/>
        <v>#REF!</v>
      </c>
      <c r="D1004" s="330" t="s">
        <v>628</v>
      </c>
      <c r="E1004"/>
      <c r="F1004"/>
      <c r="G1004"/>
      <c r="I1004"/>
      <c r="L1004"/>
    </row>
    <row r="1005" spans="1:12">
      <c r="A1005" s="2" t="str">
        <f t="shared" si="82"/>
        <v/>
      </c>
      <c r="B1005" s="2" t="str">
        <f t="shared" si="83"/>
        <v/>
      </c>
      <c r="C1005" s="2" t="e">
        <f t="shared" si="84"/>
        <v>#REF!</v>
      </c>
      <c r="D1005" s="330" t="s">
        <v>628</v>
      </c>
      <c r="E1005"/>
      <c r="F1005"/>
      <c r="G1005"/>
      <c r="I1005"/>
      <c r="L1005"/>
    </row>
    <row r="1006" spans="1:12">
      <c r="A1006" s="2" t="str">
        <f t="shared" si="82"/>
        <v/>
      </c>
      <c r="B1006" s="2" t="str">
        <f t="shared" si="83"/>
        <v/>
      </c>
      <c r="C1006" s="2" t="e">
        <f t="shared" si="84"/>
        <v>#REF!</v>
      </c>
      <c r="D1006" s="330" t="s">
        <v>628</v>
      </c>
      <c r="E1006"/>
      <c r="F1006"/>
      <c r="G1006"/>
      <c r="I1006"/>
      <c r="L1006"/>
    </row>
    <row r="1007" spans="1:12">
      <c r="A1007" s="2" t="str">
        <f t="shared" si="82"/>
        <v/>
      </c>
      <c r="B1007" s="2" t="str">
        <f t="shared" si="83"/>
        <v/>
      </c>
      <c r="C1007" s="2" t="e">
        <f t="shared" si="84"/>
        <v>#REF!</v>
      </c>
      <c r="D1007" s="330" t="s">
        <v>628</v>
      </c>
      <c r="E1007"/>
      <c r="F1007"/>
      <c r="G1007"/>
      <c r="I1007"/>
      <c r="L1007"/>
    </row>
    <row r="1008" spans="1:12">
      <c r="A1008" s="2" t="str">
        <f t="shared" si="82"/>
        <v/>
      </c>
      <c r="B1008" s="2" t="str">
        <f t="shared" si="83"/>
        <v/>
      </c>
      <c r="C1008" s="2" t="e">
        <f t="shared" si="84"/>
        <v>#REF!</v>
      </c>
      <c r="D1008" s="330" t="s">
        <v>628</v>
      </c>
      <c r="E1008"/>
      <c r="F1008"/>
      <c r="G1008"/>
      <c r="I1008"/>
      <c r="L1008"/>
    </row>
    <row r="1009" spans="1:12">
      <c r="A1009" s="2" t="str">
        <f t="shared" si="82"/>
        <v/>
      </c>
      <c r="B1009" s="2" t="str">
        <f t="shared" si="83"/>
        <v/>
      </c>
      <c r="C1009" s="2" t="e">
        <f t="shared" si="84"/>
        <v>#REF!</v>
      </c>
      <c r="D1009" s="330" t="s">
        <v>628</v>
      </c>
      <c r="E1009"/>
      <c r="F1009"/>
      <c r="G1009"/>
      <c r="I1009"/>
      <c r="L1009"/>
    </row>
    <row r="1010" spans="1:12">
      <c r="A1010" s="2" t="str">
        <f t="shared" si="82"/>
        <v/>
      </c>
      <c r="B1010" s="2" t="str">
        <f t="shared" si="83"/>
        <v/>
      </c>
      <c r="C1010" s="2" t="e">
        <f>IF(B1010="*",RIGHT(E1010,10),#REF!)</f>
        <v>#REF!</v>
      </c>
      <c r="D1010" s="330" t="s">
        <v>628</v>
      </c>
      <c r="E1010"/>
      <c r="F1010"/>
      <c r="G1010"/>
      <c r="I1010"/>
      <c r="L1010"/>
    </row>
    <row r="1011" spans="1:12">
      <c r="A1011" s="2" t="str">
        <f t="shared" si="82"/>
        <v/>
      </c>
      <c r="B1011" s="2" t="str">
        <f t="shared" si="83"/>
        <v/>
      </c>
      <c r="C1011" s="2" t="e">
        <f>IF(B1011="*",RIGHT(E1011,10),#REF!)</f>
        <v>#REF!</v>
      </c>
      <c r="D1011" s="330" t="s">
        <v>628</v>
      </c>
      <c r="E1011"/>
      <c r="F1011"/>
      <c r="G1011"/>
      <c r="I1011"/>
      <c r="L1011"/>
    </row>
    <row r="1012" spans="1:12">
      <c r="A1012" s="2" t="str">
        <f t="shared" si="82"/>
        <v/>
      </c>
      <c r="B1012" s="2" t="str">
        <f t="shared" si="83"/>
        <v/>
      </c>
      <c r="C1012" s="2" t="e">
        <f t="shared" si="84"/>
        <v>#REF!</v>
      </c>
      <c r="D1012" s="330" t="s">
        <v>628</v>
      </c>
      <c r="E1012"/>
      <c r="F1012"/>
      <c r="G1012"/>
      <c r="I1012"/>
      <c r="L1012"/>
    </row>
    <row r="1013" spans="1:12">
      <c r="A1013" s="2" t="str">
        <f t="shared" si="82"/>
        <v/>
      </c>
      <c r="B1013" s="2" t="str">
        <f t="shared" si="83"/>
        <v/>
      </c>
      <c r="C1013" s="2" t="e">
        <f t="shared" si="84"/>
        <v>#REF!</v>
      </c>
      <c r="D1013" s="330" t="s">
        <v>628</v>
      </c>
      <c r="E1013"/>
      <c r="F1013"/>
      <c r="G1013"/>
      <c r="I1013"/>
      <c r="L1013"/>
    </row>
    <row r="1014" spans="1:12">
      <c r="A1014" s="2" t="str">
        <f t="shared" si="82"/>
        <v/>
      </c>
      <c r="B1014" s="2" t="str">
        <f t="shared" si="83"/>
        <v/>
      </c>
      <c r="C1014" s="2" t="e">
        <f t="shared" si="84"/>
        <v>#REF!</v>
      </c>
      <c r="D1014" s="330" t="s">
        <v>628</v>
      </c>
      <c r="E1014"/>
      <c r="F1014"/>
      <c r="G1014"/>
      <c r="I1014"/>
      <c r="L1014"/>
    </row>
    <row r="1015" spans="1:12">
      <c r="A1015" s="2" t="str">
        <f t="shared" si="82"/>
        <v/>
      </c>
      <c r="B1015" s="2" t="str">
        <f t="shared" si="83"/>
        <v/>
      </c>
      <c r="C1015" s="2" t="e">
        <f t="shared" si="84"/>
        <v>#REF!</v>
      </c>
      <c r="D1015" s="330" t="s">
        <v>628</v>
      </c>
      <c r="E1015"/>
      <c r="F1015"/>
      <c r="G1015"/>
      <c r="I1015"/>
      <c r="L1015"/>
    </row>
    <row r="1016" spans="1:12">
      <c r="A1016" s="2" t="str">
        <f t="shared" si="82"/>
        <v/>
      </c>
      <c r="B1016" s="2" t="str">
        <f t="shared" si="83"/>
        <v/>
      </c>
      <c r="C1016" s="2" t="e">
        <f t="shared" si="84"/>
        <v>#REF!</v>
      </c>
      <c r="D1016" s="330" t="s">
        <v>628</v>
      </c>
      <c r="E1016"/>
      <c r="F1016"/>
      <c r="G1016"/>
      <c r="I1016"/>
      <c r="L1016"/>
    </row>
    <row r="1017" spans="1:12">
      <c r="A1017" s="2" t="str">
        <f t="shared" si="82"/>
        <v/>
      </c>
      <c r="B1017" s="2" t="str">
        <f t="shared" si="83"/>
        <v/>
      </c>
      <c r="C1017" s="2" t="e">
        <f t="shared" si="84"/>
        <v>#REF!</v>
      </c>
      <c r="D1017" s="330" t="s">
        <v>628</v>
      </c>
      <c r="E1017"/>
      <c r="F1017"/>
      <c r="G1017"/>
      <c r="I1017"/>
      <c r="L1017"/>
    </row>
    <row r="1018" spans="1:12">
      <c r="A1018" s="2" t="str">
        <f t="shared" si="82"/>
        <v/>
      </c>
      <c r="B1018" s="2" t="str">
        <f t="shared" si="83"/>
        <v/>
      </c>
      <c r="C1018" s="2" t="e">
        <f t="shared" si="84"/>
        <v>#REF!</v>
      </c>
      <c r="D1018" s="330" t="s">
        <v>628</v>
      </c>
      <c r="E1018"/>
      <c r="F1018"/>
      <c r="G1018"/>
      <c r="I1018"/>
      <c r="L1018"/>
    </row>
    <row r="1019" spans="1:12">
      <c r="A1019" s="2" t="str">
        <f t="shared" si="82"/>
        <v/>
      </c>
      <c r="B1019" s="2" t="str">
        <f t="shared" si="83"/>
        <v/>
      </c>
      <c r="C1019" s="2" t="e">
        <f t="shared" si="84"/>
        <v>#REF!</v>
      </c>
      <c r="D1019" s="330" t="s">
        <v>628</v>
      </c>
      <c r="E1019"/>
      <c r="F1019"/>
      <c r="G1019"/>
      <c r="I1019"/>
      <c r="L1019"/>
    </row>
    <row r="1020" spans="1:12">
      <c r="A1020" s="2" t="str">
        <f t="shared" si="82"/>
        <v/>
      </c>
      <c r="B1020" s="2" t="str">
        <f t="shared" si="83"/>
        <v/>
      </c>
      <c r="C1020" s="2" t="e">
        <f t="shared" si="84"/>
        <v>#REF!</v>
      </c>
      <c r="D1020" s="330" t="s">
        <v>628</v>
      </c>
      <c r="E1020"/>
      <c r="F1020"/>
      <c r="G1020"/>
      <c r="I1020"/>
      <c r="L1020"/>
    </row>
    <row r="1021" spans="1:12">
      <c r="A1021" s="2" t="str">
        <f t="shared" si="82"/>
        <v/>
      </c>
      <c r="B1021" s="2" t="str">
        <f t="shared" si="83"/>
        <v/>
      </c>
      <c r="C1021" s="2" t="e">
        <f>IF(B1021="*",RIGHT(E1021,10),#REF!)</f>
        <v>#REF!</v>
      </c>
      <c r="D1021" s="330" t="s">
        <v>628</v>
      </c>
      <c r="E1021"/>
      <c r="F1021"/>
      <c r="G1021"/>
      <c r="I1021"/>
      <c r="L1021"/>
    </row>
    <row r="1022" spans="1:12">
      <c r="A1022" s="2" t="str">
        <f t="shared" si="82"/>
        <v/>
      </c>
      <c r="B1022" s="2" t="str">
        <f t="shared" si="83"/>
        <v/>
      </c>
      <c r="C1022" s="2" t="e">
        <f t="shared" si="84"/>
        <v>#REF!</v>
      </c>
      <c r="D1022" s="330" t="s">
        <v>628</v>
      </c>
      <c r="E1022"/>
      <c r="F1022"/>
      <c r="G1022"/>
      <c r="I1022"/>
      <c r="L1022"/>
    </row>
    <row r="1023" spans="1:12">
      <c r="A1023" s="2" t="str">
        <f t="shared" si="82"/>
        <v/>
      </c>
      <c r="B1023" s="2" t="str">
        <f t="shared" si="83"/>
        <v/>
      </c>
      <c r="C1023" s="2" t="e">
        <f t="shared" si="84"/>
        <v>#REF!</v>
      </c>
      <c r="D1023" s="330" t="s">
        <v>628</v>
      </c>
      <c r="E1023"/>
      <c r="F1023"/>
      <c r="G1023"/>
      <c r="I1023"/>
      <c r="L1023"/>
    </row>
    <row r="1024" spans="1:12">
      <c r="A1024" s="2" t="str">
        <f t="shared" si="82"/>
        <v/>
      </c>
      <c r="B1024" s="2" t="str">
        <f t="shared" si="83"/>
        <v/>
      </c>
      <c r="C1024" s="2" t="e">
        <f t="shared" si="84"/>
        <v>#REF!</v>
      </c>
      <c r="D1024" s="330" t="s">
        <v>628</v>
      </c>
      <c r="E1024"/>
      <c r="F1024"/>
      <c r="G1024"/>
      <c r="I1024"/>
      <c r="L1024"/>
    </row>
    <row r="1025" spans="1:12">
      <c r="A1025" s="2" t="str">
        <f t="shared" si="82"/>
        <v/>
      </c>
      <c r="B1025" s="2" t="str">
        <f t="shared" si="83"/>
        <v/>
      </c>
      <c r="C1025" s="2" t="e">
        <f t="shared" si="84"/>
        <v>#REF!</v>
      </c>
      <c r="D1025" s="330" t="s">
        <v>628</v>
      </c>
      <c r="E1025"/>
      <c r="F1025"/>
      <c r="G1025"/>
      <c r="I1025"/>
      <c r="L1025"/>
    </row>
    <row r="1026" spans="1:12">
      <c r="A1026" s="2" t="str">
        <f t="shared" si="82"/>
        <v/>
      </c>
      <c r="B1026" s="2" t="str">
        <f t="shared" si="83"/>
        <v/>
      </c>
      <c r="C1026" s="2" t="e">
        <f t="shared" si="84"/>
        <v>#REF!</v>
      </c>
      <c r="D1026" s="330" t="s">
        <v>628</v>
      </c>
      <c r="E1026"/>
      <c r="F1026"/>
      <c r="G1026"/>
      <c r="I1026"/>
      <c r="L1026"/>
    </row>
    <row r="1027" spans="1:12">
      <c r="A1027" s="2" t="str">
        <f t="shared" si="82"/>
        <v/>
      </c>
      <c r="B1027" s="2" t="str">
        <f t="shared" si="83"/>
        <v/>
      </c>
      <c r="C1027" s="2" t="e">
        <f t="shared" si="84"/>
        <v>#REF!</v>
      </c>
      <c r="D1027" s="330" t="s">
        <v>628</v>
      </c>
      <c r="E1027"/>
      <c r="F1027"/>
      <c r="G1027"/>
      <c r="I1027"/>
      <c r="L1027"/>
    </row>
    <row r="1028" spans="1:12">
      <c r="A1028" s="2" t="str">
        <f t="shared" si="82"/>
        <v/>
      </c>
      <c r="B1028" s="2" t="str">
        <f t="shared" si="83"/>
        <v/>
      </c>
      <c r="C1028" s="2" t="e">
        <f t="shared" si="84"/>
        <v>#REF!</v>
      </c>
      <c r="D1028" s="330" t="s">
        <v>628</v>
      </c>
      <c r="E1028"/>
      <c r="F1028"/>
      <c r="G1028"/>
      <c r="I1028"/>
      <c r="L1028"/>
    </row>
    <row r="1029" spans="1:12">
      <c r="A1029" s="2" t="str">
        <f t="shared" si="82"/>
        <v/>
      </c>
      <c r="B1029" s="2" t="str">
        <f t="shared" si="83"/>
        <v/>
      </c>
      <c r="C1029" s="2" t="e">
        <f t="shared" si="84"/>
        <v>#REF!</v>
      </c>
      <c r="D1029" s="330" t="s">
        <v>628</v>
      </c>
      <c r="E1029"/>
      <c r="F1029"/>
      <c r="G1029"/>
      <c r="I1029"/>
      <c r="L1029"/>
    </row>
    <row r="1030" spans="1:12">
      <c r="A1030" s="2" t="str">
        <f t="shared" si="82"/>
        <v/>
      </c>
      <c r="B1030" s="2" t="str">
        <f t="shared" si="83"/>
        <v/>
      </c>
      <c r="C1030" s="2" t="e">
        <f t="shared" si="84"/>
        <v>#REF!</v>
      </c>
      <c r="D1030" s="330" t="s">
        <v>628</v>
      </c>
      <c r="E1030"/>
      <c r="F1030"/>
      <c r="G1030"/>
      <c r="I1030"/>
      <c r="L1030"/>
    </row>
    <row r="1031" spans="1:12">
      <c r="A1031" s="2" t="str">
        <f t="shared" si="82"/>
        <v/>
      </c>
      <c r="B1031" s="2" t="str">
        <f t="shared" si="83"/>
        <v/>
      </c>
      <c r="C1031" s="2" t="e">
        <f t="shared" si="84"/>
        <v>#REF!</v>
      </c>
      <c r="D1031" s="330" t="s">
        <v>628</v>
      </c>
      <c r="E1031"/>
      <c r="F1031"/>
      <c r="G1031"/>
      <c r="I1031"/>
      <c r="L1031"/>
    </row>
    <row r="1032" spans="1:12">
      <c r="A1032" s="2" t="str">
        <f t="shared" si="82"/>
        <v/>
      </c>
      <c r="B1032" s="2" t="str">
        <f t="shared" si="83"/>
        <v/>
      </c>
      <c r="C1032" s="2" t="e">
        <f t="shared" si="84"/>
        <v>#REF!</v>
      </c>
      <c r="D1032" s="330" t="s">
        <v>628</v>
      </c>
      <c r="E1032"/>
      <c r="F1032"/>
      <c r="G1032"/>
      <c r="I1032"/>
      <c r="L1032"/>
    </row>
    <row r="1033" spans="1:12">
      <c r="A1033" s="2" t="str">
        <f t="shared" si="82"/>
        <v/>
      </c>
      <c r="B1033" s="2" t="str">
        <f t="shared" ref="B1033:B1076" si="85">LEFT(E1033,1)</f>
        <v/>
      </c>
      <c r="C1033" s="2" t="e">
        <f t="shared" ref="C1033:C1076" si="86">IF(B1033="*",RIGHT(E1033,10),C1032)</f>
        <v>#REF!</v>
      </c>
      <c r="D1033" s="330" t="s">
        <v>628</v>
      </c>
      <c r="E1033"/>
      <c r="F1033"/>
      <c r="G1033"/>
      <c r="I1033"/>
      <c r="L1033"/>
    </row>
    <row r="1034" spans="1:12">
      <c r="A1034" s="2" t="str">
        <f t="shared" si="82"/>
        <v/>
      </c>
      <c r="B1034" s="2" t="str">
        <f t="shared" si="85"/>
        <v/>
      </c>
      <c r="C1034" s="2" t="e">
        <f t="shared" si="86"/>
        <v>#REF!</v>
      </c>
      <c r="D1034" s="330" t="s">
        <v>628</v>
      </c>
      <c r="E1034"/>
      <c r="F1034"/>
      <c r="G1034"/>
      <c r="I1034"/>
      <c r="L1034"/>
    </row>
    <row r="1035" spans="1:12">
      <c r="A1035" s="2" t="str">
        <f t="shared" si="82"/>
        <v/>
      </c>
      <c r="B1035" s="2" t="str">
        <f t="shared" si="85"/>
        <v/>
      </c>
      <c r="C1035" s="2" t="e">
        <f t="shared" si="86"/>
        <v>#REF!</v>
      </c>
      <c r="D1035" s="330" t="s">
        <v>628</v>
      </c>
      <c r="E1035"/>
      <c r="F1035"/>
      <c r="G1035"/>
      <c r="I1035"/>
      <c r="L1035"/>
    </row>
    <row r="1036" spans="1:12">
      <c r="A1036" s="2" t="str">
        <f t="shared" si="82"/>
        <v/>
      </c>
      <c r="B1036" s="2" t="str">
        <f t="shared" si="85"/>
        <v/>
      </c>
      <c r="C1036" s="2" t="e">
        <f t="shared" si="86"/>
        <v>#REF!</v>
      </c>
      <c r="D1036" s="330" t="s">
        <v>628</v>
      </c>
      <c r="E1036"/>
      <c r="F1036"/>
      <c r="G1036"/>
      <c r="I1036"/>
      <c r="L1036"/>
    </row>
    <row r="1037" spans="1:12">
      <c r="A1037" s="2" t="str">
        <f t="shared" si="82"/>
        <v/>
      </c>
      <c r="B1037" s="2" t="str">
        <f t="shared" si="85"/>
        <v/>
      </c>
      <c r="C1037" s="2" t="e">
        <f t="shared" si="86"/>
        <v>#REF!</v>
      </c>
      <c r="D1037" s="330" t="s">
        <v>628</v>
      </c>
      <c r="E1037"/>
      <c r="F1037"/>
      <c r="G1037"/>
      <c r="I1037"/>
      <c r="L1037"/>
    </row>
    <row r="1038" spans="1:12">
      <c r="A1038" s="2" t="str">
        <f t="shared" si="82"/>
        <v/>
      </c>
      <c r="B1038" s="2" t="str">
        <f t="shared" si="85"/>
        <v/>
      </c>
      <c r="C1038" s="2" t="e">
        <f t="shared" si="86"/>
        <v>#REF!</v>
      </c>
      <c r="D1038" s="330" t="s">
        <v>628</v>
      </c>
      <c r="E1038"/>
      <c r="F1038"/>
      <c r="G1038"/>
      <c r="I1038"/>
      <c r="L1038"/>
    </row>
    <row r="1039" spans="1:12">
      <c r="A1039" s="2" t="str">
        <f t="shared" si="82"/>
        <v/>
      </c>
      <c r="B1039" s="2" t="str">
        <f t="shared" si="85"/>
        <v/>
      </c>
      <c r="C1039" s="2" t="e">
        <f t="shared" si="86"/>
        <v>#REF!</v>
      </c>
      <c r="D1039" s="330" t="s">
        <v>628</v>
      </c>
      <c r="E1039"/>
      <c r="F1039"/>
      <c r="G1039"/>
      <c r="I1039"/>
      <c r="L1039"/>
    </row>
    <row r="1040" spans="1:12">
      <c r="A1040" s="2" t="str">
        <f t="shared" si="82"/>
        <v/>
      </c>
      <c r="B1040" s="2" t="str">
        <f t="shared" si="85"/>
        <v/>
      </c>
      <c r="C1040" s="2" t="e">
        <f t="shared" si="86"/>
        <v>#REF!</v>
      </c>
      <c r="D1040" s="330" t="s">
        <v>628</v>
      </c>
      <c r="E1040"/>
      <c r="F1040"/>
      <c r="G1040"/>
      <c r="I1040"/>
      <c r="L1040"/>
    </row>
    <row r="1041" spans="1:12">
      <c r="A1041" s="2" t="str">
        <f t="shared" si="82"/>
        <v/>
      </c>
      <c r="B1041" s="2" t="str">
        <f t="shared" si="85"/>
        <v/>
      </c>
      <c r="C1041" s="2" t="e">
        <f t="shared" si="86"/>
        <v>#REF!</v>
      </c>
      <c r="D1041" s="330" t="s">
        <v>628</v>
      </c>
      <c r="E1041"/>
      <c r="F1041"/>
      <c r="G1041"/>
      <c r="I1041"/>
      <c r="L1041"/>
    </row>
    <row r="1042" spans="1:12">
      <c r="A1042" s="2" t="str">
        <f t="shared" si="82"/>
        <v/>
      </c>
      <c r="B1042" s="2" t="str">
        <f t="shared" si="85"/>
        <v/>
      </c>
      <c r="C1042" s="2" t="e">
        <f t="shared" si="86"/>
        <v>#REF!</v>
      </c>
      <c r="D1042" s="330" t="s">
        <v>628</v>
      </c>
      <c r="E1042"/>
      <c r="F1042"/>
      <c r="G1042"/>
      <c r="I1042"/>
      <c r="L1042"/>
    </row>
    <row r="1043" spans="1:12">
      <c r="A1043" s="2" t="str">
        <f t="shared" si="82"/>
        <v/>
      </c>
      <c r="B1043" s="2" t="str">
        <f t="shared" si="85"/>
        <v/>
      </c>
      <c r="C1043" s="2" t="e">
        <f t="shared" si="86"/>
        <v>#REF!</v>
      </c>
      <c r="D1043" s="330" t="s">
        <v>628</v>
      </c>
      <c r="E1043"/>
      <c r="F1043"/>
      <c r="G1043"/>
      <c r="I1043"/>
      <c r="L1043"/>
    </row>
    <row r="1044" spans="1:12">
      <c r="A1044" s="2" t="str">
        <f t="shared" si="82"/>
        <v/>
      </c>
      <c r="B1044" s="2" t="str">
        <f t="shared" si="85"/>
        <v/>
      </c>
      <c r="C1044" s="2" t="e">
        <f t="shared" si="86"/>
        <v>#REF!</v>
      </c>
      <c r="D1044" s="330" t="s">
        <v>628</v>
      </c>
      <c r="E1044"/>
      <c r="F1044"/>
      <c r="G1044"/>
      <c r="I1044"/>
      <c r="L1044"/>
    </row>
    <row r="1045" spans="1:12">
      <c r="A1045" s="2" t="str">
        <f t="shared" si="82"/>
        <v/>
      </c>
      <c r="B1045" s="2" t="str">
        <f t="shared" si="85"/>
        <v/>
      </c>
      <c r="C1045" s="2" t="e">
        <f t="shared" si="86"/>
        <v>#REF!</v>
      </c>
      <c r="D1045" s="330" t="s">
        <v>628</v>
      </c>
      <c r="E1045"/>
      <c r="F1045"/>
      <c r="G1045"/>
      <c r="I1045"/>
      <c r="L1045"/>
    </row>
    <row r="1046" spans="1:12">
      <c r="A1046" s="2" t="str">
        <f t="shared" si="82"/>
        <v/>
      </c>
      <c r="B1046" s="2" t="str">
        <f t="shared" si="85"/>
        <v/>
      </c>
      <c r="C1046" s="2" t="e">
        <f t="shared" si="86"/>
        <v>#REF!</v>
      </c>
      <c r="D1046" s="330" t="s">
        <v>628</v>
      </c>
      <c r="E1046"/>
      <c r="F1046"/>
      <c r="G1046"/>
      <c r="I1046"/>
      <c r="L1046"/>
    </row>
    <row r="1047" spans="1:12">
      <c r="A1047" s="2" t="str">
        <f t="shared" si="82"/>
        <v/>
      </c>
      <c r="B1047" s="2" t="str">
        <f t="shared" si="85"/>
        <v/>
      </c>
      <c r="C1047" s="2" t="e">
        <f t="shared" si="86"/>
        <v>#REF!</v>
      </c>
      <c r="D1047" s="330" t="s">
        <v>628</v>
      </c>
      <c r="E1047"/>
      <c r="F1047"/>
      <c r="G1047"/>
      <c r="I1047"/>
      <c r="L1047"/>
    </row>
    <row r="1048" spans="1:12">
      <c r="A1048" s="2" t="str">
        <f t="shared" si="82"/>
        <v/>
      </c>
      <c r="B1048" s="2" t="str">
        <f t="shared" si="85"/>
        <v/>
      </c>
      <c r="C1048" s="2" t="e">
        <f t="shared" si="86"/>
        <v>#REF!</v>
      </c>
      <c r="D1048" s="330" t="s">
        <v>628</v>
      </c>
      <c r="E1048"/>
      <c r="F1048"/>
      <c r="G1048"/>
      <c r="I1048"/>
      <c r="L1048"/>
    </row>
    <row r="1049" spans="1:12">
      <c r="A1049" s="2" t="str">
        <f t="shared" si="82"/>
        <v/>
      </c>
      <c r="B1049" s="2" t="str">
        <f t="shared" si="85"/>
        <v/>
      </c>
      <c r="C1049" s="2" t="e">
        <f t="shared" si="86"/>
        <v>#REF!</v>
      </c>
      <c r="D1049" s="330" t="s">
        <v>628</v>
      </c>
      <c r="E1049"/>
      <c r="F1049"/>
      <c r="G1049"/>
      <c r="I1049"/>
      <c r="L1049"/>
    </row>
    <row r="1050" spans="1:12">
      <c r="A1050" s="2" t="str">
        <f t="shared" si="82"/>
        <v/>
      </c>
      <c r="B1050" s="2" t="str">
        <f t="shared" si="85"/>
        <v/>
      </c>
      <c r="C1050" s="2" t="e">
        <f t="shared" si="86"/>
        <v>#REF!</v>
      </c>
      <c r="D1050" s="330" t="s">
        <v>628</v>
      </c>
      <c r="E1050"/>
      <c r="F1050"/>
      <c r="G1050"/>
      <c r="I1050"/>
      <c r="L1050"/>
    </row>
    <row r="1051" spans="1:12">
      <c r="A1051" s="2" t="str">
        <f t="shared" si="82"/>
        <v/>
      </c>
      <c r="B1051" s="2" t="str">
        <f t="shared" si="85"/>
        <v/>
      </c>
      <c r="C1051" s="2" t="e">
        <f t="shared" si="86"/>
        <v>#REF!</v>
      </c>
      <c r="D1051" s="330" t="s">
        <v>628</v>
      </c>
      <c r="E1051"/>
      <c r="F1051"/>
      <c r="G1051"/>
      <c r="I1051"/>
      <c r="L1051"/>
    </row>
    <row r="1052" spans="1:12">
      <c r="A1052" s="2" t="str">
        <f t="shared" ref="A1052:A1076" si="87">IF(B1052="*",ROW(),"")</f>
        <v/>
      </c>
      <c r="B1052" s="2" t="str">
        <f t="shared" si="85"/>
        <v/>
      </c>
      <c r="C1052" s="2" t="e">
        <f t="shared" si="86"/>
        <v>#REF!</v>
      </c>
      <c r="D1052" s="330" t="s">
        <v>628</v>
      </c>
      <c r="E1052"/>
      <c r="F1052"/>
      <c r="G1052"/>
      <c r="I1052"/>
      <c r="L1052"/>
    </row>
    <row r="1053" spans="1:12">
      <c r="A1053" s="2" t="str">
        <f t="shared" si="87"/>
        <v/>
      </c>
      <c r="B1053" s="2" t="str">
        <f t="shared" si="85"/>
        <v/>
      </c>
      <c r="C1053" s="2" t="e">
        <f t="shared" si="86"/>
        <v>#REF!</v>
      </c>
      <c r="D1053" s="330" t="s">
        <v>628</v>
      </c>
      <c r="E1053"/>
      <c r="F1053"/>
      <c r="G1053"/>
      <c r="I1053"/>
      <c r="L1053"/>
    </row>
    <row r="1054" spans="1:12">
      <c r="A1054" s="2" t="str">
        <f t="shared" si="87"/>
        <v/>
      </c>
      <c r="B1054" s="2" t="str">
        <f t="shared" si="85"/>
        <v/>
      </c>
      <c r="C1054" s="2" t="e">
        <f t="shared" si="86"/>
        <v>#REF!</v>
      </c>
      <c r="D1054" s="330" t="s">
        <v>628</v>
      </c>
      <c r="E1054"/>
      <c r="F1054"/>
      <c r="G1054"/>
      <c r="I1054"/>
      <c r="L1054"/>
    </row>
    <row r="1055" spans="1:12">
      <c r="A1055" s="2" t="str">
        <f t="shared" si="87"/>
        <v/>
      </c>
      <c r="B1055" s="2" t="str">
        <f t="shared" si="85"/>
        <v/>
      </c>
      <c r="C1055" s="2" t="e">
        <f t="shared" si="86"/>
        <v>#REF!</v>
      </c>
      <c r="D1055" s="330" t="s">
        <v>628</v>
      </c>
      <c r="E1055"/>
      <c r="F1055"/>
      <c r="G1055"/>
      <c r="I1055"/>
      <c r="L1055"/>
    </row>
    <row r="1056" spans="1:12">
      <c r="A1056" s="2" t="str">
        <f t="shared" si="87"/>
        <v/>
      </c>
      <c r="B1056" s="2" t="str">
        <f t="shared" si="85"/>
        <v/>
      </c>
      <c r="C1056" s="2" t="e">
        <f t="shared" si="86"/>
        <v>#REF!</v>
      </c>
      <c r="D1056" s="330" t="s">
        <v>628</v>
      </c>
      <c r="E1056"/>
      <c r="F1056"/>
      <c r="G1056"/>
      <c r="I1056"/>
      <c r="L1056"/>
    </row>
    <row r="1057" spans="1:12">
      <c r="A1057" s="2" t="str">
        <f t="shared" si="87"/>
        <v/>
      </c>
      <c r="B1057" s="2" t="str">
        <f t="shared" si="85"/>
        <v/>
      </c>
      <c r="C1057" s="2" t="e">
        <f t="shared" si="86"/>
        <v>#REF!</v>
      </c>
      <c r="D1057" s="330" t="s">
        <v>628</v>
      </c>
      <c r="E1057"/>
      <c r="F1057"/>
      <c r="G1057"/>
      <c r="I1057"/>
      <c r="L1057"/>
    </row>
    <row r="1058" spans="1:12">
      <c r="A1058" s="2" t="str">
        <f t="shared" si="87"/>
        <v/>
      </c>
      <c r="B1058" s="2" t="str">
        <f t="shared" si="85"/>
        <v/>
      </c>
      <c r="C1058" s="2" t="e">
        <f t="shared" si="86"/>
        <v>#REF!</v>
      </c>
      <c r="D1058" s="330" t="s">
        <v>628</v>
      </c>
      <c r="E1058"/>
      <c r="F1058"/>
      <c r="G1058"/>
      <c r="I1058"/>
      <c r="L1058"/>
    </row>
    <row r="1059" spans="1:12">
      <c r="A1059" s="2" t="str">
        <f t="shared" si="87"/>
        <v/>
      </c>
      <c r="B1059" s="2" t="str">
        <f t="shared" si="85"/>
        <v/>
      </c>
      <c r="C1059" s="2" t="e">
        <f t="shared" si="86"/>
        <v>#REF!</v>
      </c>
      <c r="D1059" s="330" t="s">
        <v>628</v>
      </c>
      <c r="E1059"/>
      <c r="F1059"/>
      <c r="G1059"/>
      <c r="I1059"/>
      <c r="L1059"/>
    </row>
    <row r="1060" spans="1:12">
      <c r="A1060" s="2" t="str">
        <f t="shared" si="87"/>
        <v/>
      </c>
      <c r="B1060" s="2" t="str">
        <f t="shared" si="85"/>
        <v/>
      </c>
      <c r="C1060" s="2" t="e">
        <f t="shared" si="86"/>
        <v>#REF!</v>
      </c>
      <c r="D1060" s="330" t="s">
        <v>628</v>
      </c>
      <c r="E1060"/>
      <c r="F1060"/>
      <c r="G1060"/>
      <c r="I1060"/>
      <c r="L1060"/>
    </row>
    <row r="1061" spans="1:12">
      <c r="A1061" s="2" t="str">
        <f t="shared" si="87"/>
        <v/>
      </c>
      <c r="B1061" s="2" t="str">
        <f t="shared" si="85"/>
        <v/>
      </c>
      <c r="C1061" s="2" t="e">
        <f t="shared" si="86"/>
        <v>#REF!</v>
      </c>
      <c r="D1061" s="330" t="s">
        <v>628</v>
      </c>
      <c r="E1061"/>
      <c r="F1061"/>
      <c r="G1061"/>
      <c r="I1061"/>
      <c r="L1061"/>
    </row>
    <row r="1062" spans="1:12">
      <c r="A1062" s="2" t="str">
        <f t="shared" si="87"/>
        <v/>
      </c>
      <c r="B1062" s="2" t="str">
        <f t="shared" si="85"/>
        <v/>
      </c>
      <c r="C1062" s="2" t="e">
        <f t="shared" si="86"/>
        <v>#REF!</v>
      </c>
      <c r="D1062" s="330" t="s">
        <v>628</v>
      </c>
      <c r="E1062"/>
      <c r="F1062"/>
      <c r="G1062"/>
      <c r="I1062"/>
      <c r="L1062"/>
    </row>
    <row r="1063" spans="1:12">
      <c r="A1063" s="2" t="str">
        <f t="shared" si="87"/>
        <v/>
      </c>
      <c r="B1063" s="2" t="str">
        <f t="shared" si="85"/>
        <v/>
      </c>
      <c r="C1063" s="2" t="e">
        <f t="shared" si="86"/>
        <v>#REF!</v>
      </c>
      <c r="D1063" s="330" t="s">
        <v>628</v>
      </c>
      <c r="E1063"/>
      <c r="F1063"/>
      <c r="G1063"/>
      <c r="I1063"/>
      <c r="L1063"/>
    </row>
    <row r="1064" spans="1:12">
      <c r="A1064" s="2" t="str">
        <f t="shared" si="87"/>
        <v/>
      </c>
      <c r="B1064" s="2" t="str">
        <f t="shared" si="85"/>
        <v/>
      </c>
      <c r="C1064" s="2" t="e">
        <f t="shared" si="86"/>
        <v>#REF!</v>
      </c>
      <c r="D1064" s="330" t="s">
        <v>628</v>
      </c>
      <c r="E1064"/>
      <c r="F1064"/>
      <c r="G1064"/>
      <c r="I1064"/>
      <c r="L1064"/>
    </row>
    <row r="1065" spans="1:12">
      <c r="A1065" s="2" t="str">
        <f t="shared" si="87"/>
        <v/>
      </c>
      <c r="B1065" s="2" t="str">
        <f t="shared" si="85"/>
        <v/>
      </c>
      <c r="C1065" s="2" t="e">
        <f t="shared" si="86"/>
        <v>#REF!</v>
      </c>
      <c r="D1065" s="330" t="s">
        <v>628</v>
      </c>
      <c r="E1065"/>
      <c r="F1065"/>
      <c r="G1065"/>
      <c r="I1065"/>
      <c r="L1065"/>
    </row>
    <row r="1066" spans="1:12">
      <c r="A1066" s="2" t="str">
        <f t="shared" si="87"/>
        <v/>
      </c>
      <c r="B1066" s="2" t="str">
        <f t="shared" si="85"/>
        <v/>
      </c>
      <c r="C1066" s="2" t="e">
        <f t="shared" si="86"/>
        <v>#REF!</v>
      </c>
      <c r="D1066" s="330" t="s">
        <v>628</v>
      </c>
      <c r="E1066"/>
      <c r="F1066"/>
      <c r="G1066"/>
      <c r="I1066"/>
      <c r="L1066"/>
    </row>
    <row r="1067" spans="1:12">
      <c r="A1067" s="2" t="str">
        <f t="shared" si="87"/>
        <v/>
      </c>
      <c r="B1067" s="2" t="str">
        <f t="shared" si="85"/>
        <v/>
      </c>
      <c r="C1067" s="2" t="e">
        <f t="shared" si="86"/>
        <v>#REF!</v>
      </c>
      <c r="D1067" s="330" t="s">
        <v>628</v>
      </c>
      <c r="E1067"/>
      <c r="F1067"/>
      <c r="G1067"/>
      <c r="I1067"/>
      <c r="L1067"/>
    </row>
    <row r="1068" spans="1:12">
      <c r="A1068" s="2" t="str">
        <f t="shared" si="87"/>
        <v/>
      </c>
      <c r="B1068" s="2" t="str">
        <f t="shared" si="85"/>
        <v/>
      </c>
      <c r="C1068" s="2" t="e">
        <f t="shared" si="86"/>
        <v>#REF!</v>
      </c>
      <c r="D1068" s="330" t="s">
        <v>628</v>
      </c>
      <c r="E1068"/>
      <c r="F1068"/>
      <c r="G1068"/>
      <c r="I1068"/>
      <c r="L1068"/>
    </row>
    <row r="1069" spans="1:12">
      <c r="A1069" s="2" t="str">
        <f t="shared" si="87"/>
        <v/>
      </c>
      <c r="B1069" s="2" t="str">
        <f t="shared" si="85"/>
        <v/>
      </c>
      <c r="C1069" s="2" t="e">
        <f t="shared" si="86"/>
        <v>#REF!</v>
      </c>
      <c r="D1069" s="330" t="s">
        <v>628</v>
      </c>
      <c r="E1069"/>
      <c r="F1069"/>
      <c r="G1069"/>
      <c r="I1069"/>
      <c r="L1069"/>
    </row>
    <row r="1070" spans="1:12">
      <c r="A1070" s="2" t="str">
        <f t="shared" si="87"/>
        <v/>
      </c>
      <c r="B1070" s="2" t="str">
        <f t="shared" si="85"/>
        <v/>
      </c>
      <c r="C1070" s="2" t="e">
        <f t="shared" si="86"/>
        <v>#REF!</v>
      </c>
      <c r="D1070" s="330" t="s">
        <v>628</v>
      </c>
      <c r="E1070"/>
      <c r="F1070"/>
      <c r="G1070"/>
      <c r="I1070"/>
    </row>
    <row r="1071" spans="1:12">
      <c r="A1071" s="2" t="str">
        <f t="shared" si="87"/>
        <v/>
      </c>
      <c r="B1071" s="2" t="str">
        <f t="shared" si="85"/>
        <v/>
      </c>
      <c r="C1071" s="2" t="e">
        <f t="shared" si="86"/>
        <v>#REF!</v>
      </c>
      <c r="D1071" s="330" t="s">
        <v>628</v>
      </c>
      <c r="E1071"/>
      <c r="F1071"/>
      <c r="G1071"/>
      <c r="I1071"/>
    </row>
    <row r="1072" spans="1:12">
      <c r="A1072" s="2" t="str">
        <f t="shared" si="87"/>
        <v/>
      </c>
      <c r="B1072" s="2" t="str">
        <f t="shared" si="85"/>
        <v/>
      </c>
      <c r="C1072" s="2" t="e">
        <f t="shared" si="86"/>
        <v>#REF!</v>
      </c>
      <c r="D1072" s="330" t="s">
        <v>628</v>
      </c>
      <c r="E1072"/>
      <c r="F1072"/>
      <c r="G1072"/>
      <c r="I1072"/>
    </row>
    <row r="1073" spans="1:9">
      <c r="A1073" s="2" t="str">
        <f t="shared" si="87"/>
        <v/>
      </c>
      <c r="B1073" s="2" t="str">
        <f t="shared" si="85"/>
        <v/>
      </c>
      <c r="C1073" s="2" t="e">
        <f t="shared" si="86"/>
        <v>#REF!</v>
      </c>
      <c r="D1073" s="330" t="s">
        <v>628</v>
      </c>
      <c r="E1073"/>
      <c r="F1073"/>
      <c r="G1073"/>
      <c r="I1073"/>
    </row>
    <row r="1074" spans="1:9">
      <c r="A1074" s="2" t="str">
        <f t="shared" si="87"/>
        <v/>
      </c>
      <c r="B1074" s="2" t="str">
        <f t="shared" si="85"/>
        <v/>
      </c>
      <c r="C1074" s="2" t="e">
        <f t="shared" si="86"/>
        <v>#REF!</v>
      </c>
      <c r="D1074" s="330" t="s">
        <v>628</v>
      </c>
      <c r="E1074"/>
      <c r="F1074"/>
      <c r="G1074"/>
      <c r="I1074"/>
    </row>
    <row r="1075" spans="1:9">
      <c r="A1075" s="2" t="str">
        <f t="shared" si="87"/>
        <v/>
      </c>
      <c r="B1075" s="2" t="str">
        <f t="shared" si="85"/>
        <v/>
      </c>
      <c r="C1075" s="2" t="e">
        <f t="shared" si="86"/>
        <v>#REF!</v>
      </c>
      <c r="D1075" s="330" t="s">
        <v>628</v>
      </c>
      <c r="E1075"/>
      <c r="F1075"/>
      <c r="G1075"/>
      <c r="I1075"/>
    </row>
    <row r="1076" spans="1:9">
      <c r="A1076" s="2" t="str">
        <f t="shared" si="87"/>
        <v/>
      </c>
      <c r="B1076" s="2" t="str">
        <f t="shared" si="85"/>
        <v/>
      </c>
      <c r="C1076" s="2" t="e">
        <f t="shared" si="86"/>
        <v>#REF!</v>
      </c>
      <c r="D1076" s="330" t="s">
        <v>628</v>
      </c>
      <c r="E1076"/>
      <c r="F1076"/>
      <c r="G1076"/>
      <c r="I1076"/>
    </row>
    <row r="1077" spans="1:9">
      <c r="A1077" s="2" t="str">
        <f t="shared" ref="A1077:A1140" si="88">IF(B1077="*",ROW(),"")</f>
        <v/>
      </c>
      <c r="B1077" s="2" t="str">
        <f t="shared" ref="B1077:B1140" si="89">LEFT(E1077,1)</f>
        <v/>
      </c>
      <c r="C1077" s="2" t="e">
        <f t="shared" ref="C1077:C1140" si="90">IF(B1077="*",RIGHT(E1077,10),C1076)</f>
        <v>#REF!</v>
      </c>
      <c r="D1077" s="330" t="s">
        <v>628</v>
      </c>
      <c r="E1077"/>
      <c r="F1077"/>
      <c r="G1077"/>
      <c r="I1077"/>
    </row>
    <row r="1078" spans="1:9">
      <c r="A1078" s="2" t="str">
        <f t="shared" si="88"/>
        <v/>
      </c>
      <c r="B1078" s="2" t="str">
        <f t="shared" si="89"/>
        <v/>
      </c>
      <c r="C1078" s="2" t="e">
        <f t="shared" si="90"/>
        <v>#REF!</v>
      </c>
      <c r="D1078" s="330" t="s">
        <v>628</v>
      </c>
      <c r="E1078"/>
      <c r="F1078"/>
      <c r="G1078"/>
      <c r="I1078"/>
    </row>
    <row r="1079" spans="1:9">
      <c r="A1079" s="2" t="str">
        <f t="shared" si="88"/>
        <v/>
      </c>
      <c r="B1079" s="2" t="str">
        <f t="shared" si="89"/>
        <v/>
      </c>
      <c r="C1079" s="2" t="e">
        <f t="shared" si="90"/>
        <v>#REF!</v>
      </c>
      <c r="D1079" s="330" t="s">
        <v>628</v>
      </c>
      <c r="E1079"/>
      <c r="F1079"/>
      <c r="G1079"/>
      <c r="I1079"/>
    </row>
    <row r="1080" spans="1:9">
      <c r="A1080" s="2" t="str">
        <f t="shared" si="88"/>
        <v/>
      </c>
      <c r="B1080" s="2" t="str">
        <f t="shared" si="89"/>
        <v/>
      </c>
      <c r="C1080" s="2" t="e">
        <f t="shared" si="90"/>
        <v>#REF!</v>
      </c>
      <c r="D1080" s="330" t="s">
        <v>628</v>
      </c>
      <c r="E1080"/>
      <c r="F1080"/>
      <c r="G1080"/>
      <c r="I1080"/>
    </row>
    <row r="1081" spans="1:9">
      <c r="A1081" s="2" t="str">
        <f t="shared" si="88"/>
        <v/>
      </c>
      <c r="B1081" s="2" t="str">
        <f t="shared" si="89"/>
        <v/>
      </c>
      <c r="C1081" s="2" t="e">
        <f t="shared" si="90"/>
        <v>#REF!</v>
      </c>
      <c r="D1081" s="330" t="s">
        <v>628</v>
      </c>
      <c r="E1081"/>
      <c r="F1081"/>
      <c r="G1081"/>
      <c r="I1081"/>
    </row>
    <row r="1082" spans="1:9">
      <c r="A1082" s="2" t="str">
        <f t="shared" si="88"/>
        <v/>
      </c>
      <c r="B1082" s="2" t="str">
        <f t="shared" si="89"/>
        <v/>
      </c>
      <c r="C1082" s="2" t="e">
        <f t="shared" si="90"/>
        <v>#REF!</v>
      </c>
      <c r="D1082" s="330" t="s">
        <v>628</v>
      </c>
      <c r="E1082"/>
      <c r="F1082"/>
      <c r="G1082"/>
      <c r="I1082"/>
    </row>
    <row r="1083" spans="1:9">
      <c r="A1083" s="2" t="str">
        <f t="shared" si="88"/>
        <v/>
      </c>
      <c r="B1083" s="2" t="str">
        <f t="shared" si="89"/>
        <v/>
      </c>
      <c r="C1083" s="2" t="e">
        <f t="shared" si="90"/>
        <v>#REF!</v>
      </c>
      <c r="D1083" s="330" t="s">
        <v>628</v>
      </c>
      <c r="E1083"/>
      <c r="F1083"/>
      <c r="G1083"/>
      <c r="I1083"/>
    </row>
    <row r="1084" spans="1:9">
      <c r="A1084" s="2" t="str">
        <f t="shared" si="88"/>
        <v/>
      </c>
      <c r="B1084" s="2" t="str">
        <f t="shared" si="89"/>
        <v/>
      </c>
      <c r="C1084" s="2" t="e">
        <f t="shared" si="90"/>
        <v>#REF!</v>
      </c>
      <c r="D1084" s="330" t="s">
        <v>628</v>
      </c>
      <c r="E1084"/>
      <c r="F1084"/>
      <c r="G1084"/>
      <c r="I1084"/>
    </row>
    <row r="1085" spans="1:9">
      <c r="A1085" s="2" t="str">
        <f t="shared" si="88"/>
        <v/>
      </c>
      <c r="B1085" s="2" t="str">
        <f t="shared" si="89"/>
        <v/>
      </c>
      <c r="C1085" s="2" t="e">
        <f t="shared" si="90"/>
        <v>#REF!</v>
      </c>
      <c r="D1085" s="330" t="s">
        <v>628</v>
      </c>
      <c r="E1085"/>
      <c r="F1085"/>
      <c r="G1085"/>
      <c r="I1085"/>
    </row>
    <row r="1086" spans="1:9">
      <c r="A1086" s="2" t="str">
        <f t="shared" si="88"/>
        <v/>
      </c>
      <c r="B1086" s="2" t="str">
        <f t="shared" si="89"/>
        <v/>
      </c>
      <c r="C1086" s="2" t="e">
        <f t="shared" si="90"/>
        <v>#REF!</v>
      </c>
      <c r="D1086" s="330" t="s">
        <v>628</v>
      </c>
      <c r="E1086"/>
      <c r="F1086"/>
      <c r="G1086"/>
      <c r="I1086"/>
    </row>
    <row r="1087" spans="1:9">
      <c r="A1087" s="2" t="str">
        <f t="shared" si="88"/>
        <v/>
      </c>
      <c r="B1087" s="2" t="str">
        <f t="shared" si="89"/>
        <v/>
      </c>
      <c r="C1087" s="2" t="e">
        <f t="shared" si="90"/>
        <v>#REF!</v>
      </c>
      <c r="D1087" s="330" t="s">
        <v>628</v>
      </c>
      <c r="E1087"/>
      <c r="F1087"/>
      <c r="G1087"/>
      <c r="I1087"/>
    </row>
    <row r="1088" spans="1:9">
      <c r="A1088" s="2" t="str">
        <f t="shared" si="88"/>
        <v/>
      </c>
      <c r="B1088" s="2" t="str">
        <f t="shared" si="89"/>
        <v/>
      </c>
      <c r="C1088" s="2" t="e">
        <f t="shared" si="90"/>
        <v>#REF!</v>
      </c>
      <c r="D1088" s="330" t="s">
        <v>628</v>
      </c>
      <c r="E1088"/>
      <c r="F1088"/>
      <c r="G1088"/>
      <c r="I1088"/>
    </row>
    <row r="1089" spans="1:9">
      <c r="A1089" s="2" t="str">
        <f t="shared" si="88"/>
        <v/>
      </c>
      <c r="B1089" s="2" t="str">
        <f t="shared" si="89"/>
        <v/>
      </c>
      <c r="C1089" s="2" t="e">
        <f t="shared" si="90"/>
        <v>#REF!</v>
      </c>
      <c r="D1089" s="330" t="s">
        <v>628</v>
      </c>
      <c r="E1089"/>
      <c r="F1089"/>
      <c r="G1089"/>
      <c r="I1089"/>
    </row>
    <row r="1090" spans="1:9">
      <c r="A1090" s="2" t="str">
        <f t="shared" si="88"/>
        <v/>
      </c>
      <c r="B1090" s="2" t="str">
        <f t="shared" si="89"/>
        <v/>
      </c>
      <c r="C1090" s="2" t="e">
        <f t="shared" si="90"/>
        <v>#REF!</v>
      </c>
      <c r="D1090" s="330" t="s">
        <v>628</v>
      </c>
      <c r="E1090"/>
      <c r="F1090"/>
      <c r="G1090"/>
      <c r="I1090"/>
    </row>
    <row r="1091" spans="1:9">
      <c r="A1091" s="2" t="str">
        <f t="shared" si="88"/>
        <v/>
      </c>
      <c r="B1091" s="2" t="str">
        <f t="shared" si="89"/>
        <v/>
      </c>
      <c r="C1091" s="2" t="e">
        <f t="shared" si="90"/>
        <v>#REF!</v>
      </c>
      <c r="D1091" s="330" t="s">
        <v>628</v>
      </c>
      <c r="E1091"/>
      <c r="F1091"/>
      <c r="G1091"/>
      <c r="I1091"/>
    </row>
    <row r="1092" spans="1:9">
      <c r="A1092" s="2" t="str">
        <f t="shared" si="88"/>
        <v/>
      </c>
      <c r="B1092" s="2" t="str">
        <f t="shared" si="89"/>
        <v/>
      </c>
      <c r="C1092" s="2" t="e">
        <f t="shared" si="90"/>
        <v>#REF!</v>
      </c>
      <c r="D1092" s="330" t="s">
        <v>628</v>
      </c>
      <c r="E1092"/>
      <c r="F1092"/>
      <c r="G1092"/>
      <c r="I1092"/>
    </row>
    <row r="1093" spans="1:9">
      <c r="A1093" s="2" t="str">
        <f t="shared" si="88"/>
        <v/>
      </c>
      <c r="B1093" s="2" t="str">
        <f t="shared" si="89"/>
        <v/>
      </c>
      <c r="C1093" s="2" t="e">
        <f t="shared" si="90"/>
        <v>#REF!</v>
      </c>
      <c r="D1093" s="330" t="s">
        <v>628</v>
      </c>
      <c r="E1093"/>
      <c r="F1093"/>
      <c r="G1093"/>
      <c r="I1093"/>
    </row>
    <row r="1094" spans="1:9">
      <c r="A1094" s="2" t="str">
        <f t="shared" si="88"/>
        <v/>
      </c>
      <c r="B1094" s="2" t="str">
        <f t="shared" si="89"/>
        <v/>
      </c>
      <c r="C1094" s="2" t="e">
        <f t="shared" si="90"/>
        <v>#REF!</v>
      </c>
      <c r="D1094" s="330" t="s">
        <v>628</v>
      </c>
      <c r="E1094"/>
      <c r="F1094"/>
      <c r="G1094"/>
      <c r="I1094"/>
    </row>
    <row r="1095" spans="1:9">
      <c r="A1095" s="2" t="str">
        <f t="shared" si="88"/>
        <v/>
      </c>
      <c r="B1095" s="2" t="str">
        <f t="shared" si="89"/>
        <v/>
      </c>
      <c r="C1095" s="2" t="e">
        <f t="shared" si="90"/>
        <v>#REF!</v>
      </c>
      <c r="D1095" s="330" t="s">
        <v>628</v>
      </c>
      <c r="E1095"/>
      <c r="F1095"/>
      <c r="G1095"/>
      <c r="I1095"/>
    </row>
    <row r="1096" spans="1:9">
      <c r="A1096" s="2" t="str">
        <f t="shared" si="88"/>
        <v/>
      </c>
      <c r="B1096" s="2" t="str">
        <f t="shared" si="89"/>
        <v/>
      </c>
      <c r="C1096" s="2" t="e">
        <f t="shared" si="90"/>
        <v>#REF!</v>
      </c>
      <c r="D1096" s="330" t="s">
        <v>628</v>
      </c>
      <c r="E1096"/>
      <c r="F1096"/>
      <c r="G1096"/>
      <c r="I1096"/>
    </row>
    <row r="1097" spans="1:9">
      <c r="A1097" s="2" t="str">
        <f t="shared" si="88"/>
        <v/>
      </c>
      <c r="B1097" s="2" t="str">
        <f t="shared" si="89"/>
        <v/>
      </c>
      <c r="C1097" s="2" t="e">
        <f t="shared" si="90"/>
        <v>#REF!</v>
      </c>
      <c r="D1097" s="330" t="s">
        <v>628</v>
      </c>
      <c r="E1097"/>
      <c r="F1097"/>
      <c r="G1097"/>
      <c r="I1097"/>
    </row>
    <row r="1098" spans="1:9">
      <c r="A1098" s="2" t="str">
        <f t="shared" si="88"/>
        <v/>
      </c>
      <c r="B1098" s="2" t="str">
        <f t="shared" si="89"/>
        <v/>
      </c>
      <c r="C1098" s="2" t="e">
        <f t="shared" si="90"/>
        <v>#REF!</v>
      </c>
      <c r="D1098" s="330" t="s">
        <v>628</v>
      </c>
      <c r="E1098"/>
      <c r="F1098"/>
      <c r="G1098"/>
      <c r="I1098"/>
    </row>
    <row r="1099" spans="1:9">
      <c r="A1099" s="2" t="str">
        <f t="shared" si="88"/>
        <v/>
      </c>
      <c r="B1099" s="2" t="str">
        <f t="shared" si="89"/>
        <v/>
      </c>
      <c r="C1099" s="2" t="e">
        <f t="shared" si="90"/>
        <v>#REF!</v>
      </c>
      <c r="D1099" s="330" t="s">
        <v>628</v>
      </c>
      <c r="E1099"/>
      <c r="F1099"/>
      <c r="G1099"/>
      <c r="I1099"/>
    </row>
    <row r="1100" spans="1:9">
      <c r="A1100" s="2" t="str">
        <f t="shared" si="88"/>
        <v/>
      </c>
      <c r="B1100" s="2" t="str">
        <f t="shared" si="89"/>
        <v/>
      </c>
      <c r="C1100" s="2" t="e">
        <f t="shared" si="90"/>
        <v>#REF!</v>
      </c>
      <c r="D1100" s="330" t="s">
        <v>628</v>
      </c>
      <c r="E1100"/>
      <c r="F1100"/>
      <c r="G1100"/>
      <c r="I1100"/>
    </row>
    <row r="1101" spans="1:9">
      <c r="A1101" s="2" t="str">
        <f t="shared" si="88"/>
        <v/>
      </c>
      <c r="B1101" s="2" t="str">
        <f t="shared" si="89"/>
        <v/>
      </c>
      <c r="C1101" s="2" t="e">
        <f t="shared" si="90"/>
        <v>#REF!</v>
      </c>
      <c r="D1101" s="330" t="s">
        <v>628</v>
      </c>
      <c r="E1101"/>
      <c r="F1101"/>
      <c r="G1101"/>
      <c r="I1101"/>
    </row>
    <row r="1102" spans="1:9">
      <c r="A1102" s="2" t="str">
        <f t="shared" si="88"/>
        <v/>
      </c>
      <c r="B1102" s="2" t="str">
        <f t="shared" si="89"/>
        <v/>
      </c>
      <c r="C1102" s="2" t="e">
        <f t="shared" si="90"/>
        <v>#REF!</v>
      </c>
      <c r="D1102" s="330" t="s">
        <v>628</v>
      </c>
      <c r="E1102"/>
      <c r="F1102"/>
      <c r="G1102"/>
      <c r="I1102"/>
    </row>
    <row r="1103" spans="1:9">
      <c r="A1103" s="2" t="str">
        <f t="shared" si="88"/>
        <v/>
      </c>
      <c r="B1103" s="2" t="str">
        <f t="shared" si="89"/>
        <v/>
      </c>
      <c r="C1103" s="2" t="e">
        <f t="shared" si="90"/>
        <v>#REF!</v>
      </c>
      <c r="D1103" s="330" t="s">
        <v>628</v>
      </c>
      <c r="E1103"/>
      <c r="F1103"/>
      <c r="G1103"/>
      <c r="I1103"/>
    </row>
    <row r="1104" spans="1:9">
      <c r="A1104" s="2" t="str">
        <f t="shared" si="88"/>
        <v/>
      </c>
      <c r="B1104" s="2" t="str">
        <f t="shared" si="89"/>
        <v/>
      </c>
      <c r="C1104" s="2" t="e">
        <f t="shared" si="90"/>
        <v>#REF!</v>
      </c>
      <c r="D1104" s="330" t="s">
        <v>628</v>
      </c>
      <c r="E1104"/>
      <c r="F1104"/>
      <c r="G1104"/>
      <c r="I1104"/>
    </row>
    <row r="1105" spans="1:9">
      <c r="A1105" s="2" t="str">
        <f t="shared" si="88"/>
        <v/>
      </c>
      <c r="B1105" s="2" t="str">
        <f t="shared" si="89"/>
        <v/>
      </c>
      <c r="C1105" s="2" t="e">
        <f t="shared" si="90"/>
        <v>#REF!</v>
      </c>
      <c r="D1105" s="330" t="s">
        <v>628</v>
      </c>
      <c r="E1105"/>
      <c r="F1105"/>
      <c r="G1105"/>
      <c r="I1105"/>
    </row>
    <row r="1106" spans="1:9">
      <c r="A1106" s="2" t="str">
        <f t="shared" si="88"/>
        <v/>
      </c>
      <c r="B1106" s="2" t="str">
        <f t="shared" si="89"/>
        <v/>
      </c>
      <c r="C1106" s="2" t="e">
        <f t="shared" si="90"/>
        <v>#REF!</v>
      </c>
      <c r="D1106" s="330" t="s">
        <v>628</v>
      </c>
      <c r="E1106"/>
      <c r="F1106"/>
      <c r="G1106"/>
      <c r="I1106"/>
    </row>
    <row r="1107" spans="1:9">
      <c r="A1107" s="2" t="str">
        <f t="shared" si="88"/>
        <v/>
      </c>
      <c r="B1107" s="2" t="str">
        <f t="shared" si="89"/>
        <v/>
      </c>
      <c r="C1107" s="2" t="e">
        <f t="shared" si="90"/>
        <v>#REF!</v>
      </c>
      <c r="D1107" s="330" t="s">
        <v>628</v>
      </c>
      <c r="E1107"/>
      <c r="F1107"/>
      <c r="G1107"/>
      <c r="I1107"/>
    </row>
    <row r="1108" spans="1:9">
      <c r="A1108" s="2" t="str">
        <f t="shared" si="88"/>
        <v/>
      </c>
      <c r="B1108" s="2" t="str">
        <f t="shared" si="89"/>
        <v/>
      </c>
      <c r="C1108" s="2" t="e">
        <f t="shared" si="90"/>
        <v>#REF!</v>
      </c>
      <c r="D1108" s="330" t="s">
        <v>628</v>
      </c>
      <c r="E1108"/>
      <c r="F1108"/>
      <c r="G1108"/>
      <c r="I1108"/>
    </row>
    <row r="1109" spans="1:9">
      <c r="A1109" s="2" t="str">
        <f t="shared" si="88"/>
        <v/>
      </c>
      <c r="B1109" s="2" t="str">
        <f t="shared" si="89"/>
        <v/>
      </c>
      <c r="C1109" s="2" t="e">
        <f t="shared" si="90"/>
        <v>#REF!</v>
      </c>
      <c r="D1109" s="330" t="s">
        <v>628</v>
      </c>
      <c r="E1109"/>
      <c r="F1109"/>
      <c r="G1109"/>
      <c r="I1109"/>
    </row>
    <row r="1110" spans="1:9">
      <c r="A1110" s="2" t="str">
        <f t="shared" si="88"/>
        <v/>
      </c>
      <c r="B1110" s="2" t="str">
        <f t="shared" si="89"/>
        <v/>
      </c>
      <c r="C1110" s="2" t="e">
        <f t="shared" si="90"/>
        <v>#REF!</v>
      </c>
      <c r="D1110" s="330" t="s">
        <v>628</v>
      </c>
      <c r="E1110"/>
      <c r="F1110"/>
      <c r="G1110"/>
      <c r="I1110"/>
    </row>
    <row r="1111" spans="1:9">
      <c r="A1111" s="2" t="str">
        <f t="shared" si="88"/>
        <v/>
      </c>
      <c r="B1111" s="2" t="str">
        <f t="shared" si="89"/>
        <v/>
      </c>
      <c r="C1111" s="2" t="e">
        <f t="shared" si="90"/>
        <v>#REF!</v>
      </c>
      <c r="D1111" s="330" t="s">
        <v>628</v>
      </c>
      <c r="E1111"/>
      <c r="F1111"/>
      <c r="G1111"/>
      <c r="I1111"/>
    </row>
    <row r="1112" spans="1:9">
      <c r="A1112" s="2" t="str">
        <f t="shared" si="88"/>
        <v/>
      </c>
      <c r="B1112" s="2" t="str">
        <f t="shared" si="89"/>
        <v/>
      </c>
      <c r="C1112" s="2" t="e">
        <f t="shared" si="90"/>
        <v>#REF!</v>
      </c>
      <c r="D1112" s="330" t="s">
        <v>628</v>
      </c>
      <c r="E1112"/>
      <c r="F1112"/>
      <c r="G1112"/>
      <c r="I1112"/>
    </row>
    <row r="1113" spans="1:9">
      <c r="A1113" s="2" t="str">
        <f t="shared" si="88"/>
        <v/>
      </c>
      <c r="B1113" s="2" t="str">
        <f t="shared" si="89"/>
        <v/>
      </c>
      <c r="C1113" s="2" t="e">
        <f t="shared" si="90"/>
        <v>#REF!</v>
      </c>
      <c r="D1113" s="330" t="s">
        <v>628</v>
      </c>
      <c r="E1113"/>
      <c r="F1113"/>
      <c r="G1113"/>
      <c r="I1113"/>
    </row>
    <row r="1114" spans="1:9">
      <c r="A1114" s="2" t="str">
        <f t="shared" si="88"/>
        <v/>
      </c>
      <c r="B1114" s="2" t="str">
        <f t="shared" si="89"/>
        <v/>
      </c>
      <c r="C1114" s="2" t="e">
        <f t="shared" si="90"/>
        <v>#REF!</v>
      </c>
      <c r="D1114" s="330" t="s">
        <v>628</v>
      </c>
      <c r="E1114"/>
      <c r="F1114"/>
      <c r="G1114"/>
      <c r="I1114"/>
    </row>
    <row r="1115" spans="1:9">
      <c r="A1115" s="2" t="str">
        <f t="shared" si="88"/>
        <v/>
      </c>
      <c r="B1115" s="2" t="str">
        <f t="shared" si="89"/>
        <v/>
      </c>
      <c r="C1115" s="2" t="e">
        <f t="shared" si="90"/>
        <v>#REF!</v>
      </c>
      <c r="D1115" s="330" t="s">
        <v>628</v>
      </c>
      <c r="E1115"/>
      <c r="F1115"/>
      <c r="G1115"/>
      <c r="I1115"/>
    </row>
    <row r="1116" spans="1:9">
      <c r="A1116" s="2" t="str">
        <f t="shared" si="88"/>
        <v/>
      </c>
      <c r="B1116" s="2" t="str">
        <f t="shared" si="89"/>
        <v/>
      </c>
      <c r="C1116" s="2" t="e">
        <f t="shared" si="90"/>
        <v>#REF!</v>
      </c>
      <c r="D1116" s="330" t="s">
        <v>628</v>
      </c>
      <c r="E1116"/>
      <c r="F1116"/>
      <c r="G1116"/>
      <c r="I1116"/>
    </row>
    <row r="1117" spans="1:9">
      <c r="A1117" s="2" t="str">
        <f t="shared" si="88"/>
        <v/>
      </c>
      <c r="B1117" s="2" t="str">
        <f t="shared" si="89"/>
        <v/>
      </c>
      <c r="C1117" s="2" t="e">
        <f t="shared" si="90"/>
        <v>#REF!</v>
      </c>
      <c r="D1117" s="330" t="s">
        <v>628</v>
      </c>
      <c r="E1117"/>
      <c r="F1117"/>
      <c r="G1117"/>
      <c r="I1117"/>
    </row>
    <row r="1118" spans="1:9">
      <c r="A1118" s="2" t="str">
        <f t="shared" si="88"/>
        <v/>
      </c>
      <c r="B1118" s="2" t="str">
        <f t="shared" si="89"/>
        <v/>
      </c>
      <c r="C1118" s="2" t="e">
        <f t="shared" si="90"/>
        <v>#REF!</v>
      </c>
      <c r="D1118" s="330" t="s">
        <v>628</v>
      </c>
      <c r="E1118"/>
      <c r="F1118"/>
      <c r="G1118"/>
      <c r="I1118"/>
    </row>
    <row r="1119" spans="1:9">
      <c r="A1119" s="2" t="str">
        <f t="shared" si="88"/>
        <v/>
      </c>
      <c r="B1119" s="2" t="str">
        <f t="shared" si="89"/>
        <v/>
      </c>
      <c r="C1119" s="2" t="e">
        <f t="shared" si="90"/>
        <v>#REF!</v>
      </c>
      <c r="D1119" s="330" t="s">
        <v>628</v>
      </c>
      <c r="E1119"/>
      <c r="F1119"/>
      <c r="G1119"/>
      <c r="I1119"/>
    </row>
    <row r="1120" spans="1:9">
      <c r="A1120" s="2" t="str">
        <f t="shared" si="88"/>
        <v/>
      </c>
      <c r="B1120" s="2" t="str">
        <f t="shared" si="89"/>
        <v/>
      </c>
      <c r="C1120" s="2" t="e">
        <f t="shared" si="90"/>
        <v>#REF!</v>
      </c>
      <c r="D1120" s="330" t="s">
        <v>628</v>
      </c>
      <c r="E1120"/>
      <c r="F1120"/>
      <c r="G1120"/>
      <c r="I1120"/>
    </row>
    <row r="1121" spans="1:9">
      <c r="A1121" s="2" t="str">
        <f t="shared" si="88"/>
        <v/>
      </c>
      <c r="B1121" s="2" t="str">
        <f t="shared" si="89"/>
        <v/>
      </c>
      <c r="C1121" s="2" t="e">
        <f t="shared" si="90"/>
        <v>#REF!</v>
      </c>
      <c r="D1121" s="330" t="s">
        <v>628</v>
      </c>
      <c r="E1121"/>
      <c r="F1121"/>
      <c r="G1121"/>
      <c r="I1121"/>
    </row>
    <row r="1122" spans="1:9">
      <c r="A1122" s="2" t="str">
        <f t="shared" si="88"/>
        <v/>
      </c>
      <c r="B1122" s="2" t="str">
        <f t="shared" si="89"/>
        <v/>
      </c>
      <c r="C1122" s="2" t="e">
        <f t="shared" si="90"/>
        <v>#REF!</v>
      </c>
      <c r="D1122" s="330" t="s">
        <v>628</v>
      </c>
      <c r="E1122"/>
      <c r="F1122"/>
      <c r="G1122"/>
      <c r="I1122"/>
    </row>
    <row r="1123" spans="1:9">
      <c r="A1123" s="2" t="str">
        <f t="shared" si="88"/>
        <v/>
      </c>
      <c r="B1123" s="2" t="str">
        <f t="shared" si="89"/>
        <v/>
      </c>
      <c r="C1123" s="2" t="e">
        <f t="shared" si="90"/>
        <v>#REF!</v>
      </c>
      <c r="D1123" s="330" t="s">
        <v>628</v>
      </c>
      <c r="E1123"/>
      <c r="F1123"/>
      <c r="G1123"/>
      <c r="I1123"/>
    </row>
    <row r="1124" spans="1:9">
      <c r="A1124" s="2" t="str">
        <f t="shared" si="88"/>
        <v/>
      </c>
      <c r="B1124" s="2" t="str">
        <f t="shared" si="89"/>
        <v/>
      </c>
      <c r="C1124" s="2" t="e">
        <f t="shared" si="90"/>
        <v>#REF!</v>
      </c>
      <c r="D1124" s="330" t="s">
        <v>628</v>
      </c>
      <c r="E1124"/>
      <c r="F1124"/>
      <c r="G1124"/>
      <c r="I1124"/>
    </row>
    <row r="1125" spans="1:9">
      <c r="A1125" s="2" t="str">
        <f t="shared" si="88"/>
        <v/>
      </c>
      <c r="B1125" s="2" t="str">
        <f t="shared" si="89"/>
        <v/>
      </c>
      <c r="C1125" s="2" t="e">
        <f t="shared" si="90"/>
        <v>#REF!</v>
      </c>
      <c r="D1125" s="330" t="s">
        <v>628</v>
      </c>
      <c r="E1125"/>
      <c r="F1125"/>
      <c r="G1125"/>
      <c r="I1125"/>
    </row>
    <row r="1126" spans="1:9">
      <c r="A1126" s="2" t="str">
        <f t="shared" si="88"/>
        <v/>
      </c>
      <c r="B1126" s="2" t="str">
        <f t="shared" si="89"/>
        <v/>
      </c>
      <c r="C1126" s="2" t="e">
        <f t="shared" si="90"/>
        <v>#REF!</v>
      </c>
      <c r="D1126" s="330" t="s">
        <v>628</v>
      </c>
      <c r="E1126"/>
      <c r="F1126"/>
      <c r="G1126"/>
      <c r="I1126"/>
    </row>
    <row r="1127" spans="1:9">
      <c r="A1127" s="2" t="str">
        <f t="shared" si="88"/>
        <v/>
      </c>
      <c r="B1127" s="2" t="str">
        <f t="shared" si="89"/>
        <v/>
      </c>
      <c r="C1127" s="2" t="e">
        <f t="shared" si="90"/>
        <v>#REF!</v>
      </c>
      <c r="D1127" s="330" t="s">
        <v>628</v>
      </c>
      <c r="E1127"/>
      <c r="F1127"/>
      <c r="G1127"/>
      <c r="I1127"/>
    </row>
    <row r="1128" spans="1:9">
      <c r="A1128" s="2" t="str">
        <f t="shared" si="88"/>
        <v/>
      </c>
      <c r="B1128" s="2" t="str">
        <f t="shared" si="89"/>
        <v/>
      </c>
      <c r="C1128" s="2" t="e">
        <f t="shared" si="90"/>
        <v>#REF!</v>
      </c>
      <c r="D1128" s="330" t="s">
        <v>628</v>
      </c>
      <c r="E1128"/>
      <c r="F1128"/>
      <c r="G1128"/>
      <c r="I1128"/>
    </row>
    <row r="1129" spans="1:9">
      <c r="A1129" s="2" t="str">
        <f t="shared" si="88"/>
        <v/>
      </c>
      <c r="B1129" s="2" t="str">
        <f t="shared" si="89"/>
        <v/>
      </c>
      <c r="C1129" s="2" t="e">
        <f t="shared" si="90"/>
        <v>#REF!</v>
      </c>
      <c r="D1129" s="330" t="s">
        <v>628</v>
      </c>
      <c r="E1129"/>
      <c r="F1129"/>
      <c r="G1129"/>
      <c r="I1129"/>
    </row>
    <row r="1130" spans="1:9">
      <c r="A1130" s="2" t="str">
        <f t="shared" si="88"/>
        <v/>
      </c>
      <c r="B1130" s="2" t="str">
        <f t="shared" si="89"/>
        <v/>
      </c>
      <c r="C1130" s="2" t="e">
        <f t="shared" si="90"/>
        <v>#REF!</v>
      </c>
      <c r="D1130" s="330" t="s">
        <v>628</v>
      </c>
      <c r="E1130"/>
      <c r="F1130"/>
      <c r="G1130"/>
      <c r="I1130"/>
    </row>
    <row r="1131" spans="1:9">
      <c r="A1131" s="2" t="str">
        <f t="shared" si="88"/>
        <v/>
      </c>
      <c r="B1131" s="2" t="str">
        <f t="shared" si="89"/>
        <v/>
      </c>
      <c r="C1131" s="2" t="e">
        <f t="shared" si="90"/>
        <v>#REF!</v>
      </c>
      <c r="D1131" s="330" t="s">
        <v>628</v>
      </c>
      <c r="E1131"/>
      <c r="F1131"/>
      <c r="G1131"/>
      <c r="I1131"/>
    </row>
    <row r="1132" spans="1:9">
      <c r="A1132" s="2" t="str">
        <f t="shared" si="88"/>
        <v/>
      </c>
      <c r="B1132" s="2" t="str">
        <f t="shared" si="89"/>
        <v/>
      </c>
      <c r="C1132" s="2" t="e">
        <f t="shared" si="90"/>
        <v>#REF!</v>
      </c>
      <c r="D1132" s="330" t="s">
        <v>628</v>
      </c>
      <c r="E1132"/>
      <c r="F1132"/>
      <c r="G1132"/>
      <c r="I1132"/>
    </row>
    <row r="1133" spans="1:9">
      <c r="A1133" s="2" t="str">
        <f t="shared" si="88"/>
        <v/>
      </c>
      <c r="B1133" s="2" t="str">
        <f t="shared" si="89"/>
        <v/>
      </c>
      <c r="C1133" s="2" t="e">
        <f t="shared" si="90"/>
        <v>#REF!</v>
      </c>
      <c r="D1133" s="330" t="s">
        <v>628</v>
      </c>
      <c r="E1133"/>
      <c r="F1133"/>
      <c r="G1133"/>
      <c r="I1133"/>
    </row>
    <row r="1134" spans="1:9">
      <c r="A1134" s="2" t="str">
        <f t="shared" si="88"/>
        <v/>
      </c>
      <c r="B1134" s="2" t="str">
        <f t="shared" si="89"/>
        <v/>
      </c>
      <c r="C1134" s="2" t="e">
        <f t="shared" si="90"/>
        <v>#REF!</v>
      </c>
      <c r="D1134" s="330" t="s">
        <v>628</v>
      </c>
      <c r="E1134"/>
      <c r="F1134"/>
      <c r="G1134"/>
      <c r="I1134"/>
    </row>
    <row r="1135" spans="1:9">
      <c r="A1135" s="2" t="str">
        <f t="shared" si="88"/>
        <v/>
      </c>
      <c r="B1135" s="2" t="str">
        <f t="shared" si="89"/>
        <v/>
      </c>
      <c r="C1135" s="2" t="e">
        <f t="shared" si="90"/>
        <v>#REF!</v>
      </c>
      <c r="D1135" s="330" t="s">
        <v>628</v>
      </c>
      <c r="E1135"/>
      <c r="F1135"/>
      <c r="G1135"/>
      <c r="I1135"/>
    </row>
    <row r="1136" spans="1:9">
      <c r="A1136" s="2" t="str">
        <f t="shared" si="88"/>
        <v/>
      </c>
      <c r="B1136" s="2" t="str">
        <f t="shared" si="89"/>
        <v/>
      </c>
      <c r="C1136" s="2" t="e">
        <f t="shared" si="90"/>
        <v>#REF!</v>
      </c>
      <c r="D1136" s="330" t="s">
        <v>628</v>
      </c>
      <c r="E1136"/>
      <c r="F1136"/>
      <c r="G1136"/>
      <c r="I1136"/>
    </row>
    <row r="1137" spans="1:9">
      <c r="A1137" s="2" t="str">
        <f t="shared" si="88"/>
        <v/>
      </c>
      <c r="B1137" s="2" t="str">
        <f t="shared" si="89"/>
        <v/>
      </c>
      <c r="C1137" s="2" t="e">
        <f t="shared" si="90"/>
        <v>#REF!</v>
      </c>
      <c r="D1137" s="330" t="s">
        <v>628</v>
      </c>
      <c r="E1137"/>
      <c r="F1137"/>
      <c r="G1137"/>
      <c r="I1137"/>
    </row>
    <row r="1138" spans="1:9">
      <c r="A1138" s="2" t="str">
        <f t="shared" si="88"/>
        <v/>
      </c>
      <c r="B1138" s="2" t="str">
        <f t="shared" si="89"/>
        <v/>
      </c>
      <c r="C1138" s="2" t="e">
        <f t="shared" si="90"/>
        <v>#REF!</v>
      </c>
      <c r="D1138" s="330" t="s">
        <v>628</v>
      </c>
      <c r="E1138"/>
      <c r="F1138"/>
      <c r="G1138"/>
      <c r="I1138"/>
    </row>
    <row r="1139" spans="1:9">
      <c r="A1139" s="2" t="str">
        <f t="shared" si="88"/>
        <v/>
      </c>
      <c r="B1139" s="2" t="str">
        <f t="shared" si="89"/>
        <v/>
      </c>
      <c r="C1139" s="2" t="e">
        <f t="shared" si="90"/>
        <v>#REF!</v>
      </c>
      <c r="D1139" s="330" t="s">
        <v>628</v>
      </c>
      <c r="E1139"/>
      <c r="F1139"/>
      <c r="G1139"/>
      <c r="I1139"/>
    </row>
    <row r="1140" spans="1:9">
      <c r="A1140" s="2" t="str">
        <f t="shared" si="88"/>
        <v/>
      </c>
      <c r="B1140" s="2" t="str">
        <f t="shared" si="89"/>
        <v/>
      </c>
      <c r="C1140" s="2" t="e">
        <f t="shared" si="90"/>
        <v>#REF!</v>
      </c>
      <c r="D1140" s="330" t="s">
        <v>628</v>
      </c>
      <c r="E1140"/>
      <c r="F1140"/>
      <c r="G1140"/>
      <c r="I1140"/>
    </row>
    <row r="1141" spans="1:9">
      <c r="A1141" s="2" t="str">
        <f t="shared" ref="A1141:A1169" si="91">IF(B1141="*",ROW(),"")</f>
        <v/>
      </c>
      <c r="B1141" s="2" t="str">
        <f t="shared" ref="B1141:B1169" si="92">LEFT(E1141,1)</f>
        <v/>
      </c>
      <c r="C1141" s="2" t="e">
        <f t="shared" ref="C1141:C1169" si="93">IF(B1141="*",RIGHT(E1141,10),C1140)</f>
        <v>#REF!</v>
      </c>
      <c r="D1141" s="330" t="s">
        <v>628</v>
      </c>
      <c r="E1141"/>
      <c r="F1141"/>
      <c r="G1141"/>
      <c r="I1141"/>
    </row>
    <row r="1142" spans="1:9">
      <c r="A1142" s="2" t="str">
        <f t="shared" si="91"/>
        <v/>
      </c>
      <c r="B1142" s="2" t="str">
        <f t="shared" si="92"/>
        <v/>
      </c>
      <c r="C1142" s="2" t="e">
        <f t="shared" si="93"/>
        <v>#REF!</v>
      </c>
      <c r="D1142" s="330" t="s">
        <v>628</v>
      </c>
      <c r="E1142"/>
      <c r="F1142"/>
      <c r="G1142"/>
      <c r="I1142"/>
    </row>
    <row r="1143" spans="1:9">
      <c r="A1143" s="2" t="str">
        <f t="shared" si="91"/>
        <v/>
      </c>
      <c r="B1143" s="2" t="str">
        <f t="shared" si="92"/>
        <v/>
      </c>
      <c r="C1143" s="2" t="e">
        <f t="shared" si="93"/>
        <v>#REF!</v>
      </c>
      <c r="D1143" s="330" t="s">
        <v>628</v>
      </c>
      <c r="E1143"/>
      <c r="F1143"/>
      <c r="G1143"/>
      <c r="I1143"/>
    </row>
    <row r="1144" spans="1:9">
      <c r="A1144" s="2" t="str">
        <f t="shared" si="91"/>
        <v/>
      </c>
      <c r="B1144" s="2" t="str">
        <f t="shared" si="92"/>
        <v/>
      </c>
      <c r="C1144" s="2" t="e">
        <f t="shared" si="93"/>
        <v>#REF!</v>
      </c>
      <c r="D1144" s="330" t="s">
        <v>628</v>
      </c>
      <c r="E1144"/>
      <c r="F1144"/>
      <c r="G1144"/>
      <c r="I1144"/>
    </row>
    <row r="1145" spans="1:9">
      <c r="A1145" s="2" t="str">
        <f t="shared" si="91"/>
        <v/>
      </c>
      <c r="B1145" s="2" t="str">
        <f t="shared" si="92"/>
        <v/>
      </c>
      <c r="C1145" s="2" t="e">
        <f t="shared" si="93"/>
        <v>#REF!</v>
      </c>
      <c r="D1145" s="330" t="s">
        <v>628</v>
      </c>
      <c r="E1145"/>
      <c r="F1145"/>
      <c r="G1145"/>
      <c r="I1145"/>
    </row>
    <row r="1146" spans="1:9">
      <c r="A1146" s="2" t="str">
        <f t="shared" si="91"/>
        <v/>
      </c>
      <c r="B1146" s="2" t="str">
        <f t="shared" si="92"/>
        <v/>
      </c>
      <c r="C1146" s="2" t="e">
        <f t="shared" si="93"/>
        <v>#REF!</v>
      </c>
      <c r="D1146" s="330" t="s">
        <v>628</v>
      </c>
      <c r="E1146"/>
      <c r="F1146"/>
      <c r="G1146"/>
      <c r="I1146"/>
    </row>
    <row r="1147" spans="1:9">
      <c r="A1147" s="2" t="str">
        <f t="shared" si="91"/>
        <v/>
      </c>
      <c r="B1147" s="2" t="str">
        <f t="shared" si="92"/>
        <v/>
      </c>
      <c r="C1147" s="2" t="e">
        <f t="shared" si="93"/>
        <v>#REF!</v>
      </c>
      <c r="D1147" s="330" t="s">
        <v>628</v>
      </c>
      <c r="E1147"/>
      <c r="F1147"/>
      <c r="G1147"/>
      <c r="I1147"/>
    </row>
    <row r="1148" spans="1:9">
      <c r="A1148" s="2" t="str">
        <f t="shared" si="91"/>
        <v/>
      </c>
      <c r="B1148" s="2" t="str">
        <f t="shared" si="92"/>
        <v/>
      </c>
      <c r="C1148" s="2" t="e">
        <f t="shared" si="93"/>
        <v>#REF!</v>
      </c>
      <c r="D1148" s="330" t="s">
        <v>628</v>
      </c>
      <c r="E1148"/>
      <c r="F1148"/>
      <c r="G1148"/>
      <c r="I1148"/>
    </row>
    <row r="1149" spans="1:9">
      <c r="A1149" s="2" t="str">
        <f t="shared" si="91"/>
        <v/>
      </c>
      <c r="B1149" s="2" t="str">
        <f t="shared" si="92"/>
        <v/>
      </c>
      <c r="C1149" s="2" t="e">
        <f t="shared" si="93"/>
        <v>#REF!</v>
      </c>
      <c r="D1149" s="330" t="s">
        <v>628</v>
      </c>
      <c r="E1149"/>
      <c r="F1149"/>
      <c r="G1149"/>
      <c r="I1149"/>
    </row>
    <row r="1150" spans="1:9">
      <c r="A1150" s="2" t="str">
        <f t="shared" si="91"/>
        <v/>
      </c>
      <c r="B1150" s="2" t="str">
        <f t="shared" si="92"/>
        <v/>
      </c>
      <c r="C1150" s="2" t="e">
        <f t="shared" si="93"/>
        <v>#REF!</v>
      </c>
      <c r="D1150" s="330" t="s">
        <v>628</v>
      </c>
      <c r="E1150"/>
      <c r="F1150"/>
      <c r="G1150"/>
      <c r="I1150"/>
    </row>
    <row r="1151" spans="1:9">
      <c r="A1151" s="2" t="str">
        <f t="shared" si="91"/>
        <v/>
      </c>
      <c r="B1151" s="2" t="str">
        <f t="shared" si="92"/>
        <v/>
      </c>
      <c r="C1151" s="2" t="e">
        <f t="shared" si="93"/>
        <v>#REF!</v>
      </c>
      <c r="D1151" s="330" t="s">
        <v>628</v>
      </c>
      <c r="E1151"/>
      <c r="F1151"/>
      <c r="G1151"/>
      <c r="I1151"/>
    </row>
    <row r="1152" spans="1:9">
      <c r="A1152" s="2" t="str">
        <f t="shared" si="91"/>
        <v/>
      </c>
      <c r="B1152" s="2" t="str">
        <f t="shared" si="92"/>
        <v/>
      </c>
      <c r="C1152" s="2" t="e">
        <f t="shared" si="93"/>
        <v>#REF!</v>
      </c>
      <c r="D1152" s="330" t="s">
        <v>628</v>
      </c>
      <c r="E1152"/>
      <c r="F1152"/>
      <c r="G1152"/>
      <c r="I1152"/>
    </row>
    <row r="1153" spans="1:9">
      <c r="A1153" s="2" t="str">
        <f t="shared" si="91"/>
        <v/>
      </c>
      <c r="B1153" s="2" t="str">
        <f t="shared" si="92"/>
        <v/>
      </c>
      <c r="C1153" s="2" t="e">
        <f t="shared" si="93"/>
        <v>#REF!</v>
      </c>
      <c r="D1153" s="330" t="s">
        <v>628</v>
      </c>
      <c r="E1153"/>
      <c r="F1153"/>
      <c r="G1153"/>
      <c r="I1153"/>
    </row>
    <row r="1154" spans="1:9">
      <c r="A1154" s="2" t="str">
        <f t="shared" si="91"/>
        <v/>
      </c>
      <c r="B1154" s="2" t="str">
        <f t="shared" si="92"/>
        <v/>
      </c>
      <c r="C1154" s="2" t="e">
        <f t="shared" si="93"/>
        <v>#REF!</v>
      </c>
      <c r="D1154" s="330" t="s">
        <v>628</v>
      </c>
      <c r="E1154"/>
      <c r="F1154"/>
      <c r="G1154"/>
      <c r="I1154"/>
    </row>
    <row r="1155" spans="1:9">
      <c r="A1155" s="2" t="str">
        <f t="shared" si="91"/>
        <v/>
      </c>
      <c r="B1155" s="2" t="str">
        <f t="shared" si="92"/>
        <v/>
      </c>
      <c r="C1155" s="2" t="e">
        <f t="shared" si="93"/>
        <v>#REF!</v>
      </c>
      <c r="D1155" s="330" t="s">
        <v>628</v>
      </c>
      <c r="E1155"/>
      <c r="F1155"/>
      <c r="G1155"/>
      <c r="I1155"/>
    </row>
    <row r="1156" spans="1:9">
      <c r="A1156" s="2" t="str">
        <f t="shared" si="91"/>
        <v/>
      </c>
      <c r="B1156" s="2" t="str">
        <f t="shared" si="92"/>
        <v/>
      </c>
      <c r="C1156" s="2" t="e">
        <f t="shared" si="93"/>
        <v>#REF!</v>
      </c>
      <c r="D1156" s="330" t="s">
        <v>628</v>
      </c>
      <c r="E1156"/>
      <c r="F1156"/>
      <c r="G1156"/>
      <c r="I1156"/>
    </row>
    <row r="1157" spans="1:9">
      <c r="A1157" s="2" t="str">
        <f t="shared" si="91"/>
        <v/>
      </c>
      <c r="B1157" s="2" t="str">
        <f t="shared" si="92"/>
        <v/>
      </c>
      <c r="C1157" s="2" t="e">
        <f t="shared" si="93"/>
        <v>#REF!</v>
      </c>
      <c r="D1157" s="330" t="s">
        <v>628</v>
      </c>
      <c r="E1157"/>
      <c r="F1157"/>
      <c r="G1157"/>
      <c r="I1157"/>
    </row>
    <row r="1158" spans="1:9">
      <c r="A1158" s="2" t="str">
        <f t="shared" si="91"/>
        <v/>
      </c>
      <c r="B1158" s="2" t="str">
        <f t="shared" si="92"/>
        <v/>
      </c>
      <c r="C1158" s="2" t="e">
        <f t="shared" si="93"/>
        <v>#REF!</v>
      </c>
      <c r="D1158" s="330" t="s">
        <v>628</v>
      </c>
      <c r="E1158"/>
      <c r="F1158"/>
      <c r="G1158"/>
      <c r="I1158"/>
    </row>
    <row r="1159" spans="1:9">
      <c r="A1159" s="2" t="str">
        <f t="shared" si="91"/>
        <v/>
      </c>
      <c r="B1159" s="2" t="str">
        <f t="shared" si="92"/>
        <v/>
      </c>
      <c r="C1159" s="2" t="e">
        <f t="shared" si="93"/>
        <v>#REF!</v>
      </c>
      <c r="D1159" s="330" t="s">
        <v>628</v>
      </c>
      <c r="E1159"/>
      <c r="F1159"/>
      <c r="G1159"/>
      <c r="I1159"/>
    </row>
    <row r="1160" spans="1:9">
      <c r="A1160" s="2" t="str">
        <f t="shared" si="91"/>
        <v/>
      </c>
      <c r="B1160" s="2" t="str">
        <f t="shared" si="92"/>
        <v/>
      </c>
      <c r="C1160" s="2" t="e">
        <f t="shared" si="93"/>
        <v>#REF!</v>
      </c>
      <c r="D1160" s="330" t="s">
        <v>628</v>
      </c>
      <c r="E1160"/>
      <c r="F1160"/>
      <c r="G1160"/>
      <c r="I1160"/>
    </row>
    <row r="1161" spans="1:9">
      <c r="A1161" s="2" t="str">
        <f t="shared" si="91"/>
        <v/>
      </c>
      <c r="B1161" s="2" t="str">
        <f t="shared" si="92"/>
        <v/>
      </c>
      <c r="C1161" s="2" t="e">
        <f t="shared" si="93"/>
        <v>#REF!</v>
      </c>
      <c r="D1161" s="330" t="s">
        <v>628</v>
      </c>
      <c r="E1161"/>
      <c r="F1161"/>
      <c r="G1161"/>
      <c r="I1161"/>
    </row>
    <row r="1162" spans="1:9">
      <c r="A1162" s="2" t="str">
        <f t="shared" si="91"/>
        <v/>
      </c>
      <c r="B1162" s="2" t="str">
        <f t="shared" si="92"/>
        <v/>
      </c>
      <c r="C1162" s="2" t="e">
        <f t="shared" si="93"/>
        <v>#REF!</v>
      </c>
      <c r="D1162" s="330" t="s">
        <v>628</v>
      </c>
      <c r="E1162"/>
      <c r="F1162"/>
      <c r="G1162"/>
      <c r="I1162"/>
    </row>
    <row r="1163" spans="1:9">
      <c r="A1163" s="2" t="str">
        <f t="shared" si="91"/>
        <v/>
      </c>
      <c r="B1163" s="2" t="str">
        <f t="shared" si="92"/>
        <v/>
      </c>
      <c r="C1163" s="2" t="e">
        <f t="shared" si="93"/>
        <v>#REF!</v>
      </c>
      <c r="D1163" s="330" t="s">
        <v>628</v>
      </c>
      <c r="E1163"/>
      <c r="F1163"/>
      <c r="G1163"/>
      <c r="I1163"/>
    </row>
    <row r="1164" spans="1:9">
      <c r="A1164" s="2" t="str">
        <f t="shared" si="91"/>
        <v/>
      </c>
      <c r="B1164" s="2" t="str">
        <f t="shared" si="92"/>
        <v/>
      </c>
      <c r="C1164" s="2" t="e">
        <f t="shared" si="93"/>
        <v>#REF!</v>
      </c>
      <c r="D1164" s="330" t="s">
        <v>628</v>
      </c>
      <c r="E1164"/>
      <c r="F1164"/>
      <c r="G1164"/>
      <c r="I1164"/>
    </row>
    <row r="1165" spans="1:9">
      <c r="A1165" s="2" t="str">
        <f t="shared" si="91"/>
        <v/>
      </c>
      <c r="B1165" s="2" t="str">
        <f t="shared" si="92"/>
        <v/>
      </c>
      <c r="C1165" s="2" t="e">
        <f t="shared" si="93"/>
        <v>#REF!</v>
      </c>
      <c r="D1165" s="330" t="s">
        <v>628</v>
      </c>
      <c r="E1165"/>
      <c r="F1165"/>
      <c r="G1165"/>
      <c r="I1165"/>
    </row>
    <row r="1166" spans="1:9">
      <c r="A1166" s="2" t="str">
        <f t="shared" si="91"/>
        <v/>
      </c>
      <c r="B1166" s="2" t="str">
        <f t="shared" si="92"/>
        <v/>
      </c>
      <c r="C1166" s="2" t="e">
        <f t="shared" si="93"/>
        <v>#REF!</v>
      </c>
      <c r="D1166" s="330" t="s">
        <v>628</v>
      </c>
      <c r="E1166"/>
      <c r="F1166"/>
      <c r="G1166"/>
      <c r="I1166"/>
    </row>
    <row r="1167" spans="1:9">
      <c r="A1167" s="2" t="str">
        <f t="shared" si="91"/>
        <v/>
      </c>
      <c r="B1167" s="2" t="str">
        <f t="shared" si="92"/>
        <v/>
      </c>
      <c r="C1167" s="2" t="e">
        <f t="shared" si="93"/>
        <v>#REF!</v>
      </c>
      <c r="D1167" s="330" t="s">
        <v>628</v>
      </c>
      <c r="E1167"/>
      <c r="F1167"/>
      <c r="G1167"/>
      <c r="I1167"/>
    </row>
    <row r="1168" spans="1:9">
      <c r="A1168" s="2" t="str">
        <f t="shared" si="91"/>
        <v/>
      </c>
      <c r="B1168" s="2" t="str">
        <f t="shared" si="92"/>
        <v/>
      </c>
      <c r="C1168" s="2" t="e">
        <f t="shared" si="93"/>
        <v>#REF!</v>
      </c>
      <c r="D1168" s="330" t="s">
        <v>628</v>
      </c>
      <c r="E1168"/>
      <c r="F1168"/>
      <c r="G1168"/>
      <c r="I1168"/>
    </row>
    <row r="1169" spans="1:9">
      <c r="A1169" s="2" t="str">
        <f t="shared" si="91"/>
        <v/>
      </c>
      <c r="B1169" s="2" t="str">
        <f t="shared" si="92"/>
        <v/>
      </c>
      <c r="C1169" s="2" t="e">
        <f t="shared" si="93"/>
        <v>#REF!</v>
      </c>
      <c r="D1169" s="330" t="s">
        <v>628</v>
      </c>
      <c r="E1169"/>
      <c r="F1169"/>
      <c r="G1169"/>
      <c r="I1169"/>
    </row>
    <row r="1170" spans="1:9" ht="14.4">
      <c r="E1170"/>
      <c r="F1170"/>
      <c r="G1170"/>
      <c r="I1170"/>
    </row>
  </sheetData>
  <autoFilter ref="B4:AB1169"/>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dimension ref="A1:U59"/>
  <sheetViews>
    <sheetView topLeftCell="A10" zoomScale="85" zoomScaleNormal="85" workbookViewId="0">
      <selection activeCell="N18" sqref="N18"/>
    </sheetView>
  </sheetViews>
  <sheetFormatPr baseColWidth="10" defaultColWidth="11.5546875" defaultRowHeight="15.6"/>
  <cols>
    <col min="1" max="1" width="9.6640625" style="441" customWidth="1"/>
    <col min="2" max="2" width="14.33203125" style="441" customWidth="1"/>
    <col min="3" max="5" width="11.5546875" style="441"/>
    <col min="6" max="6" width="8.6640625" style="441" customWidth="1"/>
    <col min="7" max="7" width="12.33203125" style="441" customWidth="1"/>
    <col min="8" max="8" width="4.6640625" style="441" customWidth="1"/>
    <col min="9" max="11" width="11.88671875" style="441" customWidth="1"/>
    <col min="12" max="12" width="14.33203125" style="441" customWidth="1"/>
    <col min="13" max="20" width="11.5546875" style="441"/>
    <col min="21" max="21" width="16.109375" style="441" bestFit="1" customWidth="1"/>
    <col min="22" max="16384" width="11.5546875" style="441"/>
  </cols>
  <sheetData>
    <row r="1" spans="1:20">
      <c r="F1" s="330" t="s">
        <v>820</v>
      </c>
      <c r="G1" s="330" t="s">
        <v>814</v>
      </c>
    </row>
    <row r="2" spans="1:20">
      <c r="A2" s="441" t="s">
        <v>257</v>
      </c>
      <c r="B2" s="330" t="s">
        <v>704</v>
      </c>
      <c r="C2" s="442">
        <v>600</v>
      </c>
      <c r="D2" s="443">
        <v>12000</v>
      </c>
      <c r="E2" s="444">
        <f>C2+D2/25</f>
        <v>1080</v>
      </c>
      <c r="F2" s="450">
        <v>36</v>
      </c>
      <c r="G2" s="449">
        <f>E2*F2</f>
        <v>38880</v>
      </c>
      <c r="N2" s="441">
        <v>123</v>
      </c>
      <c r="O2" s="441">
        <v>704.3</v>
      </c>
      <c r="P2" s="441">
        <f>O2/1000</f>
        <v>0.70429999999999993</v>
      </c>
      <c r="T2" s="440">
        <v>38</v>
      </c>
    </row>
    <row r="4" spans="1:20">
      <c r="A4" s="453">
        <v>44963</v>
      </c>
      <c r="B4" s="450" t="s">
        <v>815</v>
      </c>
      <c r="C4" s="442">
        <v>400</v>
      </c>
      <c r="D4" s="443"/>
      <c r="E4" s="444">
        <f>C4+D4/25</f>
        <v>400</v>
      </c>
      <c r="F4" s="441">
        <v>34.9</v>
      </c>
      <c r="G4" s="449">
        <f>E4*F4</f>
        <v>13960</v>
      </c>
      <c r="N4" s="330" t="s">
        <v>823</v>
      </c>
      <c r="O4" s="330" t="s">
        <v>824</v>
      </c>
      <c r="P4" s="330" t="s">
        <v>825</v>
      </c>
      <c r="Q4" s="330" t="s">
        <v>826</v>
      </c>
      <c r="R4" s="330" t="s">
        <v>827</v>
      </c>
      <c r="S4" s="330" t="s">
        <v>828</v>
      </c>
    </row>
    <row r="5" spans="1:20">
      <c r="A5" s="453">
        <v>44966</v>
      </c>
      <c r="B5" s="450" t="s">
        <v>816</v>
      </c>
      <c r="C5" s="442"/>
      <c r="D5" s="443">
        <v>2000</v>
      </c>
      <c r="E5" s="444">
        <f>C5+D5/25</f>
        <v>80</v>
      </c>
      <c r="F5" s="441">
        <v>1.23</v>
      </c>
      <c r="G5" s="449">
        <f>D5*F5</f>
        <v>2460</v>
      </c>
      <c r="M5" s="445">
        <v>44962</v>
      </c>
      <c r="N5" s="445">
        <v>44963</v>
      </c>
      <c r="O5" s="445">
        <v>44964</v>
      </c>
      <c r="P5" s="445">
        <v>44965</v>
      </c>
      <c r="Q5" s="445">
        <v>44966</v>
      </c>
      <c r="R5" s="445">
        <v>44967</v>
      </c>
      <c r="S5" s="445">
        <v>44968</v>
      </c>
    </row>
    <row r="6" spans="1:20" ht="16.2" thickBot="1">
      <c r="B6" s="450" t="s">
        <v>817</v>
      </c>
      <c r="C6" s="442"/>
      <c r="D6" s="443"/>
      <c r="E6" s="444">
        <f>C6+D6/25</f>
        <v>0</v>
      </c>
      <c r="F6" s="441">
        <v>1.23</v>
      </c>
      <c r="G6" s="449">
        <f>D6*F6</f>
        <v>0</v>
      </c>
    </row>
    <row r="7" spans="1:20">
      <c r="A7" s="453">
        <v>44967</v>
      </c>
      <c r="B7" s="450" t="s">
        <v>819</v>
      </c>
      <c r="C7" s="442"/>
      <c r="D7" s="443">
        <v>4000</v>
      </c>
      <c r="E7" s="444">
        <f>C7+D7/25</f>
        <v>160</v>
      </c>
      <c r="F7" s="441">
        <v>1.23</v>
      </c>
      <c r="G7" s="449">
        <f>D7*F7</f>
        <v>4920</v>
      </c>
      <c r="L7" s="446" t="s">
        <v>205</v>
      </c>
      <c r="N7" s="450">
        <v>0</v>
      </c>
      <c r="O7" s="450">
        <v>25</v>
      </c>
      <c r="P7" s="450">
        <f>190+80</f>
        <v>270</v>
      </c>
      <c r="Q7" s="450"/>
      <c r="R7" s="450">
        <f>165+30</f>
        <v>195</v>
      </c>
      <c r="S7" s="450">
        <f>170+140</f>
        <v>310</v>
      </c>
    </row>
    <row r="8" spans="1:20">
      <c r="C8" s="442"/>
      <c r="D8" s="443"/>
      <c r="L8" s="447" t="s">
        <v>203</v>
      </c>
      <c r="N8" s="450">
        <v>400</v>
      </c>
      <c r="O8" s="450">
        <f>165+200</f>
        <v>365</v>
      </c>
      <c r="P8" s="450">
        <v>480</v>
      </c>
      <c r="Q8" s="450">
        <v>470</v>
      </c>
      <c r="R8" s="450">
        <f>40+60</f>
        <v>100</v>
      </c>
      <c r="S8" s="450">
        <f>100+30</f>
        <v>130</v>
      </c>
    </row>
    <row r="9" spans="1:20">
      <c r="B9" s="450" t="s">
        <v>818</v>
      </c>
      <c r="C9" s="442">
        <f>SUM(C4:C8)</f>
        <v>400</v>
      </c>
      <c r="D9" s="443">
        <f>SUM(D4:D8)</f>
        <v>6000</v>
      </c>
      <c r="E9" s="444">
        <f>C9+D9/25</f>
        <v>640</v>
      </c>
      <c r="G9" s="443">
        <f>SUM(G4:G8)</f>
        <v>21340</v>
      </c>
      <c r="L9" s="447" t="s">
        <v>204</v>
      </c>
      <c r="N9" s="450">
        <f>80+60+120+120</f>
        <v>380</v>
      </c>
      <c r="O9" s="450">
        <f>440+100</f>
        <v>540</v>
      </c>
      <c r="P9" s="450">
        <v>600</v>
      </c>
      <c r="Q9" s="450">
        <v>250</v>
      </c>
      <c r="R9" s="450">
        <v>170</v>
      </c>
    </row>
    <row r="10" spans="1:20">
      <c r="G10" s="458">
        <f>G9/E9</f>
        <v>33.34375</v>
      </c>
      <c r="L10" s="447" t="s">
        <v>146</v>
      </c>
      <c r="N10" s="450">
        <v>120</v>
      </c>
      <c r="O10" s="450">
        <v>50</v>
      </c>
      <c r="P10" s="450">
        <v>75</v>
      </c>
      <c r="Q10" s="450"/>
      <c r="R10" s="450"/>
      <c r="S10" s="450">
        <v>45</v>
      </c>
    </row>
    <row r="11" spans="1:20" ht="16.2" thickBot="1">
      <c r="B11" s="330" t="s">
        <v>830</v>
      </c>
      <c r="C11" s="442">
        <f>+C2-C9</f>
        <v>200</v>
      </c>
      <c r="D11" s="443">
        <f>+D2-D9</f>
        <v>6000</v>
      </c>
      <c r="E11" s="444">
        <v>920</v>
      </c>
      <c r="G11" s="443">
        <f>+G2-G9</f>
        <v>17540</v>
      </c>
      <c r="L11" s="447" t="s">
        <v>630</v>
      </c>
      <c r="N11" s="450">
        <f>160+145+100</f>
        <v>405</v>
      </c>
      <c r="O11" s="450">
        <v>183</v>
      </c>
      <c r="P11" s="450">
        <f>51+41+320</f>
        <v>412</v>
      </c>
      <c r="Q11" s="450">
        <f>72+54</f>
        <v>126</v>
      </c>
      <c r="R11" s="450">
        <f>51+53+320</f>
        <v>424</v>
      </c>
      <c r="S11" s="450"/>
    </row>
    <row r="12" spans="1:20">
      <c r="L12" s="446" t="s">
        <v>149</v>
      </c>
      <c r="N12" s="450">
        <v>0</v>
      </c>
      <c r="O12" s="450"/>
      <c r="P12" s="450">
        <v>0</v>
      </c>
      <c r="Q12" s="450">
        <f>80+90</f>
        <v>170</v>
      </c>
      <c r="R12" s="450">
        <v>90</v>
      </c>
      <c r="S12" s="450">
        <v>426</v>
      </c>
    </row>
    <row r="13" spans="1:20">
      <c r="B13" s="441" t="s">
        <v>563</v>
      </c>
      <c r="G13" s="440">
        <f>+T26</f>
        <v>21146</v>
      </c>
      <c r="L13" s="447" t="s">
        <v>560</v>
      </c>
      <c r="N13" s="450">
        <v>350</v>
      </c>
      <c r="O13" s="450">
        <v>55</v>
      </c>
      <c r="P13" s="450">
        <v>0</v>
      </c>
      <c r="Q13" s="450"/>
      <c r="R13" s="450"/>
      <c r="S13" s="450">
        <v>114</v>
      </c>
    </row>
    <row r="14" spans="1:20" ht="16.2" thickBot="1">
      <c r="L14" s="451" t="s">
        <v>629</v>
      </c>
      <c r="M14" s="450"/>
      <c r="N14" s="450"/>
      <c r="O14" s="450"/>
      <c r="P14" s="450"/>
      <c r="Q14" s="450"/>
      <c r="R14" s="450"/>
      <c r="S14" s="450"/>
    </row>
    <row r="15" spans="1:20">
      <c r="B15" s="452" t="s">
        <v>831</v>
      </c>
      <c r="G15" s="440">
        <f>G13-G9</f>
        <v>-194</v>
      </c>
      <c r="L15" s="446" t="s">
        <v>23</v>
      </c>
      <c r="N15" s="450">
        <v>600</v>
      </c>
      <c r="O15" s="450"/>
      <c r="P15" s="450"/>
      <c r="Q15" s="450"/>
      <c r="R15" s="450">
        <v>350</v>
      </c>
      <c r="S15" s="450"/>
    </row>
    <row r="16" spans="1:20">
      <c r="L16" s="447" t="s">
        <v>151</v>
      </c>
      <c r="N16" s="450"/>
      <c r="O16" s="450"/>
      <c r="P16" s="450">
        <f>300+400</f>
        <v>700</v>
      </c>
      <c r="Q16" s="450">
        <f>200+200</f>
        <v>400</v>
      </c>
      <c r="R16" s="450">
        <f>300+500</f>
        <v>800</v>
      </c>
      <c r="S16" s="450"/>
    </row>
    <row r="17" spans="2:20" ht="16.2" thickBot="1">
      <c r="D17" s="450"/>
      <c r="L17" s="448" t="s">
        <v>8</v>
      </c>
      <c r="M17" s="441" t="s">
        <v>833</v>
      </c>
      <c r="N17" s="450"/>
      <c r="O17" s="450">
        <v>2000</v>
      </c>
      <c r="P17" s="450">
        <v>2300</v>
      </c>
      <c r="Q17" s="450">
        <v>2000</v>
      </c>
      <c r="R17" s="450">
        <v>2170</v>
      </c>
      <c r="S17" s="450"/>
    </row>
    <row r="18" spans="2:20">
      <c r="B18" s="330" t="s">
        <v>834</v>
      </c>
      <c r="C18" s="449">
        <v>100</v>
      </c>
      <c r="D18" s="450"/>
      <c r="E18" s="450"/>
      <c r="L18" s="446" t="s">
        <v>150</v>
      </c>
      <c r="M18" s="454" t="s">
        <v>832</v>
      </c>
      <c r="N18" s="450">
        <v>690</v>
      </c>
      <c r="O18" s="450">
        <f>360+90+ 320</f>
        <v>770</v>
      </c>
      <c r="P18" s="450"/>
      <c r="Q18" s="450"/>
      <c r="R18" s="450"/>
      <c r="S18" s="450"/>
    </row>
    <row r="19" spans="2:20" ht="16.2" thickBot="1">
      <c r="C19" s="449">
        <f>C18-G15</f>
        <v>294</v>
      </c>
      <c r="D19" s="450"/>
      <c r="E19" s="450"/>
      <c r="L19" s="448" t="s">
        <v>144</v>
      </c>
      <c r="N19" s="450"/>
      <c r="O19" s="450"/>
      <c r="P19" s="450"/>
      <c r="Q19" s="450">
        <v>286</v>
      </c>
      <c r="R19" s="450"/>
      <c r="S19" s="450"/>
    </row>
    <row r="20" spans="2:20">
      <c r="E20" s="450"/>
      <c r="I20" s="450">
        <v>2500</v>
      </c>
      <c r="J20" s="442">
        <f>+I20/25.2</f>
        <v>99.206349206349202</v>
      </c>
      <c r="K20" s="450" t="s">
        <v>687</v>
      </c>
      <c r="L20" s="446" t="s">
        <v>145</v>
      </c>
      <c r="N20" s="450"/>
      <c r="O20" s="450"/>
      <c r="P20" s="450"/>
      <c r="Q20" s="450"/>
      <c r="R20" s="450"/>
      <c r="S20" s="450"/>
    </row>
    <row r="21" spans="2:20">
      <c r="E21" s="450"/>
      <c r="I21" s="450">
        <v>8560</v>
      </c>
      <c r="J21" s="442">
        <f>+I21/25.2</f>
        <v>339.6825396825397</v>
      </c>
      <c r="K21" s="450" t="s">
        <v>61</v>
      </c>
      <c r="L21" s="447" t="s">
        <v>206</v>
      </c>
      <c r="N21" s="450"/>
      <c r="O21" s="450"/>
      <c r="P21" s="450">
        <v>350</v>
      </c>
      <c r="Q21" s="450"/>
      <c r="R21" s="450"/>
      <c r="S21" s="450"/>
    </row>
    <row r="22" spans="2:20" ht="16.2" thickBot="1">
      <c r="I22" s="450">
        <f>SUM(I20:I21)</f>
        <v>11060</v>
      </c>
      <c r="J22" s="442">
        <f>+I22/25.2</f>
        <v>438.88888888888891</v>
      </c>
      <c r="K22" s="450" t="s">
        <v>14</v>
      </c>
      <c r="L22" s="448" t="s">
        <v>136</v>
      </c>
      <c r="N22" s="450"/>
      <c r="O22" s="450"/>
      <c r="P22" s="450"/>
      <c r="Q22" s="450"/>
      <c r="R22" s="450"/>
      <c r="S22" s="450"/>
    </row>
    <row r="23" spans="2:20" ht="16.2" thickBot="1">
      <c r="L23" s="448" t="s">
        <v>564</v>
      </c>
      <c r="N23" s="450"/>
      <c r="O23" s="450"/>
      <c r="P23" s="450"/>
      <c r="Q23" s="450"/>
      <c r="R23" s="450"/>
      <c r="S23" s="450"/>
    </row>
    <row r="24" spans="2:20" ht="16.2" thickBot="1">
      <c r="I24" s="450">
        <v>15</v>
      </c>
      <c r="J24" s="441" t="s">
        <v>835</v>
      </c>
      <c r="L24" s="448" t="s">
        <v>549</v>
      </c>
      <c r="N24" s="450"/>
      <c r="O24" s="450"/>
      <c r="P24" s="450"/>
      <c r="Q24" s="450"/>
      <c r="R24" s="450"/>
      <c r="S24" s="450"/>
    </row>
    <row r="26" spans="2:20">
      <c r="L26" s="441" t="s">
        <v>14</v>
      </c>
      <c r="M26" s="449">
        <f t="shared" ref="M26:R26" si="0">SUM(M7:M24)</f>
        <v>0</v>
      </c>
      <c r="N26" s="449">
        <f t="shared" si="0"/>
        <v>2945</v>
      </c>
      <c r="O26" s="449">
        <f t="shared" si="0"/>
        <v>3988</v>
      </c>
      <c r="P26" s="449">
        <f t="shared" si="0"/>
        <v>5187</v>
      </c>
      <c r="Q26" s="449">
        <f t="shared" si="0"/>
        <v>3702</v>
      </c>
      <c r="R26" s="449">
        <f t="shared" si="0"/>
        <v>4299</v>
      </c>
      <c r="S26" s="449">
        <f>SUM(S7:S24)</f>
        <v>1025</v>
      </c>
      <c r="T26" s="456">
        <f>SUM(M26:S26)</f>
        <v>21146</v>
      </c>
    </row>
    <row r="27" spans="2:20">
      <c r="L27" s="441" t="s">
        <v>821</v>
      </c>
      <c r="M27" s="449">
        <f>SUM($M26:M26)</f>
        <v>0</v>
      </c>
      <c r="N27" s="449">
        <f>SUM($M26:N26)</f>
        <v>2945</v>
      </c>
      <c r="O27" s="449">
        <f>SUM($M26:O26)</f>
        <v>6933</v>
      </c>
      <c r="P27" s="449">
        <f>SUM($M26:P26)</f>
        <v>12120</v>
      </c>
      <c r="Q27" s="449">
        <f>SUM($M26:Q26)</f>
        <v>15822</v>
      </c>
      <c r="R27" s="449">
        <f>SUM($M26:R26)</f>
        <v>20121</v>
      </c>
      <c r="S27" s="449">
        <f>SUM($M26:S26)</f>
        <v>21146</v>
      </c>
    </row>
    <row r="28" spans="2:20">
      <c r="T28" s="441">
        <v>33</v>
      </c>
    </row>
    <row r="29" spans="2:20">
      <c r="S29" s="441">
        <v>33</v>
      </c>
      <c r="T29" s="440">
        <f>T26/T28</f>
        <v>640.78787878787875</v>
      </c>
    </row>
    <row r="30" spans="2:20">
      <c r="S30" s="441">
        <v>25.2</v>
      </c>
      <c r="T30" s="441">
        <v>25.2</v>
      </c>
    </row>
    <row r="31" spans="2:20">
      <c r="M31" s="441" t="s">
        <v>829</v>
      </c>
      <c r="P31" s="441">
        <v>13960</v>
      </c>
      <c r="Q31" s="441">
        <v>16420</v>
      </c>
      <c r="S31" s="441">
        <f>S30/S29</f>
        <v>0.76363636363636367</v>
      </c>
      <c r="T31" s="440">
        <f>T29*T30</f>
        <v>16147.854545454544</v>
      </c>
    </row>
    <row r="32" spans="2:20">
      <c r="P32" s="440">
        <f>P27</f>
        <v>12120</v>
      </c>
      <c r="Q32" s="440">
        <f>Q27</f>
        <v>15822</v>
      </c>
    </row>
    <row r="33" spans="12:21">
      <c r="P33" s="441">
        <f>P31-P32</f>
        <v>1840</v>
      </c>
      <c r="Q33" s="441">
        <f>Q31-Q32</f>
        <v>598</v>
      </c>
      <c r="U33" s="450"/>
    </row>
    <row r="34" spans="12:21">
      <c r="O34" s="441" t="s">
        <v>743</v>
      </c>
      <c r="P34" s="452">
        <v>920</v>
      </c>
      <c r="Q34" s="452">
        <v>460</v>
      </c>
    </row>
    <row r="35" spans="12:21">
      <c r="O35" s="441" t="s">
        <v>822</v>
      </c>
      <c r="P35" s="441">
        <v>1000</v>
      </c>
    </row>
    <row r="36" spans="12:21">
      <c r="P36" s="441">
        <f>P34+P35</f>
        <v>1920</v>
      </c>
      <c r="Q36" s="441">
        <f>Q34+Q35</f>
        <v>460</v>
      </c>
    </row>
    <row r="39" spans="12:21" ht="16.2" thickBot="1">
      <c r="M39" s="445">
        <v>44962</v>
      </c>
      <c r="N39" s="445">
        <v>44963</v>
      </c>
      <c r="O39" s="445">
        <v>44964</v>
      </c>
      <c r="P39" s="445">
        <v>44965</v>
      </c>
      <c r="Q39" s="445">
        <v>44966</v>
      </c>
      <c r="R39" s="445">
        <v>44967</v>
      </c>
      <c r="S39" s="445">
        <v>44968</v>
      </c>
    </row>
    <row r="40" spans="12:21">
      <c r="L40" s="446" t="s">
        <v>205</v>
      </c>
      <c r="N40" s="455">
        <f t="shared" ref="N40:S40" si="1">N7*$S$31</f>
        <v>0</v>
      </c>
      <c r="O40" s="455">
        <f t="shared" si="1"/>
        <v>19.090909090909093</v>
      </c>
      <c r="P40" s="455">
        <f t="shared" si="1"/>
        <v>206.18181818181819</v>
      </c>
      <c r="Q40" s="455">
        <f t="shared" si="1"/>
        <v>0</v>
      </c>
      <c r="R40" s="455">
        <f t="shared" si="1"/>
        <v>148.90909090909091</v>
      </c>
      <c r="S40" s="455">
        <f t="shared" si="1"/>
        <v>236.72727272727275</v>
      </c>
    </row>
    <row r="41" spans="12:21">
      <c r="L41" s="447" t="s">
        <v>203</v>
      </c>
      <c r="N41" s="455">
        <f t="shared" ref="N41:S57" si="2">N8*$S$31</f>
        <v>305.4545454545455</v>
      </c>
      <c r="O41" s="455">
        <f t="shared" si="2"/>
        <v>278.72727272727275</v>
      </c>
      <c r="P41" s="455">
        <f t="shared" si="2"/>
        <v>366.54545454545456</v>
      </c>
      <c r="Q41" s="455">
        <f t="shared" si="2"/>
        <v>358.90909090909093</v>
      </c>
      <c r="R41" s="455">
        <f t="shared" si="2"/>
        <v>76.363636363636374</v>
      </c>
      <c r="S41" s="455">
        <f t="shared" si="2"/>
        <v>99.27272727272728</v>
      </c>
    </row>
    <row r="42" spans="12:21">
      <c r="L42" s="447" t="s">
        <v>204</v>
      </c>
      <c r="N42" s="455">
        <f t="shared" si="2"/>
        <v>290.18181818181819</v>
      </c>
      <c r="O42" s="455">
        <f t="shared" si="2"/>
        <v>412.36363636363637</v>
      </c>
      <c r="P42" s="455">
        <f t="shared" si="2"/>
        <v>458.18181818181819</v>
      </c>
      <c r="Q42" s="455">
        <f t="shared" si="2"/>
        <v>190.90909090909091</v>
      </c>
      <c r="R42" s="455">
        <f t="shared" si="2"/>
        <v>129.81818181818181</v>
      </c>
      <c r="S42" s="455">
        <f t="shared" si="2"/>
        <v>0</v>
      </c>
    </row>
    <row r="43" spans="12:21">
      <c r="L43" s="447" t="s">
        <v>146</v>
      </c>
      <c r="N43" s="455">
        <f t="shared" si="2"/>
        <v>91.63636363636364</v>
      </c>
      <c r="O43" s="455">
        <f t="shared" si="2"/>
        <v>38.181818181818187</v>
      </c>
      <c r="P43" s="455">
        <f t="shared" si="2"/>
        <v>57.272727272727273</v>
      </c>
      <c r="Q43" s="455">
        <f t="shared" si="2"/>
        <v>0</v>
      </c>
      <c r="R43" s="455">
        <f t="shared" si="2"/>
        <v>0</v>
      </c>
      <c r="S43" s="455">
        <f t="shared" si="2"/>
        <v>34.363636363636367</v>
      </c>
    </row>
    <row r="44" spans="12:21" ht="16.2" thickBot="1">
      <c r="L44" s="447" t="s">
        <v>630</v>
      </c>
      <c r="N44" s="455">
        <f t="shared" si="2"/>
        <v>309.27272727272731</v>
      </c>
      <c r="O44" s="455">
        <f t="shared" si="2"/>
        <v>139.74545454545455</v>
      </c>
      <c r="P44" s="455">
        <f t="shared" si="2"/>
        <v>314.61818181818182</v>
      </c>
      <c r="Q44" s="455">
        <f t="shared" si="2"/>
        <v>96.218181818181819</v>
      </c>
      <c r="R44" s="455">
        <f t="shared" si="2"/>
        <v>323.78181818181821</v>
      </c>
      <c r="S44" s="455">
        <f t="shared" si="2"/>
        <v>0</v>
      </c>
    </row>
    <row r="45" spans="12:21">
      <c r="L45" s="446" t="s">
        <v>149</v>
      </c>
      <c r="N45" s="455">
        <f t="shared" si="2"/>
        <v>0</v>
      </c>
      <c r="O45" s="455">
        <f t="shared" si="2"/>
        <v>0</v>
      </c>
      <c r="P45" s="455">
        <f t="shared" si="2"/>
        <v>0</v>
      </c>
      <c r="Q45" s="455">
        <f t="shared" si="2"/>
        <v>129.81818181818181</v>
      </c>
      <c r="R45" s="455">
        <f t="shared" si="2"/>
        <v>68.727272727272734</v>
      </c>
      <c r="S45" s="455">
        <f t="shared" si="2"/>
        <v>325.30909090909091</v>
      </c>
    </row>
    <row r="46" spans="12:21">
      <c r="L46" s="447" t="s">
        <v>560</v>
      </c>
      <c r="N46" s="455">
        <f t="shared" si="2"/>
        <v>267.27272727272731</v>
      </c>
      <c r="O46" s="455">
        <f t="shared" si="2"/>
        <v>42</v>
      </c>
      <c r="P46" s="455">
        <f t="shared" si="2"/>
        <v>0</v>
      </c>
      <c r="Q46" s="455">
        <f t="shared" si="2"/>
        <v>0</v>
      </c>
      <c r="R46" s="455">
        <f t="shared" si="2"/>
        <v>0</v>
      </c>
      <c r="S46" s="455">
        <f t="shared" si="2"/>
        <v>87.054545454545462</v>
      </c>
    </row>
    <row r="47" spans="12:21" ht="16.2" thickBot="1">
      <c r="L47" s="451" t="s">
        <v>629</v>
      </c>
      <c r="N47" s="455">
        <f t="shared" si="2"/>
        <v>0</v>
      </c>
      <c r="O47" s="455">
        <f t="shared" si="2"/>
        <v>0</v>
      </c>
      <c r="P47" s="455">
        <f t="shared" si="2"/>
        <v>0</v>
      </c>
      <c r="Q47" s="455">
        <f t="shared" si="2"/>
        <v>0</v>
      </c>
      <c r="R47" s="455">
        <f t="shared" si="2"/>
        <v>0</v>
      </c>
      <c r="S47" s="455">
        <f t="shared" si="2"/>
        <v>0</v>
      </c>
    </row>
    <row r="48" spans="12:21">
      <c r="L48" s="446" t="s">
        <v>23</v>
      </c>
      <c r="N48" s="455">
        <f t="shared" si="2"/>
        <v>458.18181818181819</v>
      </c>
      <c r="O48" s="455">
        <f t="shared" si="2"/>
        <v>0</v>
      </c>
      <c r="P48" s="455">
        <f t="shared" si="2"/>
        <v>0</v>
      </c>
      <c r="Q48" s="455">
        <f t="shared" si="2"/>
        <v>0</v>
      </c>
      <c r="R48" s="455">
        <f t="shared" si="2"/>
        <v>267.27272727272731</v>
      </c>
      <c r="S48" s="455">
        <f t="shared" si="2"/>
        <v>0</v>
      </c>
    </row>
    <row r="49" spans="12:20">
      <c r="L49" s="447" t="s">
        <v>151</v>
      </c>
      <c r="N49" s="455">
        <f t="shared" si="2"/>
        <v>0</v>
      </c>
      <c r="O49" s="455">
        <f t="shared" si="2"/>
        <v>0</v>
      </c>
      <c r="P49" s="455">
        <f t="shared" si="2"/>
        <v>534.54545454545462</v>
      </c>
      <c r="Q49" s="455">
        <f t="shared" si="2"/>
        <v>305.4545454545455</v>
      </c>
      <c r="R49" s="455">
        <f t="shared" si="2"/>
        <v>610.90909090909099</v>
      </c>
      <c r="S49" s="455">
        <f t="shared" si="2"/>
        <v>0</v>
      </c>
    </row>
    <row r="50" spans="12:20" ht="16.2" thickBot="1">
      <c r="L50" s="448" t="s">
        <v>8</v>
      </c>
      <c r="N50" s="455">
        <f t="shared" si="2"/>
        <v>0</v>
      </c>
      <c r="O50" s="455">
        <f t="shared" si="2"/>
        <v>1527.2727272727273</v>
      </c>
      <c r="P50" s="455">
        <f t="shared" si="2"/>
        <v>1756.3636363636365</v>
      </c>
      <c r="Q50" s="455">
        <f t="shared" si="2"/>
        <v>1527.2727272727273</v>
      </c>
      <c r="R50" s="455">
        <f t="shared" si="2"/>
        <v>1657.0909090909092</v>
      </c>
      <c r="S50" s="455">
        <f t="shared" si="2"/>
        <v>0</v>
      </c>
    </row>
    <row r="51" spans="12:20">
      <c r="L51" s="446" t="s">
        <v>150</v>
      </c>
      <c r="M51" s="330" t="s">
        <v>832</v>
      </c>
      <c r="N51" s="455">
        <f t="shared" si="2"/>
        <v>526.90909090909088</v>
      </c>
      <c r="O51" s="455">
        <f t="shared" si="2"/>
        <v>588</v>
      </c>
      <c r="P51" s="455">
        <f t="shared" si="2"/>
        <v>0</v>
      </c>
      <c r="Q51" s="455">
        <f t="shared" si="2"/>
        <v>0</v>
      </c>
      <c r="R51" s="455">
        <f t="shared" si="2"/>
        <v>0</v>
      </c>
      <c r="S51" s="455">
        <f t="shared" si="2"/>
        <v>0</v>
      </c>
    </row>
    <row r="52" spans="12:20" ht="16.2" thickBot="1">
      <c r="L52" s="448" t="s">
        <v>144</v>
      </c>
      <c r="N52" s="455">
        <f t="shared" si="2"/>
        <v>0</v>
      </c>
      <c r="O52" s="455">
        <f t="shared" si="2"/>
        <v>0</v>
      </c>
      <c r="P52" s="455">
        <f t="shared" si="2"/>
        <v>0</v>
      </c>
      <c r="Q52" s="455">
        <f t="shared" si="2"/>
        <v>218.4</v>
      </c>
      <c r="R52" s="455">
        <f t="shared" si="2"/>
        <v>0</v>
      </c>
      <c r="S52" s="455">
        <f t="shared" si="2"/>
        <v>0</v>
      </c>
    </row>
    <row r="53" spans="12:20">
      <c r="L53" s="446" t="s">
        <v>145</v>
      </c>
      <c r="N53" s="455">
        <f t="shared" si="2"/>
        <v>0</v>
      </c>
      <c r="O53" s="455">
        <f t="shared" si="2"/>
        <v>0</v>
      </c>
      <c r="P53" s="455">
        <f t="shared" si="2"/>
        <v>0</v>
      </c>
      <c r="Q53" s="455">
        <f t="shared" si="2"/>
        <v>0</v>
      </c>
      <c r="R53" s="455">
        <f t="shared" si="2"/>
        <v>0</v>
      </c>
      <c r="S53" s="455">
        <f t="shared" si="2"/>
        <v>0</v>
      </c>
    </row>
    <row r="54" spans="12:20">
      <c r="L54" s="447" t="s">
        <v>206</v>
      </c>
      <c r="N54" s="455">
        <f t="shared" si="2"/>
        <v>0</v>
      </c>
      <c r="O54" s="455">
        <f t="shared" si="2"/>
        <v>0</v>
      </c>
      <c r="P54" s="455">
        <f t="shared" si="2"/>
        <v>267.27272727272731</v>
      </c>
      <c r="Q54" s="455">
        <f t="shared" si="2"/>
        <v>0</v>
      </c>
      <c r="R54" s="455">
        <f t="shared" si="2"/>
        <v>0</v>
      </c>
      <c r="S54" s="455">
        <f t="shared" si="2"/>
        <v>0</v>
      </c>
    </row>
    <row r="55" spans="12:20" ht="16.2" thickBot="1">
      <c r="L55" s="448" t="s">
        <v>136</v>
      </c>
      <c r="N55" s="455">
        <f t="shared" si="2"/>
        <v>0</v>
      </c>
      <c r="O55" s="455">
        <f t="shared" si="2"/>
        <v>0</v>
      </c>
      <c r="P55" s="455">
        <f t="shared" si="2"/>
        <v>0</v>
      </c>
      <c r="Q55" s="455">
        <f t="shared" si="2"/>
        <v>0</v>
      </c>
      <c r="R55" s="455">
        <f t="shared" si="2"/>
        <v>0</v>
      </c>
      <c r="S55" s="455">
        <f t="shared" si="2"/>
        <v>0</v>
      </c>
    </row>
    <row r="56" spans="12:20" ht="16.2" thickBot="1">
      <c r="L56" s="448" t="s">
        <v>564</v>
      </c>
      <c r="N56" s="455">
        <f t="shared" si="2"/>
        <v>0</v>
      </c>
      <c r="O56" s="455">
        <f t="shared" si="2"/>
        <v>0</v>
      </c>
      <c r="P56" s="455">
        <f t="shared" si="2"/>
        <v>0</v>
      </c>
      <c r="Q56" s="455">
        <f t="shared" si="2"/>
        <v>0</v>
      </c>
      <c r="R56" s="455">
        <f t="shared" si="2"/>
        <v>0</v>
      </c>
      <c r="S56" s="455">
        <f t="shared" si="2"/>
        <v>0</v>
      </c>
    </row>
    <row r="57" spans="12:20" ht="16.2" thickBot="1">
      <c r="L57" s="448" t="s">
        <v>549</v>
      </c>
      <c r="N57" s="455">
        <f t="shared" si="2"/>
        <v>0</v>
      </c>
      <c r="O57" s="455">
        <f t="shared" si="2"/>
        <v>0</v>
      </c>
      <c r="P57" s="455">
        <f t="shared" si="2"/>
        <v>0</v>
      </c>
      <c r="Q57" s="455">
        <f t="shared" si="2"/>
        <v>0</v>
      </c>
      <c r="R57" s="455">
        <f t="shared" si="2"/>
        <v>0</v>
      </c>
      <c r="S57" s="455">
        <f t="shared" si="2"/>
        <v>0</v>
      </c>
    </row>
    <row r="58" spans="12:20">
      <c r="N58" s="359">
        <f t="shared" ref="N58:S58" si="3">SUM(N40:N57)</f>
        <v>2248.909090909091</v>
      </c>
      <c r="O58" s="359">
        <f t="shared" si="3"/>
        <v>3045.3818181818183</v>
      </c>
      <c r="P58" s="359">
        <f t="shared" si="3"/>
        <v>3960.9818181818187</v>
      </c>
      <c r="Q58" s="359">
        <f t="shared" si="3"/>
        <v>2826.9818181818187</v>
      </c>
      <c r="R58" s="359">
        <f t="shared" si="3"/>
        <v>3282.8727272727274</v>
      </c>
      <c r="S58" s="359">
        <f t="shared" si="3"/>
        <v>782.72727272727275</v>
      </c>
      <c r="T58" s="457">
        <f>SUM(N58:S58)</f>
        <v>16147.854545454546</v>
      </c>
    </row>
    <row r="59" spans="12:20">
      <c r="T59" s="441">
        <f>T58/25.2</f>
        <v>640.78787878787887</v>
      </c>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M152"/>
  <sheetViews>
    <sheetView topLeftCell="B3" zoomScale="85" zoomScaleNormal="85" workbookViewId="0">
      <pane xSplit="6" ySplit="27" topLeftCell="H75" activePane="bottomRight" state="frozen"/>
      <selection activeCell="B3" sqref="B3"/>
      <selection pane="topRight" activeCell="H3" sqref="H3"/>
      <selection pane="bottomLeft" activeCell="B30" sqref="B30"/>
      <selection pane="bottomRight" activeCell="J10" sqref="J10"/>
    </sheetView>
  </sheetViews>
  <sheetFormatPr baseColWidth="10" defaultRowHeight="14.4"/>
  <cols>
    <col min="1" max="1" width="3.88671875" customWidth="1"/>
    <col min="2" max="2" width="15" customWidth="1"/>
    <col min="3" max="3" width="5.109375" customWidth="1"/>
    <col min="4" max="4" width="5" style="2" customWidth="1"/>
    <col min="5" max="5" width="3.5546875" style="2" customWidth="1"/>
    <col min="6" max="6" width="3.88671875" customWidth="1"/>
    <col min="7" max="7" width="7" customWidth="1"/>
    <col min="8" max="8" width="10.6640625" customWidth="1"/>
    <col min="9" max="14" width="10" customWidth="1"/>
    <col min="15" max="15" width="2.44140625" customWidth="1"/>
    <col min="17" max="17" width="3.6640625" customWidth="1"/>
    <col min="18" max="18" width="8.5546875" customWidth="1"/>
    <col min="19" max="19" width="8.88671875" customWidth="1"/>
    <col min="20" max="20" width="10.5546875" customWidth="1"/>
    <col min="21" max="21" width="3" customWidth="1"/>
    <col min="22" max="24" width="9.88671875" customWidth="1"/>
    <col min="25" max="25" width="5" customWidth="1"/>
    <col min="26" max="26" width="6.88671875" customWidth="1"/>
    <col min="27" max="27" width="5.44140625" customWidth="1"/>
    <col min="28" max="28" width="14.88671875" customWidth="1"/>
    <col min="29" max="29" width="11.5546875" style="2"/>
  </cols>
  <sheetData>
    <row r="1" spans="1:195">
      <c r="H1" s="2" t="s">
        <v>669</v>
      </c>
      <c r="I1" s="357">
        <v>22</v>
      </c>
      <c r="J1" s="357">
        <v>19</v>
      </c>
      <c r="K1" s="357">
        <v>7</v>
      </c>
      <c r="L1" s="357"/>
      <c r="M1" s="357"/>
    </row>
    <row r="2" spans="1:195">
      <c r="H2" s="169" t="s">
        <v>703</v>
      </c>
      <c r="I2" s="345">
        <v>26</v>
      </c>
      <c r="J2" s="345">
        <v>33</v>
      </c>
      <c r="K2" s="345">
        <v>11</v>
      </c>
      <c r="L2" s="345">
        <v>10</v>
      </c>
      <c r="M2" s="345">
        <v>7</v>
      </c>
      <c r="P2" s="345">
        <f>SUM(I2:O2)</f>
        <v>87</v>
      </c>
      <c r="W2" s="4" t="s">
        <v>601</v>
      </c>
    </row>
    <row r="3" spans="1:195">
      <c r="A3" t="s">
        <v>701</v>
      </c>
      <c r="G3" s="118" t="str">
        <f>$B$26</f>
        <v>EURO + DONGS</v>
      </c>
      <c r="H3" s="2"/>
      <c r="I3" s="2"/>
      <c r="J3" s="2"/>
      <c r="K3" s="2"/>
      <c r="L3" s="2"/>
      <c r="M3" s="2"/>
      <c r="N3" s="2"/>
      <c r="O3" s="2"/>
      <c r="P3" s="118" t="str">
        <f>$B$26</f>
        <v>EURO + DONGS</v>
      </c>
      <c r="Q3" s="4"/>
      <c r="R3" s="4" t="s">
        <v>580</v>
      </c>
      <c r="S3" s="4" t="s">
        <v>581</v>
      </c>
      <c r="T3" s="4" t="s">
        <v>582</v>
      </c>
      <c r="U3" s="2"/>
      <c r="V3" s="4" t="s">
        <v>580</v>
      </c>
      <c r="W3" s="4" t="s">
        <v>581</v>
      </c>
      <c r="X3" s="4" t="s">
        <v>582</v>
      </c>
      <c r="Y3" s="2"/>
      <c r="Z3" s="4" t="s">
        <v>579</v>
      </c>
      <c r="AA3" s="2"/>
      <c r="AB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row>
    <row r="4" spans="1:195">
      <c r="G4" s="2"/>
      <c r="H4" s="2"/>
      <c r="I4" s="4" t="s">
        <v>598</v>
      </c>
      <c r="J4" s="4" t="s">
        <v>559</v>
      </c>
      <c r="K4" s="4" t="s">
        <v>23</v>
      </c>
      <c r="L4" s="4" t="s">
        <v>599</v>
      </c>
      <c r="M4" s="4" t="s">
        <v>600</v>
      </c>
      <c r="N4" s="4" t="s">
        <v>558</v>
      </c>
      <c r="O4" s="2"/>
      <c r="P4" s="4" t="s">
        <v>14</v>
      </c>
      <c r="Q4" s="4"/>
      <c r="R4" s="4" t="s">
        <v>572</v>
      </c>
      <c r="S4" s="4" t="s">
        <v>574</v>
      </c>
      <c r="T4" s="4" t="s">
        <v>573</v>
      </c>
      <c r="V4" s="4" t="s">
        <v>572</v>
      </c>
      <c r="W4" s="4" t="s">
        <v>574</v>
      </c>
      <c r="X4" s="4" t="s">
        <v>573</v>
      </c>
      <c r="Y4" s="2"/>
      <c r="Z4" s="2"/>
      <c r="AA4" s="2"/>
      <c r="AB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row>
    <row r="5" spans="1:195">
      <c r="F5" s="142">
        <f ca="1">SUMIF($H$30:$H$140,$H5,F$30:F$140)</f>
        <v>91</v>
      </c>
      <c r="G5" s="2" t="s">
        <v>52</v>
      </c>
      <c r="H5" s="2" t="s">
        <v>52</v>
      </c>
      <c r="I5" s="142">
        <f t="shared" ref="I5:N5" ca="1" si="0">SUMIF($H$30:$H$140,$H5,I$30:I$140)</f>
        <v>2130.5966920471797</v>
      </c>
      <c r="J5" s="142">
        <f t="shared" ca="1" si="0"/>
        <v>2091.0703028397847</v>
      </c>
      <c r="K5" s="142">
        <f t="shared" ca="1" si="0"/>
        <v>99.524564183835196</v>
      </c>
      <c r="L5" s="142">
        <f t="shared" ca="1" si="0"/>
        <v>93.597294179172721</v>
      </c>
      <c r="M5" s="142">
        <f t="shared" ca="1" si="0"/>
        <v>783.39104491474188</v>
      </c>
      <c r="N5" s="142">
        <f t="shared" ca="1" si="0"/>
        <v>399.36608557844693</v>
      </c>
      <c r="O5" s="2"/>
      <c r="P5" s="142">
        <f t="shared" ref="P5:P13" ca="1" si="1">SUMIF($H$30:$H$130,$H5,P$30:P$130)</f>
        <v>5317.8768078319063</v>
      </c>
      <c r="Q5" s="142"/>
      <c r="R5" s="142">
        <f t="shared" ref="R5:T13" ca="1" si="2">SUMIF($H$30:$H$130,$H5,R$30:R$130)</f>
        <v>4040.6507508299128</v>
      </c>
      <c r="S5" s="142">
        <f t="shared" ca="1" si="2"/>
        <v>778.33540723971487</v>
      </c>
      <c r="T5" s="142">
        <f t="shared" ca="1" si="2"/>
        <v>1084.1041986389891</v>
      </c>
      <c r="V5" s="142">
        <f ca="1">IFERROR(R5/$F5,"")</f>
        <v>44.402755503625414</v>
      </c>
      <c r="W5" s="142">
        <f ca="1">IFERROR(S5,"")</f>
        <v>778.33540723971487</v>
      </c>
      <c r="X5" s="142">
        <f ca="1">IFERROR(T5/$F5,"")</f>
        <v>11.913232952076804</v>
      </c>
      <c r="Y5" s="2"/>
      <c r="Z5" s="2"/>
      <c r="AA5" s="2"/>
      <c r="AB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row>
    <row r="6" spans="1:195">
      <c r="F6" s="142">
        <f t="shared" ref="F6:F13" ca="1" si="3">SUMIF($H$30:$H$140,$H6,F$30:F$140)</f>
        <v>2</v>
      </c>
      <c r="G6" s="2" t="s">
        <v>514</v>
      </c>
      <c r="H6" s="2" t="s">
        <v>53</v>
      </c>
      <c r="I6" s="142">
        <f t="shared" ref="I6:N13" ca="1" si="4">SUMIF($H$30:$H$140,$H6,I$30:I$140)</f>
        <v>44.606299212598429</v>
      </c>
      <c r="J6" s="142">
        <f t="shared" ca="1" si="4"/>
        <v>35.275590551181104</v>
      </c>
      <c r="K6" s="142">
        <f t="shared" ca="1" si="4"/>
        <v>80.551181102362207</v>
      </c>
      <c r="L6" s="142">
        <f t="shared" ca="1" si="4"/>
        <v>15.748031496062993</v>
      </c>
      <c r="M6" s="142">
        <f t="shared" ca="1" si="4"/>
        <v>0</v>
      </c>
      <c r="N6" s="142">
        <f t="shared" ca="1" si="4"/>
        <v>0</v>
      </c>
      <c r="O6" s="2"/>
      <c r="P6" s="142">
        <f t="shared" ca="1" si="1"/>
        <v>176.18110236220474</v>
      </c>
      <c r="Q6" s="142"/>
      <c r="R6" s="142">
        <f t="shared" ca="1" si="2"/>
        <v>79.881889763779526</v>
      </c>
      <c r="S6" s="142">
        <f t="shared" ca="1" si="2"/>
        <v>15.748031496062993</v>
      </c>
      <c r="T6" s="142">
        <f t="shared" ca="1" si="2"/>
        <v>0</v>
      </c>
      <c r="V6" s="142">
        <f ca="1">IFERROR(R6/$F6,"")</f>
        <v>39.940944881889763</v>
      </c>
      <c r="W6" s="142">
        <f ca="1">IFERROR(S6/$F6,"")</f>
        <v>7.8740157480314963</v>
      </c>
      <c r="X6" s="142">
        <f ca="1">IFERROR(T6/$F6,"")</f>
        <v>0</v>
      </c>
      <c r="Y6" s="2"/>
      <c r="Z6" s="2"/>
      <c r="AA6" s="2"/>
      <c r="AB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row>
    <row r="7" spans="1:195">
      <c r="F7" s="142">
        <f t="shared" ca="1" si="3"/>
        <v>2</v>
      </c>
      <c r="G7" s="2" t="s">
        <v>514</v>
      </c>
      <c r="H7" s="2" t="s">
        <v>699</v>
      </c>
      <c r="I7" s="142">
        <f t="shared" ca="1" si="4"/>
        <v>31.299212598425203</v>
      </c>
      <c r="J7" s="142">
        <f t="shared" ca="1" si="4"/>
        <v>34.220472440944889</v>
      </c>
      <c r="K7" s="142">
        <f t="shared" ca="1" si="4"/>
        <v>19.685039370078741</v>
      </c>
      <c r="L7" s="142">
        <f t="shared" ca="1" si="4"/>
        <v>14.173228346456696</v>
      </c>
      <c r="M7" s="142">
        <f t="shared" ca="1" si="4"/>
        <v>39.370078740157481</v>
      </c>
      <c r="N7" s="142">
        <f t="shared" ca="1" si="4"/>
        <v>0</v>
      </c>
      <c r="O7" s="2"/>
      <c r="P7" s="142">
        <f t="shared" ca="1" si="1"/>
        <v>138.74803149606302</v>
      </c>
      <c r="Q7" s="142"/>
      <c r="R7" s="142">
        <f t="shared" ca="1" si="2"/>
        <v>65.519685039370103</v>
      </c>
      <c r="S7" s="142">
        <f t="shared" ca="1" si="2"/>
        <v>53.543307086614178</v>
      </c>
      <c r="T7" s="142">
        <f t="shared" ca="1" si="2"/>
        <v>39.370078740157481</v>
      </c>
      <c r="V7" s="142">
        <f t="shared" ref="V7:V13" ca="1" si="5">IFERROR(R7/$F7,"")</f>
        <v>32.759842519685051</v>
      </c>
      <c r="W7" s="142">
        <f t="shared" ref="W7:W13" ca="1" si="6">IFERROR(S7/$F7,"")</f>
        <v>26.771653543307089</v>
      </c>
      <c r="X7" s="142">
        <f t="shared" ref="X7:X13" ca="1" si="7">IFERROR(T7/$F7,"")</f>
        <v>19.685039370078741</v>
      </c>
      <c r="Y7" s="2"/>
      <c r="Z7" s="2"/>
      <c r="AA7" s="2"/>
      <c r="AB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row>
    <row r="8" spans="1:195">
      <c r="F8" s="142">
        <f t="shared" ca="1" si="3"/>
        <v>2</v>
      </c>
      <c r="G8" s="2" t="s">
        <v>513</v>
      </c>
      <c r="H8" s="2" t="s">
        <v>288</v>
      </c>
      <c r="I8" s="142">
        <f t="shared" ca="1" si="4"/>
        <v>83.064564433407796</v>
      </c>
      <c r="J8" s="142">
        <f t="shared" ca="1" si="4"/>
        <v>33.401053820332685</v>
      </c>
      <c r="K8" s="142">
        <f t="shared" ca="1" si="4"/>
        <v>29.133858267716537</v>
      </c>
      <c r="L8" s="142">
        <f t="shared" ca="1" si="4"/>
        <v>80.958234024233505</v>
      </c>
      <c r="M8" s="142">
        <f t="shared" ca="1" si="4"/>
        <v>9.9049128367670374</v>
      </c>
      <c r="N8" s="142">
        <f t="shared" ca="1" si="4"/>
        <v>0</v>
      </c>
      <c r="O8" s="2"/>
      <c r="P8" s="142">
        <f t="shared" ca="1" si="1"/>
        <v>236.46262338245756</v>
      </c>
      <c r="Q8" s="142"/>
      <c r="R8" s="142">
        <f t="shared" ca="1" si="2"/>
        <v>116.46561825374047</v>
      </c>
      <c r="S8" s="142">
        <f t="shared" ca="1" si="2"/>
        <v>90.863146861000544</v>
      </c>
      <c r="T8" s="142">
        <f t="shared" ca="1" si="2"/>
        <v>9.9049128367670374</v>
      </c>
      <c r="V8" s="142">
        <f t="shared" ca="1" si="5"/>
        <v>58.232809126870237</v>
      </c>
      <c r="W8" s="142">
        <f t="shared" ca="1" si="6"/>
        <v>45.431573430500272</v>
      </c>
      <c r="X8" s="142">
        <f t="shared" ca="1" si="7"/>
        <v>4.9524564183835187</v>
      </c>
      <c r="Y8" s="2"/>
      <c r="Z8" s="2"/>
      <c r="AA8" s="2"/>
      <c r="AB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row>
    <row r="9" spans="1:195">
      <c r="F9" s="142">
        <f t="shared" ca="1" si="3"/>
        <v>1</v>
      </c>
      <c r="G9" s="2" t="s">
        <v>514</v>
      </c>
      <c r="H9" s="2" t="s">
        <v>731</v>
      </c>
      <c r="I9" s="142">
        <f t="shared" ca="1" si="4"/>
        <v>20.007923930269413</v>
      </c>
      <c r="J9" s="142">
        <f t="shared" ca="1" si="4"/>
        <v>15.693343898573694</v>
      </c>
      <c r="K9" s="142">
        <f t="shared" ca="1" si="4"/>
        <v>22.187004754358163</v>
      </c>
      <c r="L9" s="142">
        <f t="shared" ca="1" si="4"/>
        <v>2.6941362916006342</v>
      </c>
      <c r="M9" s="142">
        <f t="shared" ca="1" si="4"/>
        <v>0</v>
      </c>
      <c r="N9" s="142">
        <f t="shared" ca="1" si="4"/>
        <v>0</v>
      </c>
      <c r="O9" s="2"/>
      <c r="P9" s="142">
        <f t="shared" ca="1" si="1"/>
        <v>60.582408874801907</v>
      </c>
      <c r="Q9" s="142"/>
      <c r="R9" s="142">
        <f t="shared" ca="1" si="2"/>
        <v>35.701267828843108</v>
      </c>
      <c r="S9" s="142">
        <f t="shared" ca="1" si="2"/>
        <v>2.6941362916006342</v>
      </c>
      <c r="T9" s="142">
        <f t="shared" ca="1" si="2"/>
        <v>0</v>
      </c>
      <c r="V9" s="142">
        <f t="shared" ca="1" si="5"/>
        <v>35.701267828843108</v>
      </c>
      <c r="W9" s="142">
        <f t="shared" ca="1" si="6"/>
        <v>2.6941362916006342</v>
      </c>
      <c r="X9" s="142">
        <f t="shared" ca="1" si="7"/>
        <v>0</v>
      </c>
      <c r="Y9" s="2"/>
      <c r="Z9" s="2"/>
      <c r="AA9" s="2"/>
      <c r="AB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row>
    <row r="10" spans="1:195">
      <c r="F10" s="142">
        <f t="shared" ca="1" si="3"/>
        <v>5</v>
      </c>
      <c r="G10" s="2" t="s">
        <v>577</v>
      </c>
      <c r="H10" s="2" t="s">
        <v>840</v>
      </c>
      <c r="I10" s="142">
        <f t="shared" ca="1" si="4"/>
        <v>182.74023915862267</v>
      </c>
      <c r="J10" s="142">
        <f t="shared" ca="1" si="4"/>
        <v>105.01854920040341</v>
      </c>
      <c r="K10" s="142">
        <f t="shared" ca="1" si="4"/>
        <v>396.3566733900015</v>
      </c>
      <c r="L10" s="142">
        <f t="shared" ca="1" si="4"/>
        <v>513.76026509148539</v>
      </c>
      <c r="M10" s="142">
        <f t="shared" ca="1" si="4"/>
        <v>10.589252269125488</v>
      </c>
      <c r="N10" s="142">
        <f t="shared" ca="1" si="4"/>
        <v>0</v>
      </c>
      <c r="O10" s="2"/>
      <c r="P10" s="142">
        <f t="shared" ca="1" si="1"/>
        <v>1208.4649791096385</v>
      </c>
      <c r="Q10" s="142"/>
      <c r="R10" s="142">
        <f t="shared" ca="1" si="2"/>
        <v>287.75878835902608</v>
      </c>
      <c r="S10" s="142">
        <f t="shared" ca="1" si="2"/>
        <v>524.34951736061089</v>
      </c>
      <c r="T10" s="142">
        <f t="shared" ca="1" si="2"/>
        <v>10.589252269125488</v>
      </c>
      <c r="V10" s="142">
        <f t="shared" ca="1" si="5"/>
        <v>57.55175767180522</v>
      </c>
      <c r="W10" s="142">
        <f t="shared" ca="1" si="6"/>
        <v>104.86990347212218</v>
      </c>
      <c r="X10" s="142">
        <f t="shared" ca="1" si="7"/>
        <v>2.1178504538250977</v>
      </c>
      <c r="Y10" s="2"/>
      <c r="Z10" s="2"/>
      <c r="AA10" s="2"/>
      <c r="AB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row>
    <row r="11" spans="1:195">
      <c r="F11" s="142">
        <f t="shared" ca="1" si="3"/>
        <v>1</v>
      </c>
      <c r="G11" s="2"/>
      <c r="H11" s="2" t="s">
        <v>864</v>
      </c>
      <c r="I11" s="142">
        <f t="shared" ca="1" si="4"/>
        <v>10.697305863708401</v>
      </c>
      <c r="J11" s="142">
        <f t="shared" ca="1" si="4"/>
        <v>15.33676703645008</v>
      </c>
      <c r="K11" s="142">
        <f t="shared" ca="1" si="4"/>
        <v>0</v>
      </c>
      <c r="L11" s="142">
        <f t="shared" ca="1" si="4"/>
        <v>85.182250396196523</v>
      </c>
      <c r="M11" s="142">
        <f t="shared" ca="1" si="4"/>
        <v>39.61965134706815</v>
      </c>
      <c r="N11" s="142">
        <f t="shared" ca="1" si="4"/>
        <v>0</v>
      </c>
      <c r="O11" s="2"/>
      <c r="P11" s="142">
        <f t="shared" ca="1" si="1"/>
        <v>150.83597464342316</v>
      </c>
      <c r="Q11" s="142"/>
      <c r="R11" s="142">
        <f t="shared" ca="1" si="2"/>
        <v>26.034072900158481</v>
      </c>
      <c r="S11" s="142">
        <f t="shared" ca="1" si="2"/>
        <v>124.80190174326466</v>
      </c>
      <c r="T11" s="142">
        <f t="shared" ca="1" si="2"/>
        <v>39.61965134706815</v>
      </c>
      <c r="V11" s="142">
        <f t="shared" ca="1" si="5"/>
        <v>26.034072900158481</v>
      </c>
      <c r="W11" s="142">
        <f t="shared" ca="1" si="6"/>
        <v>124.80190174326466</v>
      </c>
      <c r="X11" s="142">
        <f t="shared" ca="1" si="7"/>
        <v>39.61965134706815</v>
      </c>
      <c r="Y11" s="2"/>
      <c r="Z11" s="2"/>
      <c r="AA11" s="2"/>
      <c r="AB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row>
    <row r="12" spans="1:195">
      <c r="F12" s="142">
        <f t="shared" ca="1" si="3"/>
        <v>3</v>
      </c>
      <c r="G12" s="2" t="s">
        <v>514</v>
      </c>
      <c r="H12" s="2" t="s">
        <v>967</v>
      </c>
      <c r="I12" s="142">
        <f t="shared" ca="1" si="4"/>
        <v>68.383518225039623</v>
      </c>
      <c r="J12" s="142">
        <f t="shared" ca="1" si="4"/>
        <v>52.12955625990508</v>
      </c>
      <c r="K12" s="142">
        <f t="shared" ca="1" si="4"/>
        <v>246.24405705229796</v>
      </c>
      <c r="L12" s="142">
        <f t="shared" ca="1" si="4"/>
        <v>827.25832012678291</v>
      </c>
      <c r="M12" s="142">
        <f t="shared" ca="1" si="4"/>
        <v>39.61965134706815</v>
      </c>
      <c r="N12" s="142">
        <f t="shared" ca="1" si="4"/>
        <v>0</v>
      </c>
      <c r="O12" s="2"/>
      <c r="P12" s="142">
        <f t="shared" ca="1" si="1"/>
        <v>0</v>
      </c>
      <c r="Q12" s="142"/>
      <c r="R12" s="142">
        <f t="shared" ca="1" si="2"/>
        <v>0</v>
      </c>
      <c r="S12" s="142">
        <f t="shared" ca="1" si="2"/>
        <v>0</v>
      </c>
      <c r="T12" s="142">
        <f t="shared" ca="1" si="2"/>
        <v>0</v>
      </c>
      <c r="V12" s="142">
        <f t="shared" ca="1" si="5"/>
        <v>0</v>
      </c>
      <c r="W12" s="142">
        <f t="shared" ca="1" si="6"/>
        <v>0</v>
      </c>
      <c r="X12" s="142">
        <f t="shared" ca="1" si="7"/>
        <v>0</v>
      </c>
      <c r="Y12" s="2"/>
      <c r="Z12" s="2"/>
      <c r="AA12" s="2"/>
      <c r="AB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row>
    <row r="13" spans="1:195">
      <c r="F13" s="142">
        <f t="shared" ca="1" si="3"/>
        <v>0</v>
      </c>
      <c r="H13" s="2"/>
      <c r="I13" s="142">
        <f t="shared" ca="1" si="4"/>
        <v>0</v>
      </c>
      <c r="J13" s="142">
        <f t="shared" ca="1" si="4"/>
        <v>0</v>
      </c>
      <c r="K13" s="142">
        <f t="shared" ca="1" si="4"/>
        <v>0</v>
      </c>
      <c r="L13" s="142">
        <f t="shared" ca="1" si="4"/>
        <v>0</v>
      </c>
      <c r="M13" s="142">
        <f t="shared" ca="1" si="4"/>
        <v>0</v>
      </c>
      <c r="N13" s="142">
        <f t="shared" ca="1" si="4"/>
        <v>0</v>
      </c>
      <c r="O13" s="2"/>
      <c r="P13" s="142">
        <f t="shared" ca="1" si="1"/>
        <v>0</v>
      </c>
      <c r="Q13" s="142"/>
      <c r="R13" s="142">
        <f t="shared" ca="1" si="2"/>
        <v>0</v>
      </c>
      <c r="S13" s="142">
        <f t="shared" ca="1" si="2"/>
        <v>0</v>
      </c>
      <c r="T13" s="142">
        <f t="shared" ca="1" si="2"/>
        <v>0</v>
      </c>
      <c r="V13" s="142" t="str">
        <f t="shared" ca="1" si="5"/>
        <v/>
      </c>
      <c r="W13" s="142" t="str">
        <f t="shared" ca="1" si="6"/>
        <v/>
      </c>
      <c r="X13" s="142" t="str">
        <f t="shared" ca="1" si="7"/>
        <v/>
      </c>
    </row>
    <row r="14" spans="1:195" ht="15" thickBot="1">
      <c r="F14" s="2"/>
      <c r="G14" s="2"/>
      <c r="H14" s="2"/>
      <c r="I14" s="2"/>
      <c r="J14" s="2"/>
      <c r="K14" s="2"/>
      <c r="L14" s="2"/>
      <c r="M14" s="2"/>
      <c r="N14" s="2"/>
      <c r="O14" s="2"/>
      <c r="P14" s="2"/>
      <c r="Q14" s="2"/>
      <c r="R14" s="2"/>
      <c r="S14" s="2"/>
      <c r="T14" s="2"/>
      <c r="U14" s="2"/>
      <c r="V14" s="2"/>
      <c r="W14" s="2"/>
      <c r="X14" s="2"/>
      <c r="Y14" s="2"/>
      <c r="Z14" s="2"/>
    </row>
    <row r="15" spans="1:195" ht="15" thickBot="1">
      <c r="F15" s="142">
        <f ca="1">SUM(F5:F14)</f>
        <v>107</v>
      </c>
      <c r="G15" s="2"/>
      <c r="H15" s="4" t="s">
        <v>14</v>
      </c>
      <c r="I15" s="161">
        <f ca="1">SUM(I5:I14)</f>
        <v>2571.3957554692515</v>
      </c>
      <c r="J15" s="161">
        <f t="shared" ref="J15:P15" ca="1" si="8">SUM(J5:J14)</f>
        <v>2382.1456360475763</v>
      </c>
      <c r="K15" s="161">
        <f t="shared" ca="1" si="8"/>
        <v>893.68237812065036</v>
      </c>
      <c r="L15" s="161">
        <f t="shared" ca="1" si="8"/>
        <v>1633.3717599519914</v>
      </c>
      <c r="M15" s="161">
        <f t="shared" ca="1" si="8"/>
        <v>922.49459145492824</v>
      </c>
      <c r="N15" s="161">
        <f t="shared" ca="1" si="8"/>
        <v>399.36608557844693</v>
      </c>
      <c r="O15" s="4"/>
      <c r="P15" s="161">
        <f t="shared" ca="1" si="8"/>
        <v>7289.1519277004954</v>
      </c>
      <c r="Q15" s="4"/>
      <c r="R15" s="161">
        <f ca="1">SUM(R5:R14)</f>
        <v>4652.0120729748296</v>
      </c>
      <c r="S15" s="161">
        <f ca="1">SUM(S5:S14)</f>
        <v>1590.3354480788687</v>
      </c>
      <c r="T15" s="161">
        <f ca="1">SUM(T5:T14)</f>
        <v>1183.588093832107</v>
      </c>
      <c r="U15" s="4"/>
      <c r="V15" s="290">
        <f ca="1">IFERROR(R15/$F15,"")</f>
        <v>43.476748345559152</v>
      </c>
      <c r="W15" s="291">
        <f ca="1">IFERROR(S15/$F15,"")</f>
        <v>14.862948112886624</v>
      </c>
      <c r="X15" s="161">
        <f ca="1">IFERROR(T15/$F15,"")</f>
        <v>11.061570970393523</v>
      </c>
      <c r="Y15" s="2"/>
      <c r="Z15" s="2"/>
      <c r="AA15" s="161">
        <f ca="1">$F$15</f>
        <v>107</v>
      </c>
      <c r="AB15" s="2" t="s">
        <v>580</v>
      </c>
      <c r="AC15" s="320">
        <f ca="1">SUM(I23:J23)</f>
        <v>4927.5073186166683</v>
      </c>
      <c r="AD15" s="142">
        <f ca="1">AC15/$AA$15</f>
        <v>46.051470267445495</v>
      </c>
    </row>
    <row r="16" spans="1:195">
      <c r="F16" s="2"/>
      <c r="G16" s="2"/>
      <c r="H16" s="2"/>
      <c r="I16" s="142">
        <f t="shared" ref="I16:N16" ca="1" si="9">SUM(I30:I130)</f>
        <v>2428.1826414440538</v>
      </c>
      <c r="J16" s="142">
        <f t="shared" ca="1" si="9"/>
        <v>2253.0919565808786</v>
      </c>
      <c r="K16" s="142">
        <f t="shared" ca="1" si="9"/>
        <v>669.48240924470508</v>
      </c>
      <c r="L16" s="142">
        <f t="shared" ca="1" si="9"/>
        <v>2441.9374478412401</v>
      </c>
      <c r="M16" s="142">
        <f t="shared" ca="1" si="9"/>
        <v>1278.2420082536601</v>
      </c>
      <c r="N16" s="142">
        <f t="shared" ca="1" si="9"/>
        <v>399.36608557844693</v>
      </c>
      <c r="O16" s="2"/>
      <c r="P16" s="356">
        <f ca="1">P15/F15</f>
        <v>68.122915212154169</v>
      </c>
      <c r="Q16" s="2"/>
      <c r="R16" s="142">
        <f ca="1">SUM(I16:J16)</f>
        <v>4681.2745980249329</v>
      </c>
      <c r="S16" s="142">
        <f ca="1">SUM(K16:L16)</f>
        <v>3111.4198570859453</v>
      </c>
      <c r="T16" s="142">
        <f ca="1">SUM(M16:N16)</f>
        <v>1677.608093832107</v>
      </c>
      <c r="U16" s="2"/>
      <c r="V16" s="2"/>
      <c r="W16" s="2"/>
      <c r="X16" s="2"/>
      <c r="Y16" s="2"/>
      <c r="Z16" s="2"/>
      <c r="AB16" s="2" t="s">
        <v>56</v>
      </c>
      <c r="AC16" s="2">
        <v>1015</v>
      </c>
    </row>
    <row r="17" spans="2:30">
      <c r="G17" s="2"/>
      <c r="H17" s="169" t="s">
        <v>702</v>
      </c>
      <c r="I17" s="345">
        <f ca="1">I16/($F$15*'cash IX'!$O$23)</f>
        <v>0.89487318921222836</v>
      </c>
      <c r="J17" s="345">
        <f ca="1">J16/($F$15*'cash IX'!$O$23)</f>
        <v>0.83034593459365391</v>
      </c>
      <c r="K17" s="345">
        <f ca="1">K16/($F$15*'cash IX'!$O$23)</f>
        <v>0.24672849910746672</v>
      </c>
      <c r="L17" s="345">
        <f ca="1">L16/($F$15*'cash IX'!$O$23)</f>
        <v>0.89994233321217332</v>
      </c>
      <c r="M17" s="345">
        <f ca="1">M16/($F$15*'cash IX'!$O$23)</f>
        <v>0.47107844483672512</v>
      </c>
      <c r="N17" s="2"/>
      <c r="O17" s="2"/>
      <c r="P17" s="345">
        <f ca="1">P16/'cash IX'!O23</f>
        <v>2.6863163095155889</v>
      </c>
      <c r="Q17" s="2"/>
      <c r="R17" s="4" t="str">
        <f t="shared" ref="R17:T18" si="10">R3</f>
        <v>LOCAL</v>
      </c>
      <c r="S17" s="4" t="str">
        <f t="shared" si="10"/>
        <v>TRANSP</v>
      </c>
      <c r="T17" s="4" t="str">
        <f t="shared" si="10"/>
        <v>EXCEPT</v>
      </c>
      <c r="U17" s="2"/>
      <c r="V17" s="4" t="str">
        <f t="shared" ref="V17:X18" si="11">V3</f>
        <v>LOCAL</v>
      </c>
      <c r="W17" s="4" t="str">
        <f t="shared" si="11"/>
        <v>TRANSP</v>
      </c>
      <c r="X17" s="4" t="str">
        <f t="shared" si="11"/>
        <v>EXCEPT</v>
      </c>
      <c r="Y17" s="2"/>
      <c r="Z17" s="2"/>
      <c r="AA17" s="161"/>
      <c r="AB17" s="2" t="s">
        <v>605</v>
      </c>
      <c r="AC17" s="321">
        <f ca="1">SUM(K24:L24)-AC16</f>
        <v>516.75494919495804</v>
      </c>
      <c r="AD17" s="142">
        <f t="shared" ref="AD17:AD23" ca="1" si="12">AC17/$AA$15</f>
        <v>4.8294855064949349</v>
      </c>
    </row>
    <row r="18" spans="2:30">
      <c r="I18" s="4" t="str">
        <f t="shared" ref="I18:N18" si="13">I$4</f>
        <v>alim</v>
      </c>
      <c r="J18" s="4" t="str">
        <f t="shared" si="13"/>
        <v>local</v>
      </c>
      <c r="K18" s="4" t="str">
        <f t="shared" si="13"/>
        <v>activité</v>
      </c>
      <c r="L18" s="4" t="str">
        <f t="shared" si="13"/>
        <v>transp</v>
      </c>
      <c r="M18" s="4" t="str">
        <f t="shared" si="13"/>
        <v>hors voy</v>
      </c>
      <c r="N18" s="4" t="str">
        <f t="shared" si="13"/>
        <v>Invest</v>
      </c>
      <c r="O18" s="2"/>
      <c r="P18" s="142"/>
      <c r="Q18" s="142"/>
      <c r="R18" s="4" t="str">
        <f t="shared" si="10"/>
        <v>36/37</v>
      </c>
      <c r="S18" s="4" t="str">
        <f t="shared" si="10"/>
        <v>38/39</v>
      </c>
      <c r="T18" s="4" t="str">
        <f t="shared" si="10"/>
        <v>40/41</v>
      </c>
      <c r="U18" s="2"/>
      <c r="V18" s="4" t="str">
        <f t="shared" si="11"/>
        <v>36/37</v>
      </c>
      <c r="W18" s="4" t="str">
        <f t="shared" si="11"/>
        <v>38/39</v>
      </c>
      <c r="X18" s="4" t="str">
        <f t="shared" si="11"/>
        <v>40/41</v>
      </c>
      <c r="Y18" s="2"/>
      <c r="Z18" s="2"/>
      <c r="AC18" s="323">
        <f ca="1">SUM(AC15:AC17)</f>
        <v>6459.2622678116259</v>
      </c>
      <c r="AD18" s="323">
        <f t="shared" ca="1" si="12"/>
        <v>60.36693708235164</v>
      </c>
    </row>
    <row r="19" spans="2:30">
      <c r="F19" s="142">
        <f ca="1">F6+F5</f>
        <v>93</v>
      </c>
      <c r="H19" s="2" t="s">
        <v>52</v>
      </c>
      <c r="I19" s="142">
        <f ca="1">SUMIF($G$5:$G$14,$H19,I$5:I$14)</f>
        <v>2130.5966920471797</v>
      </c>
      <c r="J19" s="142">
        <f t="shared" ref="J19:P19" ca="1" si="14">SUMIF($G$5:$G$14,$H19,J$5:J$14)</f>
        <v>2091.0703028397847</v>
      </c>
      <c r="K19" s="142">
        <f t="shared" ca="1" si="14"/>
        <v>99.524564183835196</v>
      </c>
      <c r="L19" s="142">
        <f t="shared" ca="1" si="14"/>
        <v>93.597294179172721</v>
      </c>
      <c r="M19" s="142">
        <f t="shared" ca="1" si="14"/>
        <v>783.39104491474188</v>
      </c>
      <c r="N19" s="142">
        <f t="shared" ca="1" si="14"/>
        <v>399.36608557844693</v>
      </c>
      <c r="O19" s="2"/>
      <c r="P19" s="142">
        <f t="shared" ca="1" si="14"/>
        <v>5317.8768078319063</v>
      </c>
      <c r="Q19" s="142"/>
      <c r="R19" s="142">
        <f ca="1">SUM(I19:J19)</f>
        <v>4221.6669948869639</v>
      </c>
      <c r="S19" s="142">
        <f ca="1">SUM(K19:L19)</f>
        <v>193.1218583630079</v>
      </c>
      <c r="T19" s="142">
        <f ca="1">SUM(M19:N19)</f>
        <v>1182.7571304931889</v>
      </c>
      <c r="U19" s="2"/>
      <c r="V19" s="142">
        <f t="shared" ref="V19:X24" ca="1" si="15">IFERROR(R19/$F19,"")</f>
        <v>45.394268762225416</v>
      </c>
      <c r="W19" s="142">
        <f t="shared" ca="1" si="15"/>
        <v>2.0765791221828809</v>
      </c>
      <c r="X19" s="142">
        <f t="shared" ca="1" si="15"/>
        <v>12.717818607453644</v>
      </c>
      <c r="Y19" s="2"/>
      <c r="Z19" s="2"/>
      <c r="AB19" s="4" t="s">
        <v>34</v>
      </c>
      <c r="AC19" s="143">
        <v>1279</v>
      </c>
      <c r="AD19" s="142">
        <f t="shared" ca="1" si="12"/>
        <v>11.953271028037383</v>
      </c>
    </row>
    <row r="20" spans="2:30">
      <c r="F20" s="142">
        <f ca="1">F8+F9</f>
        <v>3</v>
      </c>
      <c r="H20" s="2" t="s">
        <v>513</v>
      </c>
      <c r="I20" s="142">
        <f t="shared" ref="I20:P22" ca="1" si="16">SUMIF($G$5:$G$14,$H20,I$5:I$14)</f>
        <v>83.064564433407796</v>
      </c>
      <c r="J20" s="142">
        <f t="shared" ca="1" si="16"/>
        <v>33.401053820332685</v>
      </c>
      <c r="K20" s="142">
        <f t="shared" ca="1" si="16"/>
        <v>29.133858267716537</v>
      </c>
      <c r="L20" s="142">
        <f t="shared" ca="1" si="16"/>
        <v>80.958234024233505</v>
      </c>
      <c r="M20" s="142">
        <f t="shared" ca="1" si="16"/>
        <v>9.9049128367670374</v>
      </c>
      <c r="N20" s="142">
        <f t="shared" ca="1" si="16"/>
        <v>0</v>
      </c>
      <c r="O20" s="2"/>
      <c r="P20" s="142">
        <f t="shared" ca="1" si="16"/>
        <v>236.46262338245756</v>
      </c>
      <c r="Q20" s="142"/>
      <c r="R20" s="142">
        <f ca="1">SUM(I20:J20)</f>
        <v>116.46561825374047</v>
      </c>
      <c r="S20" s="142">
        <f ca="1">SUM(K20:L20)</f>
        <v>110.09209229195004</v>
      </c>
      <c r="T20" s="142">
        <f ca="1">SUM(M20:N20)</f>
        <v>9.9049128367670374</v>
      </c>
      <c r="U20" s="2"/>
      <c r="V20" s="142">
        <f t="shared" ca="1" si="15"/>
        <v>38.821872751246822</v>
      </c>
      <c r="W20" s="142">
        <f t="shared" ca="1" si="15"/>
        <v>36.697364097316679</v>
      </c>
      <c r="X20" s="142">
        <f t="shared" ca="1" si="15"/>
        <v>3.301637612255679</v>
      </c>
      <c r="Y20" s="2"/>
      <c r="Z20" s="2"/>
      <c r="AB20" s="4" t="s">
        <v>600</v>
      </c>
      <c r="AC20" s="142">
        <f ca="1">M23</f>
        <v>882.87494010786008</v>
      </c>
      <c r="AD20" s="142">
        <f t="shared" ca="1" si="12"/>
        <v>8.2511676645594392</v>
      </c>
    </row>
    <row r="21" spans="2:30">
      <c r="F21" s="142">
        <f ca="1">F7+F11</f>
        <v>3</v>
      </c>
      <c r="H21" s="2" t="s">
        <v>577</v>
      </c>
      <c r="I21" s="142">
        <f t="shared" ca="1" si="16"/>
        <v>182.74023915862267</v>
      </c>
      <c r="J21" s="142">
        <f t="shared" ca="1" si="16"/>
        <v>105.01854920040341</v>
      </c>
      <c r="K21" s="316">
        <f t="shared" ca="1" si="16"/>
        <v>396.3566733900015</v>
      </c>
      <c r="L21" s="316">
        <f t="shared" ca="1" si="16"/>
        <v>513.76026509148539</v>
      </c>
      <c r="M21" s="142">
        <f t="shared" ca="1" si="16"/>
        <v>10.589252269125488</v>
      </c>
      <c r="N21" s="142">
        <f t="shared" ca="1" si="16"/>
        <v>0</v>
      </c>
      <c r="O21" s="2"/>
      <c r="P21" s="142">
        <f t="shared" ca="1" si="16"/>
        <v>1208.4649791096385</v>
      </c>
      <c r="Q21" s="142"/>
      <c r="R21" s="142">
        <f ca="1">SUM(I21:J21)</f>
        <v>287.75878835902608</v>
      </c>
      <c r="S21" s="142">
        <f ca="1">SUM(K21:L21)</f>
        <v>910.11693848148684</v>
      </c>
      <c r="T21" s="142">
        <f ca="1">SUM(M21:N21)</f>
        <v>10.589252269125488</v>
      </c>
      <c r="U21" s="2"/>
      <c r="V21" s="142">
        <f t="shared" ca="1" si="15"/>
        <v>95.919596119675361</v>
      </c>
      <c r="W21" s="142">
        <f t="shared" ca="1" si="15"/>
        <v>303.37231282716226</v>
      </c>
      <c r="X21" s="142">
        <f t="shared" ca="1" si="15"/>
        <v>3.5297507563751629</v>
      </c>
      <c r="Y21" s="2"/>
      <c r="Z21" s="2"/>
      <c r="AB21" s="4" t="s">
        <v>604</v>
      </c>
      <c r="AC21" s="318">
        <v>3210</v>
      </c>
      <c r="AD21" s="142">
        <f t="shared" ca="1" si="12"/>
        <v>30</v>
      </c>
    </row>
    <row r="22" spans="2:30" ht="15" thickBot="1">
      <c r="F22" s="142">
        <f ca="1">+F10</f>
        <v>5</v>
      </c>
      <c r="H22" s="2" t="s">
        <v>514</v>
      </c>
      <c r="I22" s="142">
        <f t="shared" ca="1" si="16"/>
        <v>164.29695396633267</v>
      </c>
      <c r="J22" s="142">
        <f t="shared" ca="1" si="16"/>
        <v>137.31896315060476</v>
      </c>
      <c r="K22" s="142">
        <f t="shared" ca="1" si="16"/>
        <v>368.66728227909709</v>
      </c>
      <c r="L22" s="142">
        <f t="shared" ca="1" si="16"/>
        <v>859.87371626090328</v>
      </c>
      <c r="M22" s="142">
        <f t="shared" ca="1" si="16"/>
        <v>78.989730087225638</v>
      </c>
      <c r="N22" s="142">
        <f t="shared" ca="1" si="16"/>
        <v>0</v>
      </c>
      <c r="O22" s="2"/>
      <c r="P22" s="142">
        <f t="shared" ca="1" si="16"/>
        <v>375.51154273306963</v>
      </c>
      <c r="Q22" s="142"/>
      <c r="R22" s="142">
        <f ca="1">SUM(I22:J22)</f>
        <v>301.61591711693745</v>
      </c>
      <c r="S22" s="142">
        <f ca="1">SUM(K22:L22)</f>
        <v>1228.5409985400004</v>
      </c>
      <c r="T22" s="142">
        <f ca="1">SUM(M22:N22)</f>
        <v>78.989730087225638</v>
      </c>
      <c r="U22" s="2"/>
      <c r="V22" s="142">
        <f t="shared" ca="1" si="15"/>
        <v>60.323183423387491</v>
      </c>
      <c r="W22" s="142">
        <f t="shared" ca="1" si="15"/>
        <v>245.70819970800008</v>
      </c>
      <c r="X22" s="142">
        <f t="shared" ca="1" si="15"/>
        <v>15.797946017445128</v>
      </c>
      <c r="Y22" s="2"/>
      <c r="Z22" s="2"/>
      <c r="AC22" s="324">
        <f ca="1">SUM(AC19:AC21)</f>
        <v>5371.8749401078603</v>
      </c>
      <c r="AD22" s="324">
        <f t="shared" ca="1" si="12"/>
        <v>50.204438692596824</v>
      </c>
    </row>
    <row r="23" spans="2:30" ht="15" thickBot="1">
      <c r="F23" s="142">
        <f ca="1">SUM(F19:F22)</f>
        <v>104</v>
      </c>
      <c r="H23" s="4" t="s">
        <v>14</v>
      </c>
      <c r="I23" s="319">
        <f ca="1">SUM(I19:I22)</f>
        <v>2560.6984496055429</v>
      </c>
      <c r="J23" s="319">
        <f t="shared" ref="J23:P23" ca="1" si="17">SUM(J19:J22)</f>
        <v>2366.8088690111258</v>
      </c>
      <c r="K23" s="161">
        <f t="shared" ca="1" si="17"/>
        <v>893.68237812065036</v>
      </c>
      <c r="L23" s="161">
        <f t="shared" ca="1" si="17"/>
        <v>1548.1895095557948</v>
      </c>
      <c r="M23" s="161">
        <f t="shared" ca="1" si="17"/>
        <v>882.87494010786008</v>
      </c>
      <c r="N23" s="317">
        <f t="shared" ca="1" si="17"/>
        <v>399.36608557844693</v>
      </c>
      <c r="O23" s="2"/>
      <c r="P23" s="161">
        <f t="shared" ca="1" si="17"/>
        <v>7138.315953057072</v>
      </c>
      <c r="Q23" s="161"/>
      <c r="R23" s="161">
        <f ca="1">SUM(R19:R22)</f>
        <v>4927.5073186166674</v>
      </c>
      <c r="S23" s="161">
        <f ca="1">SUM(S19:S22)</f>
        <v>2441.8718876764451</v>
      </c>
      <c r="T23" s="161">
        <f ca="1">SUM(T19:T22)</f>
        <v>1282.2410256863068</v>
      </c>
      <c r="U23" s="2"/>
      <c r="V23" s="290">
        <f t="shared" ca="1" si="15"/>
        <v>47.379878063621803</v>
      </c>
      <c r="W23" s="291">
        <f t="shared" ca="1" si="15"/>
        <v>23.479537381504279</v>
      </c>
      <c r="X23" s="161">
        <f t="shared" ca="1" si="15"/>
        <v>12.329240631599104</v>
      </c>
      <c r="Y23" s="2"/>
      <c r="Z23" s="2"/>
      <c r="AC23" s="322">
        <f ca="1">P23</f>
        <v>7138.315953057072</v>
      </c>
      <c r="AD23" s="322">
        <f t="shared" ca="1" si="12"/>
        <v>66.713233206140856</v>
      </c>
    </row>
    <row r="24" spans="2:30">
      <c r="F24" s="142">
        <f ca="1">F23-F21</f>
        <v>101</v>
      </c>
      <c r="H24" s="2" t="s">
        <v>603</v>
      </c>
      <c r="I24" s="142">
        <f t="shared" ref="I24:N24" ca="1" si="18">I23-I21</f>
        <v>2377.95821044692</v>
      </c>
      <c r="J24" s="142">
        <f t="shared" ca="1" si="18"/>
        <v>2261.7903198107224</v>
      </c>
      <c r="K24" s="321">
        <f t="shared" ca="1" si="18"/>
        <v>497.32570473064885</v>
      </c>
      <c r="L24" s="321">
        <f t="shared" ca="1" si="18"/>
        <v>1034.4292444643092</v>
      </c>
      <c r="M24" s="142">
        <f t="shared" ca="1" si="18"/>
        <v>872.28568783873459</v>
      </c>
      <c r="N24" s="142">
        <f t="shared" ca="1" si="18"/>
        <v>399.36608557844693</v>
      </c>
      <c r="O24" s="142"/>
      <c r="Q24" s="142"/>
      <c r="R24" s="142">
        <f ca="1">SUM(I24:J24)</f>
        <v>4639.7485302576424</v>
      </c>
      <c r="S24" s="142">
        <f ca="1">SUM(K24:L24)</f>
        <v>1531.754949194958</v>
      </c>
      <c r="T24" s="142">
        <f ca="1">SUM(M24:N24)</f>
        <v>1271.6517734171816</v>
      </c>
      <c r="U24" s="2"/>
      <c r="V24" s="142">
        <f t="shared" ca="1" si="15"/>
        <v>45.938104259976654</v>
      </c>
      <c r="W24" s="142">
        <f t="shared" ca="1" si="15"/>
        <v>15.165890586088693</v>
      </c>
      <c r="X24" s="142">
        <f t="shared" ca="1" si="15"/>
        <v>12.590611617991897</v>
      </c>
      <c r="Y24" s="2"/>
      <c r="Z24" s="2"/>
    </row>
    <row r="25" spans="2:30">
      <c r="F25" s="142"/>
      <c r="H25" s="2"/>
      <c r="I25" s="142">
        <f t="shared" ref="I25:N25" ca="1" si="19">I24/$F$24</f>
        <v>23.544140697494257</v>
      </c>
      <c r="J25" s="142">
        <f t="shared" ca="1" si="19"/>
        <v>22.393963562482401</v>
      </c>
      <c r="K25" s="142">
        <f t="shared" ca="1" si="19"/>
        <v>4.9240168785212761</v>
      </c>
      <c r="L25" s="142">
        <f t="shared" ca="1" si="19"/>
        <v>10.241873707567418</v>
      </c>
      <c r="M25" s="142">
        <f t="shared" ca="1" si="19"/>
        <v>8.6364919587993523</v>
      </c>
      <c r="N25" s="142">
        <f t="shared" ca="1" si="19"/>
        <v>3.954119659192544</v>
      </c>
      <c r="O25" s="142"/>
      <c r="P25" s="142"/>
      <c r="Q25" s="142"/>
      <c r="R25" s="142"/>
      <c r="S25" s="142"/>
      <c r="T25" s="142"/>
      <c r="U25" s="2"/>
      <c r="V25" s="142"/>
      <c r="W25" s="142"/>
      <c r="X25" s="142"/>
      <c r="Y25" s="2"/>
      <c r="Z25" s="2"/>
    </row>
    <row r="26" spans="2:30">
      <c r="B26" s="117" t="str">
        <f>IF(C26=0,"DONGS","EURO + DONGS")</f>
        <v>EURO + DONGS</v>
      </c>
      <c r="C26" s="118">
        <v>1</v>
      </c>
      <c r="D26" s="2">
        <f>IF(C26=0,0,65)</f>
        <v>65</v>
      </c>
      <c r="F26" s="142"/>
      <c r="H26" s="2"/>
      <c r="I26" s="142"/>
      <c r="J26" s="142"/>
      <c r="K26" s="142"/>
      <c r="L26" s="142"/>
      <c r="M26" s="142"/>
      <c r="N26" s="142"/>
      <c r="O26" s="142"/>
      <c r="P26" s="118" t="str">
        <f>$B$26</f>
        <v>EURO + DONGS</v>
      </c>
      <c r="Q26" s="142"/>
      <c r="R26" s="142"/>
      <c r="S26" s="142"/>
      <c r="T26" s="142"/>
      <c r="U26" s="2"/>
      <c r="V26" s="142"/>
      <c r="W26" s="142"/>
      <c r="X26" s="142"/>
      <c r="Y26" s="2"/>
      <c r="Z26" s="2"/>
    </row>
    <row r="27" spans="2:30">
      <c r="B27" s="204" t="s">
        <v>596</v>
      </c>
      <c r="C27" s="2" t="str">
        <f>IF(C26=1,"C","F")</f>
        <v>C</v>
      </c>
      <c r="G27" s="314"/>
      <c r="H27" s="314"/>
      <c r="I27" s="315">
        <v>99</v>
      </c>
      <c r="J27" s="315">
        <v>100</v>
      </c>
      <c r="K27" s="315">
        <v>101</v>
      </c>
      <c r="L27" s="315">
        <v>102</v>
      </c>
      <c r="M27" s="315">
        <v>103</v>
      </c>
      <c r="N27" s="315">
        <v>104</v>
      </c>
      <c r="O27" s="314"/>
      <c r="P27" s="315">
        <v>111</v>
      </c>
      <c r="Q27" s="2"/>
      <c r="S27" s="2"/>
    </row>
    <row r="28" spans="2:30">
      <c r="B28" s="205" t="s">
        <v>597</v>
      </c>
      <c r="D28" s="4" t="s">
        <v>512</v>
      </c>
      <c r="G28" s="315">
        <v>9</v>
      </c>
      <c r="H28" s="315">
        <v>10</v>
      </c>
      <c r="I28" s="315">
        <v>34</v>
      </c>
      <c r="J28" s="315">
        <v>35</v>
      </c>
      <c r="K28" s="315">
        <v>36</v>
      </c>
      <c r="L28" s="315">
        <v>37</v>
      </c>
      <c r="M28" s="315">
        <v>38</v>
      </c>
      <c r="N28" s="315">
        <v>39</v>
      </c>
      <c r="O28" s="315"/>
      <c r="P28" s="315">
        <v>40</v>
      </c>
      <c r="Q28" s="2"/>
    </row>
    <row r="29" spans="2:30">
      <c r="D29" s="2" t="s">
        <v>511</v>
      </c>
      <c r="I29" s="4" t="str">
        <f t="shared" ref="I29:N29" si="20">I$4</f>
        <v>alim</v>
      </c>
      <c r="J29" s="4" t="str">
        <f t="shared" si="20"/>
        <v>local</v>
      </c>
      <c r="K29" s="4" t="str">
        <f t="shared" si="20"/>
        <v>activité</v>
      </c>
      <c r="L29" s="4" t="str">
        <f t="shared" si="20"/>
        <v>transp</v>
      </c>
      <c r="M29" s="4" t="str">
        <f t="shared" si="20"/>
        <v>hors voy</v>
      </c>
      <c r="N29" s="4" t="str">
        <f t="shared" si="20"/>
        <v>Invest</v>
      </c>
      <c r="O29" s="4"/>
      <c r="P29" s="4" t="s">
        <v>14</v>
      </c>
      <c r="Q29" s="4"/>
      <c r="R29" s="4" t="s">
        <v>572</v>
      </c>
      <c r="S29" s="4" t="s">
        <v>574</v>
      </c>
      <c r="T29" s="4" t="s">
        <v>573</v>
      </c>
    </row>
    <row r="30" spans="2:30">
      <c r="C30" s="313">
        <f ca="1">INDIRECT($A$3&amp;"!"&amp;$E30&amp;6)</f>
        <v>25.4</v>
      </c>
      <c r="D30" s="2">
        <v>0</v>
      </c>
      <c r="E30" s="2" t="s">
        <v>286</v>
      </c>
      <c r="F30" s="2">
        <v>0</v>
      </c>
      <c r="G30" s="39">
        <f t="array" aca="1" ref="G30" ca="1">INDIRECT($A$3&amp;"!"&amp;$E30&amp;G$28)</f>
        <v>44877</v>
      </c>
      <c r="H30" s="2" t="str">
        <f t="array" aca="1" ref="H30" ca="1">INDIRECT($A$3&amp;"!"&amp;$E30&amp;H$28)</f>
        <v>BDX</v>
      </c>
      <c r="I30" s="142">
        <f ca="1">INDIRECT($A$3&amp;"!"&amp;$E30&amp;I$28+$D$26)</f>
        <v>0</v>
      </c>
      <c r="J30" s="142">
        <f t="shared" ref="I30:N39" ca="1" si="21">INDIRECT($A$3&amp;"!"&amp;$E30&amp;J$28+$D$26)</f>
        <v>0</v>
      </c>
      <c r="K30" s="142">
        <f t="shared" ca="1" si="21"/>
        <v>0</v>
      </c>
      <c r="L30" s="142">
        <f t="shared" ca="1" si="21"/>
        <v>1633.82</v>
      </c>
      <c r="M30" s="142">
        <f t="shared" ca="1" si="21"/>
        <v>494.02</v>
      </c>
      <c r="N30" s="142">
        <f t="shared" ca="1" si="21"/>
        <v>0</v>
      </c>
      <c r="O30" s="142"/>
      <c r="P30" s="142">
        <f t="shared" ref="P30:P138" ca="1" si="22">INDIRECT($A$3&amp;"!"&amp;$E30&amp;P$28+$D$26)</f>
        <v>2127.84</v>
      </c>
      <c r="Q30" s="142"/>
      <c r="R30" s="142">
        <f ca="1">SUM(I30:J30)</f>
        <v>0</v>
      </c>
      <c r="S30" s="142">
        <f ca="1">SUM(L30:M30)</f>
        <v>2127.84</v>
      </c>
      <c r="T30" s="142">
        <f ca="1">SUM(M30:N30)</f>
        <v>494.02</v>
      </c>
      <c r="U30" s="142"/>
    </row>
    <row r="31" spans="2:30">
      <c r="C31" s="313">
        <f t="shared" ref="C31:C94" ca="1" si="23">INDIRECT($A$3&amp;"!"&amp;$E31&amp;6)</f>
        <v>25.4</v>
      </c>
      <c r="D31" s="2">
        <v>1</v>
      </c>
      <c r="E31" s="2" t="s">
        <v>334</v>
      </c>
      <c r="F31" s="2">
        <v>1</v>
      </c>
      <c r="G31" s="39">
        <f t="array" aca="1" ref="G31" ca="1">INDIRECT($A$3&amp;"!"&amp;$E31&amp;G$28)</f>
        <v>44878</v>
      </c>
      <c r="H31" s="2" t="str">
        <f t="array" aca="1" ref="H31" ca="1">INDIRECT($A$3&amp;"!"&amp;$E31&amp;H$28)</f>
        <v>Hanoi</v>
      </c>
      <c r="I31" s="142">
        <f t="shared" ca="1" si="21"/>
        <v>29.606299212598426</v>
      </c>
      <c r="J31" s="142">
        <f t="shared" ca="1" si="21"/>
        <v>56.2992125984252</v>
      </c>
      <c r="K31" s="142">
        <f t="shared" ca="1" si="21"/>
        <v>11.811023622047244</v>
      </c>
      <c r="L31" s="142">
        <f t="shared" ca="1" si="21"/>
        <v>61.811023622047244</v>
      </c>
      <c r="M31" s="142">
        <f t="shared" ca="1" si="21"/>
        <v>2.3622047244094491</v>
      </c>
      <c r="N31" s="142">
        <f t="shared" ca="1" si="21"/>
        <v>0</v>
      </c>
      <c r="O31" s="142"/>
      <c r="P31" s="142">
        <f t="shared" ca="1" si="22"/>
        <v>161.88976377952756</v>
      </c>
      <c r="Q31" s="142"/>
      <c r="R31" s="142">
        <f t="shared" ref="R31:R54" ca="1" si="24">SUM(I31:J31)</f>
        <v>85.905511811023629</v>
      </c>
      <c r="S31" s="142">
        <f t="shared" ref="S31:S54" ca="1" si="25">SUM(L31:M31)</f>
        <v>64.173228346456696</v>
      </c>
      <c r="T31" s="142">
        <f t="shared" ref="T31:T54" ca="1" si="26">SUM(M31:N31)</f>
        <v>2.3622047244094491</v>
      </c>
    </row>
    <row r="32" spans="2:30">
      <c r="C32" s="313">
        <f t="shared" ca="1" si="23"/>
        <v>25.4</v>
      </c>
      <c r="D32" s="2">
        <v>2</v>
      </c>
      <c r="E32" s="2" t="s">
        <v>335</v>
      </c>
      <c r="F32" s="2">
        <f t="shared" ref="F32:F62" si="27">F31</f>
        <v>1</v>
      </c>
      <c r="G32" s="39">
        <f t="array" aca="1" ref="G32" ca="1">INDIRECT($A$3&amp;"!"&amp;$E32&amp;G$28)</f>
        <v>44879</v>
      </c>
      <c r="H32" s="2" t="str">
        <f t="array" aca="1" ref="H32" ca="1">INDIRECT($A$3&amp;"!"&amp;$E32&amp;H$28)</f>
        <v>Hanoi</v>
      </c>
      <c r="I32" s="142">
        <f t="shared" ca="1" si="21"/>
        <v>28.070866141732285</v>
      </c>
      <c r="J32" s="142">
        <f t="shared" ca="1" si="21"/>
        <v>42.913385826771659</v>
      </c>
      <c r="K32" s="142">
        <f t="shared" ca="1" si="21"/>
        <v>0</v>
      </c>
      <c r="L32" s="142">
        <f t="shared" ca="1" si="21"/>
        <v>0</v>
      </c>
      <c r="M32" s="142">
        <f t="shared" ca="1" si="21"/>
        <v>9.8425196850393704</v>
      </c>
      <c r="N32" s="142">
        <f t="shared" ca="1" si="21"/>
        <v>0</v>
      </c>
      <c r="O32" s="142"/>
      <c r="P32" s="142">
        <f t="shared" ca="1" si="22"/>
        <v>80.826771653543318</v>
      </c>
      <c r="Q32" s="142"/>
      <c r="R32" s="142">
        <f t="shared" ca="1" si="24"/>
        <v>70.984251968503941</v>
      </c>
      <c r="S32" s="142">
        <f t="shared" ca="1" si="25"/>
        <v>9.8425196850393704</v>
      </c>
      <c r="T32" s="142">
        <f t="shared" ca="1" si="26"/>
        <v>9.8425196850393704</v>
      </c>
      <c r="W32" t="s">
        <v>602</v>
      </c>
    </row>
    <row r="33" spans="3:20">
      <c r="C33" s="313">
        <f t="shared" ca="1" si="23"/>
        <v>25.4</v>
      </c>
      <c r="D33" s="2">
        <v>3</v>
      </c>
      <c r="E33" s="2" t="s">
        <v>281</v>
      </c>
      <c r="F33" s="2">
        <f t="shared" si="27"/>
        <v>1</v>
      </c>
      <c r="G33" s="39">
        <f t="array" aca="1" ref="G33" ca="1">INDIRECT($A$3&amp;"!"&amp;$E33&amp;G$28)</f>
        <v>44880</v>
      </c>
      <c r="H33" s="2" t="str">
        <f t="array" aca="1" ref="H33" ca="1">INDIRECT($A$3&amp;"!"&amp;$E33&amp;H$28)</f>
        <v>Hanoi</v>
      </c>
      <c r="I33" s="142">
        <f t="shared" ca="1" si="21"/>
        <v>28.700787401574804</v>
      </c>
      <c r="J33" s="142">
        <f t="shared" ca="1" si="21"/>
        <v>42.99212598425197</v>
      </c>
      <c r="K33" s="142">
        <f t="shared" ca="1" si="21"/>
        <v>0</v>
      </c>
      <c r="L33" s="142">
        <f t="shared" ca="1" si="21"/>
        <v>0</v>
      </c>
      <c r="M33" s="142">
        <f t="shared" ca="1" si="21"/>
        <v>7.0866141732283472</v>
      </c>
      <c r="N33" s="142">
        <f t="shared" ca="1" si="21"/>
        <v>0</v>
      </c>
      <c r="O33" s="142"/>
      <c r="P33" s="142">
        <f t="shared" ca="1" si="22"/>
        <v>78.779527559055111</v>
      </c>
      <c r="Q33" s="142"/>
      <c r="R33" s="142">
        <f t="shared" ca="1" si="24"/>
        <v>71.69291338582677</v>
      </c>
      <c r="S33" s="142">
        <f t="shared" ca="1" si="25"/>
        <v>7.0866141732283472</v>
      </c>
      <c r="T33" s="142">
        <f t="shared" ca="1" si="26"/>
        <v>7.0866141732283472</v>
      </c>
    </row>
    <row r="34" spans="3:20">
      <c r="C34" s="313">
        <f t="shared" ca="1" si="23"/>
        <v>25.4</v>
      </c>
      <c r="D34" s="2">
        <v>4</v>
      </c>
      <c r="E34" s="2" t="s">
        <v>282</v>
      </c>
      <c r="F34" s="2">
        <f t="shared" si="27"/>
        <v>1</v>
      </c>
      <c r="G34" s="39">
        <f t="array" aca="1" ref="G34" ca="1">INDIRECT($A$3&amp;"!"&amp;$E34&amp;G$28)</f>
        <v>44881</v>
      </c>
      <c r="H34" s="2" t="str">
        <f t="array" aca="1" ref="H34" ca="1">INDIRECT($A$3&amp;"!"&amp;$E34&amp;H$28)</f>
        <v>Hanoi</v>
      </c>
      <c r="I34" s="142">
        <f t="shared" ca="1" si="21"/>
        <v>9.3700787401574814</v>
      </c>
      <c r="J34" s="142">
        <f t="shared" ca="1" si="21"/>
        <v>42.99212598425197</v>
      </c>
      <c r="K34" s="142">
        <f t="shared" ca="1" si="21"/>
        <v>0</v>
      </c>
      <c r="L34" s="142">
        <f t="shared" ca="1" si="21"/>
        <v>0</v>
      </c>
      <c r="M34" s="142">
        <f t="shared" ca="1" si="21"/>
        <v>0</v>
      </c>
      <c r="N34" s="142">
        <f t="shared" ca="1" si="21"/>
        <v>0</v>
      </c>
      <c r="O34" s="142"/>
      <c r="P34" s="142">
        <f t="shared" ca="1" si="22"/>
        <v>52.362204724409452</v>
      </c>
      <c r="Q34" s="142"/>
      <c r="R34" s="142">
        <f t="shared" ca="1" si="24"/>
        <v>52.362204724409452</v>
      </c>
      <c r="S34" s="142">
        <f t="shared" ca="1" si="25"/>
        <v>0</v>
      </c>
      <c r="T34" s="142">
        <f t="shared" ca="1" si="26"/>
        <v>0</v>
      </c>
    </row>
    <row r="35" spans="3:20">
      <c r="C35" s="313">
        <f t="shared" ca="1" si="23"/>
        <v>25.4</v>
      </c>
      <c r="D35" s="2">
        <v>5</v>
      </c>
      <c r="E35" s="2" t="s">
        <v>336</v>
      </c>
      <c r="F35" s="2">
        <f t="shared" si="27"/>
        <v>1</v>
      </c>
      <c r="G35" s="39">
        <f t="array" aca="1" ref="G35" ca="1">INDIRECT($A$3&amp;"!"&amp;$E35&amp;G$28)</f>
        <v>44882</v>
      </c>
      <c r="H35" s="2" t="str">
        <f t="array" aca="1" ref="H35" ca="1">INDIRECT($A$3&amp;"!"&amp;$E35&amp;H$28)</f>
        <v>Hanoi</v>
      </c>
      <c r="I35" s="142">
        <f t="shared" ca="1" si="21"/>
        <v>23.622047244094485</v>
      </c>
      <c r="J35" s="142">
        <f t="shared" ca="1" si="21"/>
        <v>42.99212598425197</v>
      </c>
      <c r="K35" s="142">
        <f t="shared" ca="1" si="21"/>
        <v>23.622047244094489</v>
      </c>
      <c r="L35" s="142">
        <f t="shared" ca="1" si="21"/>
        <v>0</v>
      </c>
      <c r="M35" s="142">
        <f t="shared" ca="1" si="21"/>
        <v>0</v>
      </c>
      <c r="N35" s="142">
        <f t="shared" ca="1" si="21"/>
        <v>0</v>
      </c>
      <c r="O35" s="142"/>
      <c r="P35" s="142">
        <f t="shared" ca="1" si="22"/>
        <v>90.236220472440948</v>
      </c>
      <c r="Q35" s="142"/>
      <c r="R35" s="142">
        <f t="shared" ca="1" si="24"/>
        <v>66.614173228346459</v>
      </c>
      <c r="S35" s="142">
        <f t="shared" ca="1" si="25"/>
        <v>0</v>
      </c>
      <c r="T35" s="142">
        <f t="shared" ca="1" si="26"/>
        <v>0</v>
      </c>
    </row>
    <row r="36" spans="3:20">
      <c r="C36" s="313">
        <f t="shared" ca="1" si="23"/>
        <v>25.4</v>
      </c>
      <c r="D36" s="2">
        <v>6</v>
      </c>
      <c r="E36" s="2" t="s">
        <v>337</v>
      </c>
      <c r="F36" s="2">
        <f t="shared" si="27"/>
        <v>1</v>
      </c>
      <c r="G36" s="39">
        <f t="array" aca="1" ref="G36" ca="1">INDIRECT($A$3&amp;"!"&amp;$E36&amp;G$28)</f>
        <v>44883</v>
      </c>
      <c r="H36" s="2" t="str">
        <f t="array" aca="1" ref="H36" ca="1">INDIRECT($A$3&amp;"!"&amp;$E36&amp;H$28)</f>
        <v>Hanoi</v>
      </c>
      <c r="I36" s="142">
        <f t="shared" ca="1" si="21"/>
        <v>21.5748031496063</v>
      </c>
      <c r="J36" s="142">
        <f t="shared" ca="1" si="21"/>
        <v>42.99212598425197</v>
      </c>
      <c r="K36" s="142">
        <f t="shared" ca="1" si="21"/>
        <v>0</v>
      </c>
      <c r="L36" s="142">
        <f t="shared" ca="1" si="21"/>
        <v>0</v>
      </c>
      <c r="M36" s="142">
        <f t="shared" ca="1" si="21"/>
        <v>0</v>
      </c>
      <c r="N36" s="142">
        <f t="shared" ca="1" si="21"/>
        <v>0</v>
      </c>
      <c r="O36" s="142"/>
      <c r="P36" s="142">
        <f t="shared" ca="1" si="22"/>
        <v>64.566929133858267</v>
      </c>
      <c r="Q36" s="142"/>
      <c r="R36" s="142">
        <f t="shared" ca="1" si="24"/>
        <v>64.566929133858267</v>
      </c>
      <c r="S36" s="142">
        <f t="shared" ca="1" si="25"/>
        <v>0</v>
      </c>
      <c r="T36" s="142">
        <f t="shared" ca="1" si="26"/>
        <v>0</v>
      </c>
    </row>
    <row r="37" spans="3:20">
      <c r="C37" s="313">
        <f t="shared" ca="1" si="23"/>
        <v>25.4</v>
      </c>
      <c r="D37" s="2">
        <v>7</v>
      </c>
      <c r="E37" s="2" t="s">
        <v>338</v>
      </c>
      <c r="F37" s="2">
        <f t="shared" si="27"/>
        <v>1</v>
      </c>
      <c r="G37" s="39">
        <f t="array" aca="1" ref="G37" ca="1">INDIRECT($A$3&amp;"!"&amp;$E37&amp;G$28)</f>
        <v>44884</v>
      </c>
      <c r="H37" s="2" t="str">
        <f t="array" aca="1" ref="H37" ca="1">INDIRECT($A$3&amp;"!"&amp;$E37&amp;H$28)</f>
        <v>Hanoi</v>
      </c>
      <c r="I37" s="142">
        <f t="shared" ca="1" si="21"/>
        <v>12.99212598425197</v>
      </c>
      <c r="J37" s="142">
        <f t="shared" ca="1" si="21"/>
        <v>42.99212598425197</v>
      </c>
      <c r="K37" s="142">
        <f t="shared" ca="1" si="21"/>
        <v>0</v>
      </c>
      <c r="L37" s="142">
        <f t="shared" ca="1" si="21"/>
        <v>0</v>
      </c>
      <c r="M37" s="142">
        <f t="shared" ca="1" si="21"/>
        <v>0</v>
      </c>
      <c r="N37" s="142">
        <f t="shared" ca="1" si="21"/>
        <v>0</v>
      </c>
      <c r="O37" s="142"/>
      <c r="P37" s="142">
        <f t="shared" ca="1" si="22"/>
        <v>55.984251968503941</v>
      </c>
      <c r="Q37" s="142"/>
      <c r="R37" s="142">
        <f t="shared" ca="1" si="24"/>
        <v>55.984251968503941</v>
      </c>
      <c r="S37" s="142">
        <f t="shared" ca="1" si="25"/>
        <v>0</v>
      </c>
      <c r="T37" s="142">
        <f t="shared" ca="1" si="26"/>
        <v>0</v>
      </c>
    </row>
    <row r="38" spans="3:20">
      <c r="C38" s="313">
        <f t="shared" ca="1" si="23"/>
        <v>25.4</v>
      </c>
      <c r="D38" s="2">
        <v>8</v>
      </c>
      <c r="E38" s="2" t="s">
        <v>339</v>
      </c>
      <c r="F38" s="2">
        <f t="shared" si="27"/>
        <v>1</v>
      </c>
      <c r="G38" s="39">
        <f t="array" aca="1" ref="G38" ca="1">INDIRECT($A$3&amp;"!"&amp;$E38&amp;G$28)</f>
        <v>44885</v>
      </c>
      <c r="H38" s="2" t="str">
        <f t="array" aca="1" ref="H38" ca="1">INDIRECT($A$3&amp;"!"&amp;$E38&amp;H$28)</f>
        <v>Hanoi</v>
      </c>
      <c r="I38" s="142">
        <f t="shared" ca="1" si="21"/>
        <v>49.015748031496067</v>
      </c>
      <c r="J38" s="142">
        <f t="shared" ca="1" si="21"/>
        <v>1.5748031496062993</v>
      </c>
      <c r="K38" s="142">
        <f t="shared" ca="1" si="21"/>
        <v>0</v>
      </c>
      <c r="L38" s="142">
        <f t="shared" ca="1" si="21"/>
        <v>0</v>
      </c>
      <c r="M38" s="142">
        <f t="shared" ca="1" si="21"/>
        <v>0</v>
      </c>
      <c r="N38" s="142">
        <f t="shared" ca="1" si="21"/>
        <v>0</v>
      </c>
      <c r="O38" s="142"/>
      <c r="P38" s="142">
        <f t="shared" ca="1" si="22"/>
        <v>50.590551181102363</v>
      </c>
      <c r="Q38" s="142"/>
      <c r="R38" s="142">
        <f t="shared" ca="1" si="24"/>
        <v>50.590551181102363</v>
      </c>
      <c r="S38" s="142">
        <f t="shared" ca="1" si="25"/>
        <v>0</v>
      </c>
      <c r="T38" s="142">
        <f t="shared" ca="1" si="26"/>
        <v>0</v>
      </c>
    </row>
    <row r="39" spans="3:20">
      <c r="C39" s="313">
        <f t="shared" ca="1" si="23"/>
        <v>25.4</v>
      </c>
      <c r="D39" s="2">
        <v>9</v>
      </c>
      <c r="E39" s="2" t="s">
        <v>340</v>
      </c>
      <c r="F39" s="2">
        <f t="shared" si="27"/>
        <v>1</v>
      </c>
      <c r="G39" s="39">
        <f t="array" aca="1" ref="G39" ca="1">INDIRECT($A$3&amp;"!"&amp;$E39&amp;G$28)</f>
        <v>44886</v>
      </c>
      <c r="H39" s="2" t="str">
        <f t="array" aca="1" ref="H39" ca="1">INDIRECT($A$3&amp;"!"&amp;$E39&amp;H$28)</f>
        <v>Hanoi</v>
      </c>
      <c r="I39" s="142">
        <f t="shared" ca="1" si="21"/>
        <v>6.4173228346456694</v>
      </c>
      <c r="J39" s="142">
        <f t="shared" ca="1" si="21"/>
        <v>34.409448818897644</v>
      </c>
      <c r="K39" s="142">
        <f t="shared" ca="1" si="21"/>
        <v>0</v>
      </c>
      <c r="L39" s="142">
        <f t="shared" ca="1" si="21"/>
        <v>0</v>
      </c>
      <c r="M39" s="142">
        <f t="shared" ca="1" si="21"/>
        <v>0</v>
      </c>
      <c r="N39" s="142">
        <f t="shared" ca="1" si="21"/>
        <v>0</v>
      </c>
      <c r="O39" s="142"/>
      <c r="P39" s="142">
        <f t="shared" ca="1" si="22"/>
        <v>40.826771653543311</v>
      </c>
      <c r="Q39" s="142"/>
      <c r="R39" s="142">
        <f t="shared" ca="1" si="24"/>
        <v>40.826771653543311</v>
      </c>
      <c r="S39" s="142">
        <f t="shared" ca="1" si="25"/>
        <v>0</v>
      </c>
      <c r="T39" s="142">
        <f t="shared" ca="1" si="26"/>
        <v>0</v>
      </c>
    </row>
    <row r="40" spans="3:20">
      <c r="C40" s="313">
        <f t="shared" ca="1" si="23"/>
        <v>25.4</v>
      </c>
      <c r="D40" s="2">
        <v>10</v>
      </c>
      <c r="E40" s="2" t="s">
        <v>341</v>
      </c>
      <c r="F40" s="2">
        <f t="shared" si="27"/>
        <v>1</v>
      </c>
      <c r="G40" s="39">
        <f t="array" aca="1" ref="G40" ca="1">INDIRECT($A$3&amp;"!"&amp;$E40&amp;G$28)</f>
        <v>44887</v>
      </c>
      <c r="H40" s="2" t="str">
        <f t="array" aca="1" ref="H40" ca="1">INDIRECT($A$3&amp;"!"&amp;$E40&amp;H$28)</f>
        <v>Hanoi</v>
      </c>
      <c r="I40" s="142">
        <f t="shared" ref="I40:N49" ca="1" si="28">INDIRECT($A$3&amp;"!"&amp;$E40&amp;I$28+$D$26)</f>
        <v>16.535433070866144</v>
      </c>
      <c r="J40" s="142">
        <f t="shared" ca="1" si="28"/>
        <v>18.110236220472441</v>
      </c>
      <c r="K40" s="142">
        <f t="shared" ca="1" si="28"/>
        <v>0</v>
      </c>
      <c r="L40" s="142">
        <f t="shared" ca="1" si="28"/>
        <v>0</v>
      </c>
      <c r="M40" s="142">
        <f t="shared" ca="1" si="28"/>
        <v>0</v>
      </c>
      <c r="N40" s="142">
        <f t="shared" ca="1" si="28"/>
        <v>0</v>
      </c>
      <c r="O40" s="142"/>
      <c r="P40" s="142">
        <f t="shared" ca="1" si="22"/>
        <v>34.645669291338585</v>
      </c>
      <c r="Q40" s="142"/>
      <c r="R40" s="142">
        <f t="shared" ca="1" si="24"/>
        <v>34.645669291338585</v>
      </c>
      <c r="S40" s="142">
        <f t="shared" ca="1" si="25"/>
        <v>0</v>
      </c>
      <c r="T40" s="142">
        <f t="shared" ca="1" si="26"/>
        <v>0</v>
      </c>
    </row>
    <row r="41" spans="3:20">
      <c r="C41" s="313">
        <f t="shared" ca="1" si="23"/>
        <v>25.4</v>
      </c>
      <c r="D41" s="2">
        <v>11</v>
      </c>
      <c r="E41" s="2" t="s">
        <v>342</v>
      </c>
      <c r="F41" s="2">
        <f t="shared" si="27"/>
        <v>1</v>
      </c>
      <c r="G41" s="39">
        <f t="array" aca="1" ref="G41" ca="1">INDIRECT($A$3&amp;"!"&amp;$E41&amp;G$28)</f>
        <v>44888</v>
      </c>
      <c r="H41" s="2" t="str">
        <f t="array" aca="1" ref="H41" ca="1">INDIRECT($A$3&amp;"!"&amp;$E41&amp;H$28)</f>
        <v>Hanoi</v>
      </c>
      <c r="I41" s="142">
        <f t="shared" ca="1" si="28"/>
        <v>12.125984251968504</v>
      </c>
      <c r="J41" s="142">
        <f t="shared" ca="1" si="28"/>
        <v>16.929133858267718</v>
      </c>
      <c r="K41" s="142">
        <f t="shared" ca="1" si="28"/>
        <v>0</v>
      </c>
      <c r="L41" s="142">
        <f t="shared" ca="1" si="28"/>
        <v>0</v>
      </c>
      <c r="M41" s="142">
        <f t="shared" ca="1" si="28"/>
        <v>0</v>
      </c>
      <c r="N41" s="142">
        <f t="shared" ca="1" si="28"/>
        <v>0</v>
      </c>
      <c r="O41" s="142"/>
      <c r="P41" s="142">
        <f t="shared" ca="1" si="22"/>
        <v>29.055118110236222</v>
      </c>
      <c r="Q41" s="142"/>
      <c r="R41" s="142">
        <f t="shared" ca="1" si="24"/>
        <v>29.055118110236222</v>
      </c>
      <c r="S41" s="142">
        <f t="shared" ca="1" si="25"/>
        <v>0</v>
      </c>
      <c r="T41" s="142">
        <f t="shared" ca="1" si="26"/>
        <v>0</v>
      </c>
    </row>
    <row r="42" spans="3:20">
      <c r="C42" s="313">
        <f t="shared" ca="1" si="23"/>
        <v>25.4</v>
      </c>
      <c r="D42" s="2">
        <v>12</v>
      </c>
      <c r="E42" s="2" t="s">
        <v>343</v>
      </c>
      <c r="F42" s="2">
        <f t="shared" si="27"/>
        <v>1</v>
      </c>
      <c r="G42" s="39">
        <f t="array" aca="1" ref="G42" ca="1">INDIRECT($A$3&amp;"!"&amp;$E42&amp;G$28)</f>
        <v>44889</v>
      </c>
      <c r="H42" s="2" t="str">
        <f t="array" aca="1" ref="H42" ca="1">INDIRECT($A$3&amp;"!"&amp;$E42&amp;H$28)</f>
        <v>Hanoi</v>
      </c>
      <c r="I42" s="142">
        <f t="shared" ca="1" si="28"/>
        <v>3.7007874015748037</v>
      </c>
      <c r="J42" s="142">
        <f t="shared" ca="1" si="28"/>
        <v>15.748031496062993</v>
      </c>
      <c r="K42" s="142">
        <f t="shared" ca="1" si="28"/>
        <v>0</v>
      </c>
      <c r="L42" s="142">
        <f t="shared" ca="1" si="28"/>
        <v>0</v>
      </c>
      <c r="M42" s="142">
        <f t="shared" ca="1" si="28"/>
        <v>0</v>
      </c>
      <c r="N42" s="142">
        <f t="shared" ca="1" si="28"/>
        <v>0</v>
      </c>
      <c r="O42" s="142"/>
      <c r="P42" s="142">
        <f t="shared" ca="1" si="22"/>
        <v>19.448818897637796</v>
      </c>
      <c r="Q42" s="142"/>
      <c r="R42" s="142">
        <f t="shared" ca="1" si="24"/>
        <v>19.448818897637796</v>
      </c>
      <c r="S42" s="142">
        <f t="shared" ca="1" si="25"/>
        <v>0</v>
      </c>
      <c r="T42" s="142">
        <f t="shared" ca="1" si="26"/>
        <v>0</v>
      </c>
    </row>
    <row r="43" spans="3:20">
      <c r="C43" s="313">
        <f t="shared" ca="1" si="23"/>
        <v>25.4</v>
      </c>
      <c r="D43" s="2">
        <v>13</v>
      </c>
      <c r="E43" s="2" t="s">
        <v>344</v>
      </c>
      <c r="F43" s="2">
        <f t="shared" si="27"/>
        <v>1</v>
      </c>
      <c r="G43" s="39">
        <f t="array" aca="1" ref="G43" ca="1">INDIRECT($A$3&amp;"!"&amp;$E43&amp;G$28)</f>
        <v>44890</v>
      </c>
      <c r="H43" s="2" t="str">
        <f t="array" aca="1" ref="H43" ca="1">INDIRECT($A$3&amp;"!"&amp;$E43&amp;H$28)</f>
        <v>Ha Giang</v>
      </c>
      <c r="I43" s="142">
        <f t="shared" ca="1" si="28"/>
        <v>29.527559055118111</v>
      </c>
      <c r="J43" s="142">
        <f t="shared" ca="1" si="28"/>
        <v>15.748031496062993</v>
      </c>
      <c r="K43" s="142">
        <f t="shared" ca="1" si="28"/>
        <v>50.393700787401578</v>
      </c>
      <c r="L43" s="142">
        <f t="shared" ca="1" si="28"/>
        <v>15.748031496062993</v>
      </c>
      <c r="M43" s="142">
        <f t="shared" ca="1" si="28"/>
        <v>0</v>
      </c>
      <c r="N43" s="142">
        <f t="shared" ca="1" si="28"/>
        <v>0</v>
      </c>
      <c r="O43" s="142"/>
      <c r="P43" s="142">
        <f t="shared" ca="1" si="22"/>
        <v>111.41732283464567</v>
      </c>
      <c r="Q43" s="142"/>
      <c r="R43" s="142">
        <f t="shared" ca="1" si="24"/>
        <v>45.275590551181104</v>
      </c>
      <c r="S43" s="142">
        <f t="shared" ca="1" si="25"/>
        <v>15.748031496062993</v>
      </c>
      <c r="T43" s="142">
        <f t="shared" ca="1" si="26"/>
        <v>0</v>
      </c>
    </row>
    <row r="44" spans="3:20">
      <c r="C44" s="313">
        <f t="shared" ca="1" si="23"/>
        <v>25.4</v>
      </c>
      <c r="D44" s="2">
        <v>14</v>
      </c>
      <c r="E44" s="2" t="s">
        <v>345</v>
      </c>
      <c r="F44" s="2">
        <f t="shared" si="27"/>
        <v>1</v>
      </c>
      <c r="G44" s="39">
        <f t="array" aca="1" ref="G44" ca="1">INDIRECT($A$3&amp;"!"&amp;$E44&amp;G$28)</f>
        <v>44891</v>
      </c>
      <c r="H44" s="2" t="str">
        <f t="array" aca="1" ref="H44" ca="1">INDIRECT($A$3&amp;"!"&amp;$E44&amp;H$28)</f>
        <v>Ha Giang</v>
      </c>
      <c r="I44" s="142">
        <f t="shared" ca="1" si="28"/>
        <v>15.078740157480317</v>
      </c>
      <c r="J44" s="142">
        <f t="shared" ca="1" si="28"/>
        <v>19.527559055118111</v>
      </c>
      <c r="K44" s="142">
        <f t="shared" ca="1" si="28"/>
        <v>30.15748031496063</v>
      </c>
      <c r="L44" s="142">
        <f t="shared" ca="1" si="28"/>
        <v>0</v>
      </c>
      <c r="M44" s="142">
        <f t="shared" ca="1" si="28"/>
        <v>0</v>
      </c>
      <c r="N44" s="142">
        <f t="shared" ca="1" si="28"/>
        <v>0</v>
      </c>
      <c r="O44" s="142"/>
      <c r="P44" s="142">
        <f t="shared" ca="1" si="22"/>
        <v>64.763779527559052</v>
      </c>
      <c r="Q44" s="142"/>
      <c r="R44" s="142">
        <f t="shared" ca="1" si="24"/>
        <v>34.606299212598429</v>
      </c>
      <c r="S44" s="142">
        <f t="shared" ca="1" si="25"/>
        <v>0</v>
      </c>
      <c r="T44" s="142">
        <f t="shared" ca="1" si="26"/>
        <v>0</v>
      </c>
    </row>
    <row r="45" spans="3:20">
      <c r="C45" s="313">
        <f t="shared" ca="1" si="23"/>
        <v>25.4</v>
      </c>
      <c r="D45" s="2">
        <v>15</v>
      </c>
      <c r="E45" s="2" t="s">
        <v>346</v>
      </c>
      <c r="F45" s="2">
        <f t="shared" si="27"/>
        <v>1</v>
      </c>
      <c r="G45" s="39">
        <f t="array" aca="1" ref="G45" ca="1">INDIRECT($A$3&amp;"!"&amp;$E45&amp;G$28)</f>
        <v>44892</v>
      </c>
      <c r="H45" s="2" t="str">
        <f t="array" aca="1" ref="H45" ca="1">INDIRECT($A$3&amp;"!"&amp;$E45&amp;H$28)</f>
        <v>Hanoi</v>
      </c>
      <c r="I45" s="142">
        <f t="shared" ca="1" si="28"/>
        <v>9.8425196850393721</v>
      </c>
      <c r="J45" s="142">
        <f t="shared" ca="1" si="28"/>
        <v>15.748031496062993</v>
      </c>
      <c r="K45" s="142">
        <f t="shared" ca="1" si="28"/>
        <v>14.566929133858268</v>
      </c>
      <c r="L45" s="142">
        <f t="shared" ca="1" si="28"/>
        <v>18.897637795275593</v>
      </c>
      <c r="M45" s="142">
        <f t="shared" ca="1" si="28"/>
        <v>0</v>
      </c>
      <c r="N45" s="142">
        <f t="shared" ca="1" si="28"/>
        <v>0</v>
      </c>
      <c r="O45" s="142"/>
      <c r="P45" s="142">
        <f t="shared" ca="1" si="22"/>
        <v>59.055118110236222</v>
      </c>
      <c r="Q45" s="142"/>
      <c r="R45" s="142">
        <f t="shared" ca="1" si="24"/>
        <v>25.590551181102363</v>
      </c>
      <c r="S45" s="142">
        <f t="shared" ca="1" si="25"/>
        <v>18.897637795275593</v>
      </c>
      <c r="T45" s="142">
        <f t="shared" ca="1" si="26"/>
        <v>0</v>
      </c>
    </row>
    <row r="46" spans="3:20">
      <c r="C46" s="313">
        <f t="shared" ca="1" si="23"/>
        <v>25.4</v>
      </c>
      <c r="D46" s="2">
        <v>16</v>
      </c>
      <c r="E46" s="2" t="s">
        <v>347</v>
      </c>
      <c r="F46" s="2">
        <f t="shared" si="27"/>
        <v>1</v>
      </c>
      <c r="G46" s="39">
        <f t="array" aca="1" ref="G46" ca="1">INDIRECT($A$3&amp;"!"&amp;$E46&amp;G$28)</f>
        <v>44893</v>
      </c>
      <c r="H46" s="2" t="str">
        <f t="array" aca="1" ref="H46" ca="1">INDIRECT($A$3&amp;"!"&amp;$E46&amp;H$28)</f>
        <v>Hanoi</v>
      </c>
      <c r="I46" s="142">
        <f t="shared" ca="1" si="28"/>
        <v>29.133858267716537</v>
      </c>
      <c r="J46" s="142">
        <f t="shared" ca="1" si="28"/>
        <v>24.212598425196852</v>
      </c>
      <c r="K46" s="142">
        <f t="shared" ca="1" si="28"/>
        <v>0</v>
      </c>
      <c r="L46" s="142">
        <f t="shared" ca="1" si="28"/>
        <v>0</v>
      </c>
      <c r="M46" s="142">
        <f t="shared" ca="1" si="28"/>
        <v>0</v>
      </c>
      <c r="N46" s="142">
        <f t="shared" ca="1" si="28"/>
        <v>0</v>
      </c>
      <c r="O46" s="142"/>
      <c r="P46" s="142">
        <f t="shared" ca="1" si="22"/>
        <v>53.346456692913392</v>
      </c>
      <c r="Q46" s="142"/>
      <c r="R46" s="142">
        <f t="shared" ca="1" si="24"/>
        <v>53.346456692913392</v>
      </c>
      <c r="S46" s="142">
        <f t="shared" ca="1" si="25"/>
        <v>0</v>
      </c>
      <c r="T46" s="142">
        <f t="shared" ca="1" si="26"/>
        <v>0</v>
      </c>
    </row>
    <row r="47" spans="3:20">
      <c r="C47" s="313">
        <f t="shared" ca="1" si="23"/>
        <v>25.4</v>
      </c>
      <c r="D47" s="2">
        <v>17</v>
      </c>
      <c r="E47" s="2" t="s">
        <v>348</v>
      </c>
      <c r="F47" s="2">
        <f t="shared" si="27"/>
        <v>1</v>
      </c>
      <c r="G47" s="39">
        <f t="array" aca="1" ref="G47" ca="1">INDIRECT($A$3&amp;"!"&amp;$E47&amp;G$28)</f>
        <v>44894</v>
      </c>
      <c r="H47" s="2" t="str">
        <f t="array" aca="1" ref="H47" ca="1">INDIRECT($A$3&amp;"!"&amp;$E47&amp;H$28)</f>
        <v>Hanoi</v>
      </c>
      <c r="I47" s="142">
        <f t="shared" ca="1" si="28"/>
        <v>20.590551181102363</v>
      </c>
      <c r="J47" s="142">
        <f t="shared" ca="1" si="28"/>
        <v>19.094488188976378</v>
      </c>
      <c r="K47" s="142">
        <f t="shared" ca="1" si="28"/>
        <v>0</v>
      </c>
      <c r="L47" s="142">
        <f t="shared" ca="1" si="28"/>
        <v>0</v>
      </c>
      <c r="M47" s="142">
        <f t="shared" ca="1" si="28"/>
        <v>0</v>
      </c>
      <c r="N47" s="142">
        <f t="shared" ca="1" si="28"/>
        <v>0</v>
      </c>
      <c r="O47" s="142"/>
      <c r="P47" s="142">
        <f t="shared" ca="1" si="22"/>
        <v>39.685039370078741</v>
      </c>
      <c r="Q47" s="142"/>
      <c r="R47" s="142">
        <f t="shared" ca="1" si="24"/>
        <v>39.685039370078741</v>
      </c>
      <c r="S47" s="142">
        <f t="shared" ca="1" si="25"/>
        <v>0</v>
      </c>
      <c r="T47" s="142">
        <f t="shared" ca="1" si="26"/>
        <v>0</v>
      </c>
    </row>
    <row r="48" spans="3:20">
      <c r="C48" s="313">
        <f t="shared" ca="1" si="23"/>
        <v>25.4</v>
      </c>
      <c r="D48" s="2">
        <v>18</v>
      </c>
      <c r="E48" s="2" t="s">
        <v>349</v>
      </c>
      <c r="F48" s="2">
        <f t="shared" si="27"/>
        <v>1</v>
      </c>
      <c r="G48" s="39">
        <f t="array" aca="1" ref="G48" ca="1">INDIRECT($A$3&amp;"!"&amp;$E48&amp;G$28)</f>
        <v>44895</v>
      </c>
      <c r="H48" s="2" t="str">
        <f t="array" aca="1" ref="H48" ca="1">INDIRECT($A$3&amp;"!"&amp;$E48&amp;H$28)</f>
        <v>Hanoi</v>
      </c>
      <c r="I48" s="142">
        <f t="shared" ca="1" si="28"/>
        <v>27.165354330708663</v>
      </c>
      <c r="J48" s="142">
        <f t="shared" ca="1" si="28"/>
        <v>16.73228346456693</v>
      </c>
      <c r="K48" s="142">
        <f t="shared" ca="1" si="28"/>
        <v>0</v>
      </c>
      <c r="L48" s="142">
        <f t="shared" ca="1" si="28"/>
        <v>0</v>
      </c>
      <c r="M48" s="142">
        <f t="shared" ca="1" si="28"/>
        <v>9.8425196850393704</v>
      </c>
      <c r="N48" s="142">
        <f t="shared" ca="1" si="28"/>
        <v>0</v>
      </c>
      <c r="O48" s="142"/>
      <c r="P48" s="142">
        <f t="shared" ca="1" si="22"/>
        <v>53.740157480314963</v>
      </c>
      <c r="Q48" s="142"/>
      <c r="R48" s="142">
        <f t="shared" ca="1" si="24"/>
        <v>43.897637795275593</v>
      </c>
      <c r="S48" s="142">
        <f t="shared" ca="1" si="25"/>
        <v>9.8425196850393704</v>
      </c>
      <c r="T48" s="142">
        <f t="shared" ca="1" si="26"/>
        <v>9.8425196850393704</v>
      </c>
    </row>
    <row r="49" spans="3:20">
      <c r="C49" s="313">
        <f t="shared" ca="1" si="23"/>
        <v>25.4</v>
      </c>
      <c r="D49" s="2">
        <v>19</v>
      </c>
      <c r="E49" s="2" t="s">
        <v>350</v>
      </c>
      <c r="F49" s="2">
        <f t="shared" si="27"/>
        <v>1</v>
      </c>
      <c r="G49" s="39">
        <f t="array" aca="1" ref="G49" ca="1">INDIRECT($A$3&amp;"!"&amp;$E49&amp;G$28)</f>
        <v>44896</v>
      </c>
      <c r="H49" s="2" t="str">
        <f t="array" aca="1" ref="H49" ca="1">INDIRECT($A$3&amp;"!"&amp;$E49&amp;H$28)</f>
        <v>Hanoi</v>
      </c>
      <c r="I49" s="142">
        <f t="shared" ca="1" si="28"/>
        <v>20.393700787401578</v>
      </c>
      <c r="J49" s="142">
        <f t="shared" ca="1" si="28"/>
        <v>18.586614173228348</v>
      </c>
      <c r="K49" s="142">
        <f t="shared" ca="1" si="28"/>
        <v>0</v>
      </c>
      <c r="L49" s="142">
        <f t="shared" ca="1" si="28"/>
        <v>0</v>
      </c>
      <c r="M49" s="142">
        <f t="shared" ca="1" si="28"/>
        <v>8.6614173228346463</v>
      </c>
      <c r="N49" s="142">
        <f t="shared" ca="1" si="28"/>
        <v>0</v>
      </c>
      <c r="O49" s="142"/>
      <c r="P49" s="142">
        <f t="shared" ca="1" si="22"/>
        <v>47.64173228346457</v>
      </c>
      <c r="Q49" s="142"/>
      <c r="R49" s="142">
        <f t="shared" ca="1" si="24"/>
        <v>38.980314960629926</v>
      </c>
      <c r="S49" s="142">
        <f t="shared" ca="1" si="25"/>
        <v>8.6614173228346463</v>
      </c>
      <c r="T49" s="142">
        <f t="shared" ca="1" si="26"/>
        <v>8.6614173228346463</v>
      </c>
    </row>
    <row r="50" spans="3:20">
      <c r="C50" s="313">
        <f t="shared" ca="1" si="23"/>
        <v>25.4</v>
      </c>
      <c r="D50" s="2">
        <v>20</v>
      </c>
      <c r="E50" s="2" t="s">
        <v>351</v>
      </c>
      <c r="F50" s="2">
        <f t="shared" si="27"/>
        <v>1</v>
      </c>
      <c r="G50" s="39">
        <f t="array" aca="1" ref="G50" ca="1">INDIRECT($A$3&amp;"!"&amp;$E50&amp;G$28)</f>
        <v>44897</v>
      </c>
      <c r="H50" s="2" t="str">
        <f t="array" aca="1" ref="H50" ca="1">INDIRECT($A$3&amp;"!"&amp;$E50&amp;H$28)</f>
        <v>Hanoi</v>
      </c>
      <c r="I50" s="142">
        <f t="shared" ref="I50:N92" ca="1" si="29">INDIRECT($A$3&amp;"!"&amp;$E50&amp;I$28+$D$26)</f>
        <v>21.062992125984252</v>
      </c>
      <c r="J50" s="142">
        <f t="shared" ca="1" si="29"/>
        <v>19.177165354330711</v>
      </c>
      <c r="K50" s="142">
        <f t="shared" ca="1" si="29"/>
        <v>0</v>
      </c>
      <c r="L50" s="142">
        <f t="shared" ca="1" si="29"/>
        <v>0</v>
      </c>
      <c r="M50" s="142">
        <f t="shared" ca="1" si="29"/>
        <v>15.354330708661418</v>
      </c>
      <c r="N50" s="142">
        <f t="shared" ca="1" si="29"/>
        <v>0</v>
      </c>
      <c r="O50" s="142"/>
      <c r="P50" s="142">
        <f t="shared" ca="1" si="22"/>
        <v>55.594488188976385</v>
      </c>
      <c r="Q50" s="142"/>
      <c r="R50" s="142">
        <f t="shared" ca="1" si="24"/>
        <v>40.240157480314963</v>
      </c>
      <c r="S50" s="142">
        <f t="shared" ca="1" si="25"/>
        <v>15.354330708661418</v>
      </c>
      <c r="T50" s="142">
        <f t="shared" ca="1" si="26"/>
        <v>15.354330708661418</v>
      </c>
    </row>
    <row r="51" spans="3:20">
      <c r="C51" s="313">
        <f t="shared" ca="1" si="23"/>
        <v>25.4</v>
      </c>
      <c r="D51" s="2">
        <v>21</v>
      </c>
      <c r="E51" s="2" t="s">
        <v>352</v>
      </c>
      <c r="F51" s="2">
        <f t="shared" si="27"/>
        <v>1</v>
      </c>
      <c r="G51" s="39">
        <f t="array" aca="1" ref="G51" ca="1">INDIRECT($A$3&amp;"!"&amp;$E51&amp;G$28)</f>
        <v>44898</v>
      </c>
      <c r="H51" s="2" t="str">
        <f t="array" aca="1" ref="H51" ca="1">INDIRECT($A$3&amp;"!"&amp;$E51&amp;H$28)</f>
        <v>HaiPhong</v>
      </c>
      <c r="I51" s="142">
        <f t="shared" ca="1" si="29"/>
        <v>11.023622047244096</v>
      </c>
      <c r="J51" s="142">
        <f t="shared" ca="1" si="29"/>
        <v>18.980314960629926</v>
      </c>
      <c r="K51" s="142">
        <f t="shared" ca="1" si="29"/>
        <v>19.685039370078741</v>
      </c>
      <c r="L51" s="142">
        <f t="shared" ca="1" si="29"/>
        <v>9.0551181102362222</v>
      </c>
      <c r="M51" s="142">
        <f t="shared" ca="1" si="29"/>
        <v>0</v>
      </c>
      <c r="N51" s="142">
        <f t="shared" ca="1" si="29"/>
        <v>0</v>
      </c>
      <c r="O51" s="142"/>
      <c r="P51" s="142">
        <f t="shared" ca="1" si="22"/>
        <v>58.744094488188985</v>
      </c>
      <c r="Q51" s="142"/>
      <c r="R51" s="142">
        <f t="shared" ca="1" si="24"/>
        <v>30.003937007874022</v>
      </c>
      <c r="S51" s="142">
        <f t="shared" ca="1" si="25"/>
        <v>9.0551181102362222</v>
      </c>
      <c r="T51" s="142">
        <f t="shared" ca="1" si="26"/>
        <v>0</v>
      </c>
    </row>
    <row r="52" spans="3:20">
      <c r="C52" s="313">
        <f t="shared" ca="1" si="23"/>
        <v>25.4</v>
      </c>
      <c r="D52" s="2">
        <v>22</v>
      </c>
      <c r="E52" s="2" t="s">
        <v>353</v>
      </c>
      <c r="F52" s="2">
        <f t="shared" si="27"/>
        <v>1</v>
      </c>
      <c r="G52" s="39">
        <f t="array" aca="1" ref="G52" ca="1">INDIRECT($A$3&amp;"!"&amp;$E52&amp;G$28)</f>
        <v>44899</v>
      </c>
      <c r="H52" s="2" t="str">
        <f t="array" aca="1" ref="H52" ca="1">INDIRECT($A$3&amp;"!"&amp;$E52&amp;H$28)</f>
        <v>HaiPhong</v>
      </c>
      <c r="I52" s="142">
        <f t="shared" ca="1" si="29"/>
        <v>20.275590551181107</v>
      </c>
      <c r="J52" s="142">
        <f t="shared" ca="1" si="29"/>
        <v>15.240157480314963</v>
      </c>
      <c r="K52" s="142">
        <f t="shared" ca="1" si="29"/>
        <v>0</v>
      </c>
      <c r="L52" s="142">
        <f t="shared" ca="1" si="29"/>
        <v>5.1181102362204731</v>
      </c>
      <c r="M52" s="142">
        <f t="shared" ca="1" si="29"/>
        <v>39.370078740157481</v>
      </c>
      <c r="N52" s="142">
        <f t="shared" ca="1" si="29"/>
        <v>0</v>
      </c>
      <c r="O52" s="142"/>
      <c r="P52" s="142">
        <f t="shared" ca="1" si="22"/>
        <v>80.003937007874029</v>
      </c>
      <c r="Q52" s="142"/>
      <c r="R52" s="142">
        <f t="shared" ca="1" si="24"/>
        <v>35.515748031496074</v>
      </c>
      <c r="S52" s="142">
        <f t="shared" ca="1" si="25"/>
        <v>44.488188976377955</v>
      </c>
      <c r="T52" s="142">
        <f t="shared" ca="1" si="26"/>
        <v>39.370078740157481</v>
      </c>
    </row>
    <row r="53" spans="3:20">
      <c r="C53" s="313">
        <f t="shared" ca="1" si="23"/>
        <v>25.4</v>
      </c>
      <c r="D53" s="2">
        <v>23</v>
      </c>
      <c r="E53" s="2" t="s">
        <v>354</v>
      </c>
      <c r="F53" s="2">
        <f t="shared" si="27"/>
        <v>1</v>
      </c>
      <c r="G53" s="39">
        <f t="array" aca="1" ref="G53" ca="1">INDIRECT($A$3&amp;"!"&amp;$E53&amp;G$28)</f>
        <v>44900</v>
      </c>
      <c r="H53" s="2" t="str">
        <f t="array" aca="1" ref="H53" ca="1">INDIRECT($A$3&amp;"!"&amp;$E53&amp;H$28)</f>
        <v>Hanoi</v>
      </c>
      <c r="I53" s="142">
        <f t="shared" ca="1" si="29"/>
        <v>19.291338582677167</v>
      </c>
      <c r="J53" s="142">
        <f t="shared" ca="1" si="29"/>
        <v>19.767716535433074</v>
      </c>
      <c r="K53" s="142">
        <f t="shared" ca="1" si="29"/>
        <v>0</v>
      </c>
      <c r="L53" s="142">
        <f t="shared" ca="1" si="29"/>
        <v>0</v>
      </c>
      <c r="M53" s="142">
        <f t="shared" ca="1" si="29"/>
        <v>10.62992125984252</v>
      </c>
      <c r="N53" s="142">
        <f t="shared" ca="1" si="29"/>
        <v>0</v>
      </c>
      <c r="O53" s="142"/>
      <c r="P53" s="142">
        <f t="shared" ca="1" si="22"/>
        <v>49.688976377952756</v>
      </c>
      <c r="Q53" s="142"/>
      <c r="R53" s="142">
        <f t="shared" ca="1" si="24"/>
        <v>39.059055118110237</v>
      </c>
      <c r="S53" s="142">
        <f t="shared" ca="1" si="25"/>
        <v>10.62992125984252</v>
      </c>
      <c r="T53" s="142">
        <f t="shared" ca="1" si="26"/>
        <v>10.62992125984252</v>
      </c>
    </row>
    <row r="54" spans="3:20">
      <c r="C54" s="313">
        <f t="shared" ca="1" si="23"/>
        <v>25.4</v>
      </c>
      <c r="D54" s="2">
        <v>24</v>
      </c>
      <c r="E54" s="2" t="s">
        <v>355</v>
      </c>
      <c r="F54" s="2">
        <f t="shared" si="27"/>
        <v>1</v>
      </c>
      <c r="G54" s="39">
        <f t="array" aca="1" ref="G54" ca="1">INDIRECT($A$3&amp;"!"&amp;$E54&amp;G$28)</f>
        <v>44901</v>
      </c>
      <c r="H54" s="2" t="str">
        <f t="array" aca="1" ref="H54" ca="1">INDIRECT($A$3&amp;"!"&amp;$E54&amp;H$28)</f>
        <v>Hanoi</v>
      </c>
      <c r="I54" s="142">
        <f t="shared" ca="1" si="29"/>
        <v>25.433070866141733</v>
      </c>
      <c r="J54" s="142">
        <f t="shared" ca="1" si="29"/>
        <v>16.421259842519689</v>
      </c>
      <c r="K54" s="142">
        <f t="shared" ca="1" si="29"/>
        <v>0</v>
      </c>
      <c r="L54" s="142">
        <f t="shared" ca="1" si="29"/>
        <v>0</v>
      </c>
      <c r="M54" s="142">
        <f t="shared" ca="1" si="29"/>
        <v>19.685039370078741</v>
      </c>
      <c r="N54" s="142">
        <f t="shared" ca="1" si="29"/>
        <v>0</v>
      </c>
      <c r="O54" s="142"/>
      <c r="P54" s="142">
        <f t="shared" ca="1" si="22"/>
        <v>61.539370078740163</v>
      </c>
      <c r="Q54" s="142"/>
      <c r="R54" s="142">
        <f t="shared" ca="1" si="24"/>
        <v>41.854330708661422</v>
      </c>
      <c r="S54" s="142">
        <f t="shared" ca="1" si="25"/>
        <v>19.685039370078741</v>
      </c>
      <c r="T54" s="142">
        <f t="shared" ca="1" si="26"/>
        <v>19.685039370078741</v>
      </c>
    </row>
    <row r="55" spans="3:20">
      <c r="C55" s="313">
        <f t="shared" ca="1" si="23"/>
        <v>25.4</v>
      </c>
      <c r="D55" s="2">
        <v>25</v>
      </c>
      <c r="E55" s="2" t="s">
        <v>356</v>
      </c>
      <c r="F55" s="2">
        <f t="shared" si="27"/>
        <v>1</v>
      </c>
      <c r="G55" s="39">
        <f t="array" aca="1" ref="G55" ca="1">INDIRECT($A$3&amp;"!"&amp;$E55&amp;G$28)</f>
        <v>44902</v>
      </c>
      <c r="H55" s="2" t="str">
        <f t="array" aca="1" ref="H55" ca="1">INDIRECT($A$3&amp;"!"&amp;$E55&amp;H$28)</f>
        <v>Thai Nguyen</v>
      </c>
      <c r="I55" s="142">
        <f t="shared" ca="1" si="29"/>
        <v>15.314960629921259</v>
      </c>
      <c r="J55" s="142">
        <f t="shared" ca="1" si="29"/>
        <v>16.421259842519689</v>
      </c>
      <c r="K55" s="142">
        <f t="shared" ca="1" si="29"/>
        <v>29.133858267716537</v>
      </c>
      <c r="L55" s="142">
        <f t="shared" ca="1" si="29"/>
        <v>41.338582677165356</v>
      </c>
      <c r="M55" s="142">
        <f t="shared" ca="1" si="29"/>
        <v>0</v>
      </c>
      <c r="N55" s="142">
        <f t="shared" ca="1" si="29"/>
        <v>0</v>
      </c>
      <c r="O55" s="142"/>
      <c r="P55" s="142">
        <f t="shared" ca="1" si="22"/>
        <v>102.20866141732284</v>
      </c>
      <c r="Q55" s="142"/>
      <c r="R55" s="142">
        <f t="shared" ref="R55:R68" ca="1" si="30">SUM(I55:J55)</f>
        <v>31.736220472440948</v>
      </c>
      <c r="S55" s="142">
        <f t="shared" ref="S55:S68" ca="1" si="31">SUM(L55:M55)</f>
        <v>41.338582677165356</v>
      </c>
      <c r="T55" s="142">
        <f t="shared" ref="T55:T68" ca="1" si="32">SUM(M55:N55)</f>
        <v>0</v>
      </c>
    </row>
    <row r="56" spans="3:20">
      <c r="C56" s="313">
        <f t="shared" ca="1" si="23"/>
        <v>25.4</v>
      </c>
      <c r="D56" s="2">
        <v>26</v>
      </c>
      <c r="E56" s="2" t="s">
        <v>357</v>
      </c>
      <c r="F56" s="2">
        <f t="shared" si="27"/>
        <v>1</v>
      </c>
      <c r="G56" s="39">
        <f t="array" aca="1" ref="G56" ca="1">INDIRECT($A$3&amp;"!"&amp;$E56&amp;G$28)</f>
        <v>44903</v>
      </c>
      <c r="H56" s="2" t="str">
        <f t="array" aca="1" ref="H56" ca="1">INDIRECT($A$3&amp;"!"&amp;$E56&amp;H$28)</f>
        <v>Hanoi</v>
      </c>
      <c r="I56" s="142">
        <f t="shared" ca="1" si="29"/>
        <v>5.7086614173228352</v>
      </c>
      <c r="J56" s="142">
        <f t="shared" ca="1" si="29"/>
        <v>16.2244094488189</v>
      </c>
      <c r="K56" s="142">
        <f t="shared" ca="1" si="29"/>
        <v>0</v>
      </c>
      <c r="L56" s="142">
        <f t="shared" ca="1" si="29"/>
        <v>0</v>
      </c>
      <c r="M56" s="142">
        <f t="shared" ca="1" si="29"/>
        <v>33.464566929133859</v>
      </c>
      <c r="N56" s="142">
        <f t="shared" ca="1" si="29"/>
        <v>0</v>
      </c>
      <c r="O56" s="142"/>
      <c r="P56" s="142">
        <f t="shared" ca="1" si="22"/>
        <v>55.397637795275593</v>
      </c>
      <c r="Q56" s="142"/>
      <c r="R56" s="142">
        <f t="shared" ca="1" si="30"/>
        <v>21.933070866141733</v>
      </c>
      <c r="S56" s="142">
        <f t="shared" ca="1" si="31"/>
        <v>33.464566929133859</v>
      </c>
      <c r="T56" s="142">
        <f t="shared" ca="1" si="32"/>
        <v>33.464566929133859</v>
      </c>
    </row>
    <row r="57" spans="3:20">
      <c r="C57" s="313">
        <f t="shared" ca="1" si="23"/>
        <v>25.4</v>
      </c>
      <c r="D57" s="2">
        <v>27</v>
      </c>
      <c r="E57" s="2" t="s">
        <v>358</v>
      </c>
      <c r="F57" s="2">
        <f t="shared" si="27"/>
        <v>1</v>
      </c>
      <c r="G57" s="39">
        <f t="array" aca="1" ref="G57" ca="1">INDIRECT($A$3&amp;"!"&amp;$E57&amp;G$28)</f>
        <v>44904</v>
      </c>
      <c r="H57" s="2" t="str">
        <f t="array" aca="1" ref="H57" ca="1">INDIRECT($A$3&amp;"!"&amp;$E57&amp;H$28)</f>
        <v>Hanoi</v>
      </c>
      <c r="I57" s="142">
        <f t="shared" ca="1" si="29"/>
        <v>18.30708661417323</v>
      </c>
      <c r="J57" s="142">
        <f t="shared" ca="1" si="29"/>
        <v>21.736220472440948</v>
      </c>
      <c r="K57" s="142">
        <f t="shared" ca="1" si="29"/>
        <v>0</v>
      </c>
      <c r="L57" s="142">
        <f t="shared" ca="1" si="29"/>
        <v>0</v>
      </c>
      <c r="M57" s="142">
        <f t="shared" ca="1" si="29"/>
        <v>8.6614173228346463</v>
      </c>
      <c r="N57" s="142">
        <f t="shared" ca="1" si="29"/>
        <v>0</v>
      </c>
      <c r="O57" s="142"/>
      <c r="P57" s="142">
        <f t="shared" ca="1" si="22"/>
        <v>48.704724409448822</v>
      </c>
      <c r="Q57" s="142"/>
      <c r="R57" s="142">
        <f t="shared" ca="1" si="30"/>
        <v>40.043307086614178</v>
      </c>
      <c r="S57" s="142">
        <f t="shared" ca="1" si="31"/>
        <v>8.6614173228346463</v>
      </c>
      <c r="T57" s="142">
        <f t="shared" ca="1" si="32"/>
        <v>8.6614173228346463</v>
      </c>
    </row>
    <row r="58" spans="3:20">
      <c r="C58" s="313">
        <f t="shared" ca="1" si="23"/>
        <v>25.4</v>
      </c>
      <c r="D58" s="2">
        <v>28</v>
      </c>
      <c r="E58" s="2" t="s">
        <v>359</v>
      </c>
      <c r="F58" s="2">
        <f t="shared" si="27"/>
        <v>1</v>
      </c>
      <c r="G58" s="39">
        <f t="array" aca="1" ref="G58" ca="1">INDIRECT($A$3&amp;"!"&amp;$E58&amp;G$28)</f>
        <v>44905</v>
      </c>
      <c r="H58" s="2" t="str">
        <f t="array" aca="1" ref="H58" ca="1">INDIRECT($A$3&amp;"!"&amp;$E58&amp;H$28)</f>
        <v>Hanoi</v>
      </c>
      <c r="I58" s="142">
        <f t="shared" ca="1" si="29"/>
        <v>42.165354330708659</v>
      </c>
      <c r="J58" s="142">
        <f t="shared" ca="1" si="29"/>
        <v>16.421259842519689</v>
      </c>
      <c r="K58" s="142">
        <f t="shared" ca="1" si="29"/>
        <v>0</v>
      </c>
      <c r="L58" s="142">
        <f t="shared" ca="1" si="29"/>
        <v>0</v>
      </c>
      <c r="M58" s="142">
        <f t="shared" ca="1" si="29"/>
        <v>0</v>
      </c>
      <c r="N58" s="142">
        <f t="shared" ca="1" si="29"/>
        <v>0</v>
      </c>
      <c r="O58" s="142"/>
      <c r="P58" s="142">
        <f t="shared" ca="1" si="22"/>
        <v>58.586614173228348</v>
      </c>
      <c r="Q58" s="142"/>
      <c r="R58" s="142">
        <f t="shared" ca="1" si="30"/>
        <v>58.586614173228348</v>
      </c>
      <c r="S58" s="142">
        <f t="shared" ca="1" si="31"/>
        <v>0</v>
      </c>
      <c r="T58" s="142">
        <f t="shared" ca="1" si="32"/>
        <v>0</v>
      </c>
    </row>
    <row r="59" spans="3:20">
      <c r="C59" s="313">
        <f t="shared" ca="1" si="23"/>
        <v>25.4</v>
      </c>
      <c r="D59" s="2">
        <v>29</v>
      </c>
      <c r="E59" s="2" t="s">
        <v>360</v>
      </c>
      <c r="F59" s="2">
        <f t="shared" si="27"/>
        <v>1</v>
      </c>
      <c r="G59" s="39">
        <f t="array" aca="1" ref="G59" ca="1">INDIRECT($A$3&amp;"!"&amp;$E59&amp;G$28)</f>
        <v>44906</v>
      </c>
      <c r="H59" s="2" t="str">
        <f t="array" aca="1" ref="H59" ca="1">INDIRECT($A$3&amp;"!"&amp;$E59&amp;H$28)</f>
        <v>Hanoi</v>
      </c>
      <c r="I59" s="142">
        <f t="shared" ca="1" si="29"/>
        <v>34.566929133858274</v>
      </c>
      <c r="J59" s="142">
        <f t="shared" ca="1" si="29"/>
        <v>15.240157480314963</v>
      </c>
      <c r="K59" s="142">
        <f t="shared" ca="1" si="29"/>
        <v>0</v>
      </c>
      <c r="L59" s="142">
        <f t="shared" ca="1" si="29"/>
        <v>0</v>
      </c>
      <c r="M59" s="142">
        <f t="shared" ca="1" si="29"/>
        <v>0</v>
      </c>
      <c r="N59" s="142">
        <f t="shared" ca="1" si="29"/>
        <v>0</v>
      </c>
      <c r="O59" s="142"/>
      <c r="P59" s="142">
        <f t="shared" ca="1" si="22"/>
        <v>49.807086614173237</v>
      </c>
      <c r="Q59" s="142"/>
      <c r="R59" s="142">
        <f t="shared" ca="1" si="30"/>
        <v>49.807086614173237</v>
      </c>
      <c r="S59" s="142">
        <f t="shared" ca="1" si="31"/>
        <v>0</v>
      </c>
      <c r="T59" s="142">
        <f t="shared" ca="1" si="32"/>
        <v>0</v>
      </c>
    </row>
    <row r="60" spans="3:20">
      <c r="C60" s="313">
        <f t="shared" ca="1" si="23"/>
        <v>25.4</v>
      </c>
      <c r="D60" s="2">
        <v>30</v>
      </c>
      <c r="E60" s="2" t="s">
        <v>361</v>
      </c>
      <c r="F60" s="2">
        <f t="shared" si="27"/>
        <v>1</v>
      </c>
      <c r="G60" s="39">
        <f t="array" aca="1" ref="G60" ca="1">INDIRECT($A$3&amp;"!"&amp;$E60&amp;G$28)</f>
        <v>44907</v>
      </c>
      <c r="H60" s="2" t="str">
        <f t="array" aca="1" ref="H60" ca="1">INDIRECT($A$3&amp;"!"&amp;$E60&amp;H$28)</f>
        <v>Hanoi</v>
      </c>
      <c r="I60" s="142">
        <f t="shared" ca="1" si="29"/>
        <v>66.732283464566933</v>
      </c>
      <c r="J60" s="142">
        <f t="shared" ca="1" si="29"/>
        <v>16.814960629921263</v>
      </c>
      <c r="K60" s="142">
        <f t="shared" ca="1" si="29"/>
        <v>0</v>
      </c>
      <c r="L60" s="142">
        <f t="shared" ca="1" si="29"/>
        <v>0</v>
      </c>
      <c r="M60" s="142">
        <f t="shared" ca="1" si="29"/>
        <v>0</v>
      </c>
      <c r="N60" s="142">
        <f t="shared" ca="1" si="29"/>
        <v>0</v>
      </c>
      <c r="O60" s="142"/>
      <c r="P60" s="142">
        <f t="shared" ca="1" si="22"/>
        <v>83.547244094488192</v>
      </c>
      <c r="Q60" s="142"/>
      <c r="R60" s="142">
        <f t="shared" ca="1" si="30"/>
        <v>83.547244094488192</v>
      </c>
      <c r="S60" s="142">
        <f t="shared" ca="1" si="31"/>
        <v>0</v>
      </c>
      <c r="T60" s="142">
        <f t="shared" ca="1" si="32"/>
        <v>0</v>
      </c>
    </row>
    <row r="61" spans="3:20">
      <c r="C61" s="313">
        <f t="shared" ca="1" si="23"/>
        <v>25.4</v>
      </c>
      <c r="D61" s="2">
        <v>31</v>
      </c>
      <c r="E61" s="2" t="s">
        <v>362</v>
      </c>
      <c r="F61" s="2">
        <f t="shared" si="27"/>
        <v>1</v>
      </c>
      <c r="G61" s="39">
        <f t="array" aca="1" ref="G61" ca="1">INDIRECT($A$3&amp;"!"&amp;$E61&amp;G$28)</f>
        <v>44908</v>
      </c>
      <c r="H61" s="2" t="str">
        <f t="array" aca="1" ref="H61" ca="1">INDIRECT($A$3&amp;"!"&amp;$E61&amp;H$28)</f>
        <v>Hanoi</v>
      </c>
      <c r="I61" s="142">
        <f t="shared" ca="1" si="29"/>
        <v>19.488188976377955</v>
      </c>
      <c r="J61" s="142">
        <f t="shared" ca="1" si="29"/>
        <v>19.177165354330711</v>
      </c>
      <c r="K61" s="142">
        <f t="shared" ca="1" si="29"/>
        <v>0</v>
      </c>
      <c r="L61" s="142">
        <f t="shared" ca="1" si="29"/>
        <v>0</v>
      </c>
      <c r="M61" s="142">
        <f t="shared" ca="1" si="29"/>
        <v>19.685039370078741</v>
      </c>
      <c r="N61" s="142">
        <f t="shared" ca="1" si="29"/>
        <v>0</v>
      </c>
      <c r="O61" s="142"/>
      <c r="P61" s="142">
        <f t="shared" ca="1" si="22"/>
        <v>58.350393700787407</v>
      </c>
      <c r="Q61" s="142"/>
      <c r="R61" s="142">
        <f t="shared" ca="1" si="30"/>
        <v>38.665354330708666</v>
      </c>
      <c r="S61" s="142">
        <f t="shared" ca="1" si="31"/>
        <v>19.685039370078741</v>
      </c>
      <c r="T61" s="142">
        <f t="shared" ca="1" si="32"/>
        <v>19.685039370078741</v>
      </c>
    </row>
    <row r="62" spans="3:20">
      <c r="C62" s="313">
        <f t="shared" ca="1" si="23"/>
        <v>25.4</v>
      </c>
      <c r="D62" s="2">
        <v>32</v>
      </c>
      <c r="E62" s="2" t="s">
        <v>363</v>
      </c>
      <c r="F62" s="2">
        <f t="shared" si="27"/>
        <v>1</v>
      </c>
      <c r="G62" s="39">
        <f t="array" aca="1" ref="G62" ca="1">INDIRECT($A$3&amp;"!"&amp;$E62&amp;G$28)</f>
        <v>44909</v>
      </c>
      <c r="H62" s="2" t="str">
        <f t="array" aca="1" ref="H62" ca="1">INDIRECT($A$3&amp;"!"&amp;$E62&amp;H$28)</f>
        <v>Hanoi</v>
      </c>
      <c r="I62" s="142">
        <f t="shared" ca="1" si="29"/>
        <v>21.259842519685041</v>
      </c>
      <c r="J62" s="142">
        <f t="shared" ca="1" si="29"/>
        <v>29.019685039370081</v>
      </c>
      <c r="K62" s="142">
        <f t="shared" ca="1" si="29"/>
        <v>0</v>
      </c>
      <c r="L62" s="142">
        <f t="shared" ca="1" si="29"/>
        <v>0</v>
      </c>
      <c r="M62" s="142">
        <f t="shared" ca="1" si="29"/>
        <v>0</v>
      </c>
      <c r="N62" s="142">
        <f t="shared" ca="1" si="29"/>
        <v>0</v>
      </c>
      <c r="O62" s="142"/>
      <c r="P62" s="142">
        <f t="shared" ca="1" si="22"/>
        <v>50.279527559055126</v>
      </c>
      <c r="Q62" s="142"/>
      <c r="R62" s="142">
        <f t="shared" ca="1" si="30"/>
        <v>50.279527559055126</v>
      </c>
      <c r="S62" s="142">
        <f t="shared" ca="1" si="31"/>
        <v>0</v>
      </c>
      <c r="T62" s="142">
        <f t="shared" ca="1" si="32"/>
        <v>0</v>
      </c>
    </row>
    <row r="63" spans="3:20">
      <c r="C63" s="313">
        <f t="shared" ca="1" si="23"/>
        <v>24.95</v>
      </c>
      <c r="D63" s="2">
        <v>33</v>
      </c>
      <c r="E63" s="2" t="s">
        <v>364</v>
      </c>
      <c r="F63" s="2">
        <f>F62</f>
        <v>1</v>
      </c>
      <c r="G63" s="39">
        <f t="array" aca="1" ref="G63" ca="1">INDIRECT($A$3&amp;"!"&amp;$E63&amp;G$28)</f>
        <v>44910</v>
      </c>
      <c r="H63" s="2" t="str">
        <f t="array" aca="1" ref="H63" ca="1">INDIRECT($A$3&amp;"!"&amp;$E63&amp;H$28)</f>
        <v>Hanoi</v>
      </c>
      <c r="I63" s="142">
        <f t="shared" ca="1" si="29"/>
        <v>28.056112224448899</v>
      </c>
      <c r="J63" s="142">
        <f t="shared" ca="1" si="29"/>
        <v>86.496993987975955</v>
      </c>
      <c r="K63" s="142">
        <f t="shared" ca="1" si="29"/>
        <v>0</v>
      </c>
      <c r="L63" s="142">
        <f t="shared" ca="1" si="29"/>
        <v>0</v>
      </c>
      <c r="M63" s="142">
        <f t="shared" ca="1" si="29"/>
        <v>0</v>
      </c>
      <c r="N63" s="142">
        <f t="shared" ca="1" si="29"/>
        <v>0</v>
      </c>
      <c r="O63" s="142"/>
      <c r="P63" s="142">
        <f t="shared" ca="1" si="22"/>
        <v>114.55310621242485</v>
      </c>
      <c r="Q63" s="142"/>
      <c r="R63" s="142">
        <f t="shared" ca="1" si="30"/>
        <v>114.55310621242485</v>
      </c>
      <c r="S63" s="142">
        <f t="shared" ca="1" si="31"/>
        <v>0</v>
      </c>
      <c r="T63" s="142">
        <f t="shared" ca="1" si="32"/>
        <v>0</v>
      </c>
    </row>
    <row r="64" spans="3:20">
      <c r="C64" s="313">
        <f t="shared" ca="1" si="23"/>
        <v>24.95</v>
      </c>
      <c r="D64" s="2">
        <v>34</v>
      </c>
      <c r="E64" s="2" t="s">
        <v>283</v>
      </c>
      <c r="F64" s="2">
        <f t="shared" ref="F64:F88" si="33">F63</f>
        <v>1</v>
      </c>
      <c r="G64" s="39">
        <f t="array" aca="1" ref="G64" ca="1">INDIRECT($A$3&amp;"!"&amp;$E64&amp;G$28)</f>
        <v>44911</v>
      </c>
      <c r="H64" s="2" t="str">
        <f t="array" aca="1" ref="H64" ca="1">INDIRECT($A$3&amp;"!"&amp;$E64&amp;H$28)</f>
        <v>Hanoi</v>
      </c>
      <c r="I64" s="142">
        <f t="shared" ca="1" si="29"/>
        <v>13.226452905811623</v>
      </c>
      <c r="J64" s="142">
        <f t="shared" ca="1" si="29"/>
        <v>21.527054108216433</v>
      </c>
      <c r="K64" s="142">
        <f t="shared" ca="1" si="29"/>
        <v>0</v>
      </c>
      <c r="L64" s="142">
        <f t="shared" ca="1" si="29"/>
        <v>0</v>
      </c>
      <c r="M64" s="142">
        <f t="shared" ca="1" si="29"/>
        <v>0</v>
      </c>
      <c r="N64" s="142">
        <f t="shared" ca="1" si="29"/>
        <v>0</v>
      </c>
      <c r="O64" s="142"/>
      <c r="P64" s="142">
        <f t="shared" ca="1" si="22"/>
        <v>34.75350701402806</v>
      </c>
      <c r="Q64" s="142"/>
      <c r="R64" s="142">
        <f t="shared" ca="1" si="30"/>
        <v>34.75350701402806</v>
      </c>
      <c r="S64" s="142">
        <f t="shared" ca="1" si="31"/>
        <v>0</v>
      </c>
      <c r="T64" s="142">
        <f t="shared" ca="1" si="32"/>
        <v>0</v>
      </c>
    </row>
    <row r="65" spans="3:20">
      <c r="C65" s="313">
        <f t="shared" ca="1" si="23"/>
        <v>24.95</v>
      </c>
      <c r="D65" s="2">
        <v>35</v>
      </c>
      <c r="E65" s="2" t="s">
        <v>293</v>
      </c>
      <c r="F65" s="2">
        <f t="shared" si="33"/>
        <v>1</v>
      </c>
      <c r="G65" s="39">
        <f t="array" aca="1" ref="G65" ca="1">INDIRECT($A$3&amp;"!"&amp;$E65&amp;G$28)</f>
        <v>44912</v>
      </c>
      <c r="H65" s="2" t="str">
        <f t="array" aca="1" ref="H65" ca="1">INDIRECT($A$3&amp;"!"&amp;$E65&amp;H$28)</f>
        <v>Hanoi</v>
      </c>
      <c r="I65" s="142">
        <f t="shared" ca="1" si="29"/>
        <v>35.070140280561127</v>
      </c>
      <c r="J65" s="142">
        <f t="shared" ca="1" si="29"/>
        <v>17.118236472945895</v>
      </c>
      <c r="K65" s="142">
        <f t="shared" ca="1" si="29"/>
        <v>0</v>
      </c>
      <c r="L65" s="142">
        <f t="shared" ca="1" si="29"/>
        <v>0</v>
      </c>
      <c r="M65" s="142">
        <f t="shared" ca="1" si="29"/>
        <v>0</v>
      </c>
      <c r="N65" s="142">
        <f t="shared" ca="1" si="29"/>
        <v>0</v>
      </c>
      <c r="O65" s="142"/>
      <c r="P65" s="142">
        <f t="shared" ca="1" si="22"/>
        <v>52.188376753507022</v>
      </c>
      <c r="Q65" s="142"/>
      <c r="R65" s="142">
        <f t="shared" ca="1" si="30"/>
        <v>52.188376753507022</v>
      </c>
      <c r="S65" s="142">
        <f t="shared" ca="1" si="31"/>
        <v>0</v>
      </c>
      <c r="T65" s="142">
        <f t="shared" ca="1" si="32"/>
        <v>0</v>
      </c>
    </row>
    <row r="66" spans="3:20">
      <c r="C66" s="313">
        <f t="shared" ca="1" si="23"/>
        <v>24.95</v>
      </c>
      <c r="D66" s="2">
        <v>36</v>
      </c>
      <c r="E66" s="2" t="s">
        <v>365</v>
      </c>
      <c r="F66" s="2">
        <f t="shared" si="33"/>
        <v>1</v>
      </c>
      <c r="G66" s="39">
        <f t="array" aca="1" ref="G66" ca="1">INDIRECT($A$3&amp;"!"&amp;$E66&amp;G$28)</f>
        <v>44913</v>
      </c>
      <c r="H66" s="2" t="str">
        <f t="array" aca="1" ref="H66" ca="1">INDIRECT($A$3&amp;"!"&amp;$E66&amp;H$28)</f>
        <v>Hanoi</v>
      </c>
      <c r="I66" s="142">
        <f t="shared" ca="1" si="29"/>
        <v>19.839679358717436</v>
      </c>
      <c r="J66" s="142">
        <f t="shared" ca="1" si="29"/>
        <v>17.519038076152306</v>
      </c>
      <c r="K66" s="142">
        <f t="shared" ca="1" si="29"/>
        <v>0</v>
      </c>
      <c r="L66" s="142">
        <f t="shared" ca="1" si="29"/>
        <v>0</v>
      </c>
      <c r="M66" s="142">
        <f t="shared" ca="1" si="29"/>
        <v>0</v>
      </c>
      <c r="N66" s="142">
        <f t="shared" ca="1" si="29"/>
        <v>0</v>
      </c>
      <c r="O66" s="142"/>
      <c r="P66" s="142">
        <f t="shared" ca="1" si="22"/>
        <v>37.358717434869746</v>
      </c>
      <c r="Q66" s="142"/>
      <c r="R66" s="142">
        <f t="shared" ca="1" si="30"/>
        <v>37.358717434869746</v>
      </c>
      <c r="S66" s="142">
        <f t="shared" ca="1" si="31"/>
        <v>0</v>
      </c>
      <c r="T66" s="142">
        <f t="shared" ca="1" si="32"/>
        <v>0</v>
      </c>
    </row>
    <row r="67" spans="3:20">
      <c r="C67" s="313">
        <f t="shared" ca="1" si="23"/>
        <v>24.95</v>
      </c>
      <c r="D67" s="2">
        <v>37</v>
      </c>
      <c r="E67" s="2" t="s">
        <v>366</v>
      </c>
      <c r="F67" s="2">
        <f t="shared" si="33"/>
        <v>1</v>
      </c>
      <c r="G67" s="39">
        <f t="array" aca="1" ref="G67" ca="1">INDIRECT($A$3&amp;"!"&amp;$E67&amp;G$28)</f>
        <v>44914</v>
      </c>
      <c r="H67" s="2" t="str">
        <f t="array" aca="1" ref="H67" ca="1">INDIRECT($A$3&amp;"!"&amp;$E67&amp;H$28)</f>
        <v>Hanoi</v>
      </c>
      <c r="I67" s="142">
        <f t="shared" ca="1" si="29"/>
        <v>18.557114228456914</v>
      </c>
      <c r="J67" s="142">
        <f t="shared" ca="1" si="29"/>
        <v>17.719438877755515</v>
      </c>
      <c r="K67" s="142">
        <f t="shared" ca="1" si="29"/>
        <v>0</v>
      </c>
      <c r="L67" s="142">
        <f t="shared" ca="1" si="29"/>
        <v>0</v>
      </c>
      <c r="M67" s="142">
        <f t="shared" ca="1" si="29"/>
        <v>0</v>
      </c>
      <c r="N67" s="142">
        <f t="shared" ca="1" si="29"/>
        <v>0</v>
      </c>
      <c r="O67" s="142"/>
      <c r="P67" s="142">
        <f t="shared" ca="1" si="22"/>
        <v>36.276553106212432</v>
      </c>
      <c r="Q67" s="142"/>
      <c r="R67" s="142">
        <f t="shared" ca="1" si="30"/>
        <v>36.276553106212432</v>
      </c>
      <c r="S67" s="142">
        <f t="shared" ca="1" si="31"/>
        <v>0</v>
      </c>
      <c r="T67" s="142">
        <f t="shared" ca="1" si="32"/>
        <v>0</v>
      </c>
    </row>
    <row r="68" spans="3:20">
      <c r="C68" s="313">
        <f t="shared" ca="1" si="23"/>
        <v>24.95</v>
      </c>
      <c r="D68" s="2">
        <v>38</v>
      </c>
      <c r="E68" s="2" t="s">
        <v>367</v>
      </c>
      <c r="F68" s="2">
        <f t="shared" si="33"/>
        <v>1</v>
      </c>
      <c r="G68" s="39">
        <f t="array" aca="1" ref="G68" ca="1">INDIRECT($A$3&amp;"!"&amp;$E68&amp;G$28)</f>
        <v>44915</v>
      </c>
      <c r="H68" s="2" t="str">
        <f t="array" aca="1" ref="H68" ca="1">INDIRECT($A$3&amp;"!"&amp;$E68&amp;H$28)</f>
        <v>Hanoi</v>
      </c>
      <c r="I68" s="142">
        <f t="shared" ca="1" si="29"/>
        <v>23.607214428857716</v>
      </c>
      <c r="J68" s="142">
        <f t="shared" ca="1" si="29"/>
        <v>17.719438877755515</v>
      </c>
      <c r="K68" s="142">
        <f t="shared" ca="1" si="29"/>
        <v>0</v>
      </c>
      <c r="L68" s="142">
        <f t="shared" ca="1" si="29"/>
        <v>0</v>
      </c>
      <c r="M68" s="142">
        <f t="shared" ca="1" si="29"/>
        <v>0</v>
      </c>
      <c r="N68" s="142">
        <f t="shared" ca="1" si="29"/>
        <v>0</v>
      </c>
      <c r="O68" s="142"/>
      <c r="P68" s="142">
        <f t="shared" ca="1" si="22"/>
        <v>41.326653306613231</v>
      </c>
      <c r="Q68" s="142"/>
      <c r="R68" s="142">
        <f t="shared" ca="1" si="30"/>
        <v>41.326653306613231</v>
      </c>
      <c r="S68" s="142">
        <f t="shared" ca="1" si="31"/>
        <v>0</v>
      </c>
      <c r="T68" s="142">
        <f t="shared" ca="1" si="32"/>
        <v>0</v>
      </c>
    </row>
    <row r="69" spans="3:20">
      <c r="C69" s="313">
        <f t="shared" ca="1" si="23"/>
        <v>24.95</v>
      </c>
      <c r="D69" s="2">
        <v>39</v>
      </c>
      <c r="E69" s="2" t="s">
        <v>368</v>
      </c>
      <c r="F69" s="2">
        <f t="shared" si="33"/>
        <v>1</v>
      </c>
      <c r="G69" s="39">
        <f t="array" aca="1" ref="G69" ca="1">INDIRECT($A$3&amp;"!"&amp;$E69&amp;G$28)</f>
        <v>44916</v>
      </c>
      <c r="H69" s="2" t="str">
        <f t="array" aca="1" ref="H69" ca="1">INDIRECT($A$3&amp;"!"&amp;$E69&amp;H$28)</f>
        <v>Hanoi</v>
      </c>
      <c r="I69" s="142">
        <f t="shared" ca="1" si="29"/>
        <v>11.623246492985972</v>
      </c>
      <c r="J69" s="142">
        <f t="shared" ca="1" si="29"/>
        <v>16.476953907815634</v>
      </c>
      <c r="K69" s="142">
        <f t="shared" ca="1" si="29"/>
        <v>0</v>
      </c>
      <c r="L69" s="142">
        <f t="shared" ca="1" si="29"/>
        <v>0</v>
      </c>
      <c r="M69" s="142">
        <f t="shared" ca="1" si="29"/>
        <v>0</v>
      </c>
      <c r="N69" s="142">
        <f t="shared" ca="1" si="29"/>
        <v>0</v>
      </c>
      <c r="O69" s="142"/>
      <c r="P69" s="142">
        <f t="shared" ca="1" si="22"/>
        <v>28.100200400801604</v>
      </c>
      <c r="Q69" s="142"/>
      <c r="R69" s="142">
        <f ca="1">SUM(I69:J69)</f>
        <v>28.100200400801604</v>
      </c>
      <c r="S69" s="142">
        <f ca="1">SUM(L69:M69)</f>
        <v>0</v>
      </c>
      <c r="T69" s="142">
        <f ca="1">SUM(M69:N69)</f>
        <v>0</v>
      </c>
    </row>
    <row r="70" spans="3:20">
      <c r="C70" s="313">
        <f t="shared" ca="1" si="23"/>
        <v>24.95</v>
      </c>
      <c r="D70" s="2">
        <v>40</v>
      </c>
      <c r="E70" s="2" t="s">
        <v>369</v>
      </c>
      <c r="F70" s="2">
        <f t="shared" si="33"/>
        <v>1</v>
      </c>
      <c r="G70" s="39">
        <f t="array" aca="1" ref="G70" ca="1">INDIRECT($A$3&amp;"!"&amp;$E70&amp;G$28)</f>
        <v>44917</v>
      </c>
      <c r="H70" s="2" t="str">
        <f t="array" aca="1" ref="H70" ca="1">INDIRECT($A$3&amp;"!"&amp;$E70&amp;H$28)</f>
        <v>BacNinh</v>
      </c>
      <c r="I70" s="142">
        <f t="shared" ca="1" si="29"/>
        <v>11.382765531062123</v>
      </c>
      <c r="J70" s="142">
        <f t="shared" ca="1" si="29"/>
        <v>17.879759519038078</v>
      </c>
      <c r="K70" s="142">
        <f t="shared" ca="1" si="29"/>
        <v>22.044088176352705</v>
      </c>
      <c r="L70" s="142">
        <f t="shared" ca="1" si="29"/>
        <v>2.0040080160320644</v>
      </c>
      <c r="M70" s="142">
        <f t="shared" ca="1" si="29"/>
        <v>0</v>
      </c>
      <c r="N70" s="142">
        <f t="shared" ca="1" si="29"/>
        <v>0</v>
      </c>
      <c r="O70" s="142"/>
      <c r="P70" s="142">
        <f t="shared" ca="1" si="22"/>
        <v>53.310621242484977</v>
      </c>
      <c r="Q70" s="142"/>
      <c r="R70" s="142">
        <f ca="1">SUM(I70:J70)</f>
        <v>29.262525050100201</v>
      </c>
      <c r="S70" s="142">
        <f ca="1">SUM(L70:M70)</f>
        <v>2.0040080160320644</v>
      </c>
      <c r="T70" s="142">
        <f ca="1">SUM(M70:N70)</f>
        <v>0</v>
      </c>
    </row>
    <row r="71" spans="3:20">
      <c r="C71" s="313">
        <f t="shared" ca="1" si="23"/>
        <v>24.95</v>
      </c>
      <c r="D71" s="2">
        <v>41</v>
      </c>
      <c r="E71" s="2" t="s">
        <v>370</v>
      </c>
      <c r="F71" s="2">
        <f t="shared" si="33"/>
        <v>1</v>
      </c>
      <c r="G71" s="39">
        <f t="array" aca="1" ref="G71" ca="1">INDIRECT($A$3&amp;"!"&amp;$E71&amp;G$28)</f>
        <v>44918</v>
      </c>
      <c r="H71" s="2" t="str">
        <f t="array" aca="1" ref="H71" ca="1">INDIRECT($A$3&amp;"!"&amp;$E71&amp;H$28)</f>
        <v>Hanoi</v>
      </c>
      <c r="I71" s="142">
        <f t="shared" ca="1" si="29"/>
        <v>36.673346693386776</v>
      </c>
      <c r="J71" s="142">
        <f t="shared" ca="1" si="29"/>
        <v>19.523046092184373</v>
      </c>
      <c r="K71" s="142">
        <f t="shared" ca="1" si="29"/>
        <v>0</v>
      </c>
      <c r="L71" s="142">
        <f t="shared" ca="1" si="29"/>
        <v>0</v>
      </c>
      <c r="M71" s="142">
        <f t="shared" ca="1" si="29"/>
        <v>8.4168336673346698</v>
      </c>
      <c r="N71" s="142">
        <f t="shared" ca="1" si="29"/>
        <v>0</v>
      </c>
      <c r="O71" s="142"/>
      <c r="P71" s="142">
        <f t="shared" ca="1" si="22"/>
        <v>64.61322645290582</v>
      </c>
      <c r="Q71" s="142"/>
      <c r="R71" s="142">
        <f t="shared" ref="R71:R113" ca="1" si="34">SUM(I71:J71)</f>
        <v>56.196392785571149</v>
      </c>
      <c r="S71" s="142">
        <f t="shared" ref="S71:S113" ca="1" si="35">SUM(L71:M71)</f>
        <v>8.4168336673346698</v>
      </c>
      <c r="T71" s="142">
        <f t="shared" ref="T71:T113" ca="1" si="36">SUM(M71:N71)</f>
        <v>8.4168336673346698</v>
      </c>
    </row>
    <row r="72" spans="3:20">
      <c r="C72" s="313">
        <f t="shared" ca="1" si="23"/>
        <v>24.95</v>
      </c>
      <c r="D72" s="2">
        <v>42</v>
      </c>
      <c r="E72" s="2" t="s">
        <v>371</v>
      </c>
      <c r="F72" s="2">
        <f t="shared" si="33"/>
        <v>1</v>
      </c>
      <c r="G72" s="39">
        <f t="array" aca="1" ref="G72" ca="1">INDIRECT($A$3&amp;"!"&amp;$E72&amp;G$28)</f>
        <v>44919</v>
      </c>
      <c r="H72" s="2" t="str">
        <f t="array" aca="1" ref="H72" ca="1">INDIRECT($A$3&amp;"!"&amp;$E72&amp;H$28)</f>
        <v>Hanoi</v>
      </c>
      <c r="I72" s="142">
        <f t="shared" ca="1" si="29"/>
        <v>38.036072144288575</v>
      </c>
      <c r="J72" s="142">
        <f t="shared" ca="1" si="29"/>
        <v>15.515030060120242</v>
      </c>
      <c r="K72" s="142">
        <f t="shared" ca="1" si="29"/>
        <v>0</v>
      </c>
      <c r="L72" s="142">
        <f t="shared" ca="1" si="29"/>
        <v>0</v>
      </c>
      <c r="M72" s="142">
        <f t="shared" ca="1" si="29"/>
        <v>0</v>
      </c>
      <c r="N72" s="142">
        <f t="shared" ca="1" si="29"/>
        <v>0</v>
      </c>
      <c r="O72" s="142"/>
      <c r="P72" s="142">
        <f t="shared" ca="1" si="22"/>
        <v>53.551102204408821</v>
      </c>
      <c r="Q72" s="142"/>
      <c r="R72" s="142">
        <f t="shared" ca="1" si="34"/>
        <v>53.551102204408821</v>
      </c>
      <c r="S72" s="142">
        <f t="shared" ca="1" si="35"/>
        <v>0</v>
      </c>
      <c r="T72" s="142">
        <f t="shared" ca="1" si="36"/>
        <v>0</v>
      </c>
    </row>
    <row r="73" spans="3:20">
      <c r="C73" s="313">
        <f t="shared" ca="1" si="23"/>
        <v>24.95</v>
      </c>
      <c r="D73" s="2">
        <v>43</v>
      </c>
      <c r="E73" s="2" t="s">
        <v>372</v>
      </c>
      <c r="F73" s="2">
        <f t="shared" si="33"/>
        <v>1</v>
      </c>
      <c r="G73" s="39">
        <f t="array" aca="1" ref="G73" ca="1">INDIRECT($A$3&amp;"!"&amp;$E73&amp;G$28)</f>
        <v>44920</v>
      </c>
      <c r="H73" s="2" t="str">
        <f t="array" aca="1" ref="H73" ca="1">INDIRECT($A$3&amp;"!"&amp;$E73&amp;H$28)</f>
        <v>Hanoi</v>
      </c>
      <c r="I73" s="142">
        <f t="shared" ca="1" si="29"/>
        <v>19.839679358717436</v>
      </c>
      <c r="J73" s="142">
        <f t="shared" ca="1" si="29"/>
        <v>22.128256513026052</v>
      </c>
      <c r="K73" s="142">
        <f t="shared" ca="1" si="29"/>
        <v>0</v>
      </c>
      <c r="L73" s="142">
        <f t="shared" ca="1" si="29"/>
        <v>0</v>
      </c>
      <c r="M73" s="142">
        <f t="shared" ca="1" si="29"/>
        <v>0</v>
      </c>
      <c r="N73" s="142">
        <f t="shared" ca="1" si="29"/>
        <v>0</v>
      </c>
      <c r="O73" s="142"/>
      <c r="P73" s="142">
        <f t="shared" ca="1" si="22"/>
        <v>41.967935871743492</v>
      </c>
      <c r="Q73" s="142"/>
      <c r="R73" s="142">
        <f t="shared" ca="1" si="34"/>
        <v>41.967935871743492</v>
      </c>
      <c r="S73" s="142">
        <f t="shared" ca="1" si="35"/>
        <v>0</v>
      </c>
      <c r="T73" s="142">
        <f t="shared" ca="1" si="36"/>
        <v>0</v>
      </c>
    </row>
    <row r="74" spans="3:20">
      <c r="C74" s="313">
        <f t="shared" ca="1" si="23"/>
        <v>24.95</v>
      </c>
      <c r="D74" s="2">
        <v>44</v>
      </c>
      <c r="E74" s="2" t="s">
        <v>373</v>
      </c>
      <c r="F74" s="2">
        <f t="shared" si="33"/>
        <v>1</v>
      </c>
      <c r="G74" s="39">
        <f t="array" aca="1" ref="G74" ca="1">INDIRECT($A$3&amp;"!"&amp;$E74&amp;G$28)</f>
        <v>44921</v>
      </c>
      <c r="H74" s="2" t="str">
        <f t="array" aca="1" ref="H74" ca="1">INDIRECT($A$3&amp;"!"&amp;$E74&amp;H$28)</f>
        <v>Hanoi</v>
      </c>
      <c r="I74" s="142">
        <f t="shared" ca="1" si="29"/>
        <v>24.529058116232466</v>
      </c>
      <c r="J74" s="142">
        <f t="shared" ca="1" si="29"/>
        <v>19.122244488977959</v>
      </c>
      <c r="K74" s="142">
        <f t="shared" ca="1" si="29"/>
        <v>0</v>
      </c>
      <c r="L74" s="142">
        <f t="shared" ca="1" si="29"/>
        <v>0</v>
      </c>
      <c r="M74" s="142">
        <f t="shared" ca="1" si="29"/>
        <v>0</v>
      </c>
      <c r="N74" s="142">
        <f t="shared" ca="1" si="29"/>
        <v>0</v>
      </c>
      <c r="O74" s="142"/>
      <c r="P74" s="142">
        <f t="shared" ca="1" si="22"/>
        <v>43.651302605210425</v>
      </c>
      <c r="Q74" s="142"/>
      <c r="R74" s="142">
        <f t="shared" ca="1" si="34"/>
        <v>43.651302605210425</v>
      </c>
      <c r="S74" s="142">
        <f t="shared" ca="1" si="35"/>
        <v>0</v>
      </c>
      <c r="T74" s="142">
        <f t="shared" ca="1" si="36"/>
        <v>0</v>
      </c>
    </row>
    <row r="75" spans="3:20">
      <c r="C75" s="313">
        <f t="shared" ca="1" si="23"/>
        <v>24.95</v>
      </c>
      <c r="D75" s="2">
        <v>45</v>
      </c>
      <c r="E75" s="2" t="s">
        <v>374</v>
      </c>
      <c r="F75" s="2">
        <f t="shared" si="33"/>
        <v>1</v>
      </c>
      <c r="G75" s="39">
        <f t="array" aca="1" ref="G75" ca="1">INDIRECT($A$3&amp;"!"&amp;$E75&amp;G$28)</f>
        <v>44922</v>
      </c>
      <c r="H75" s="2" t="str">
        <f t="array" aca="1" ref="H75" ca="1">INDIRECT($A$3&amp;"!"&amp;$E75&amp;H$28)</f>
        <v>Hanoi</v>
      </c>
      <c r="I75" s="142">
        <f t="shared" ca="1" si="29"/>
        <v>24.448897795591183</v>
      </c>
      <c r="J75" s="142">
        <f t="shared" ca="1" si="29"/>
        <v>21.126252505010022</v>
      </c>
      <c r="K75" s="142">
        <f t="shared" ca="1" si="29"/>
        <v>0</v>
      </c>
      <c r="L75" s="142">
        <f t="shared" ca="1" si="29"/>
        <v>0</v>
      </c>
      <c r="M75" s="142">
        <f t="shared" ca="1" si="29"/>
        <v>0</v>
      </c>
      <c r="N75" s="142">
        <f t="shared" ca="1" si="29"/>
        <v>0</v>
      </c>
      <c r="O75" s="142"/>
      <c r="P75" s="142">
        <f t="shared" ca="1" si="22"/>
        <v>45.575150300601209</v>
      </c>
      <c r="Q75" s="142"/>
      <c r="R75" s="142">
        <f t="shared" ca="1" si="34"/>
        <v>45.575150300601209</v>
      </c>
      <c r="S75" s="142">
        <f t="shared" ca="1" si="35"/>
        <v>0</v>
      </c>
      <c r="T75" s="142">
        <f t="shared" ca="1" si="36"/>
        <v>0</v>
      </c>
    </row>
    <row r="76" spans="3:20">
      <c r="C76" s="313">
        <f t="shared" ca="1" si="23"/>
        <v>24.95</v>
      </c>
      <c r="D76" s="2">
        <v>46</v>
      </c>
      <c r="E76" s="2" t="s">
        <v>375</v>
      </c>
      <c r="F76" s="2">
        <f t="shared" si="33"/>
        <v>1</v>
      </c>
      <c r="G76" s="39">
        <f t="array" aca="1" ref="G76" ca="1">INDIRECT($A$3&amp;"!"&amp;$E76&amp;G$28)</f>
        <v>44923</v>
      </c>
      <c r="H76" s="2" t="str">
        <f t="array" aca="1" ref="H76" ca="1">INDIRECT($A$3&amp;"!"&amp;$E76&amp;H$28)</f>
        <v>Hanoi</v>
      </c>
      <c r="I76" s="142">
        <f t="shared" ca="1" si="29"/>
        <v>24.649298597194392</v>
      </c>
      <c r="J76" s="142">
        <f t="shared" ca="1" si="29"/>
        <v>17.118236472945895</v>
      </c>
      <c r="K76" s="142">
        <f t="shared" ca="1" si="29"/>
        <v>0</v>
      </c>
      <c r="L76" s="142">
        <f t="shared" ca="1" si="29"/>
        <v>0</v>
      </c>
      <c r="M76" s="142">
        <f t="shared" ca="1" si="29"/>
        <v>0</v>
      </c>
      <c r="N76" s="142">
        <f t="shared" ca="1" si="29"/>
        <v>0</v>
      </c>
      <c r="O76" s="142"/>
      <c r="P76" s="142">
        <f t="shared" ca="1" si="22"/>
        <v>41.767535070140283</v>
      </c>
      <c r="Q76" s="142"/>
      <c r="R76" s="142">
        <f t="shared" ca="1" si="34"/>
        <v>41.767535070140283</v>
      </c>
      <c r="S76" s="142">
        <f t="shared" ca="1" si="35"/>
        <v>0</v>
      </c>
      <c r="T76" s="142">
        <f t="shared" ca="1" si="36"/>
        <v>0</v>
      </c>
    </row>
    <row r="77" spans="3:20">
      <c r="C77" s="313">
        <f t="shared" ca="1" si="23"/>
        <v>24.95</v>
      </c>
      <c r="D77" s="2">
        <v>47</v>
      </c>
      <c r="E77" s="2" t="s">
        <v>376</v>
      </c>
      <c r="F77" s="2">
        <f t="shared" si="33"/>
        <v>1</v>
      </c>
      <c r="G77" s="39">
        <f t="array" aca="1" ref="G77" ca="1">INDIRECT($A$3&amp;"!"&amp;$E77&amp;G$28)</f>
        <v>44924</v>
      </c>
      <c r="H77" s="2" t="str">
        <f t="array" aca="1" ref="H77" ca="1">INDIRECT($A$3&amp;"!"&amp;$E77&amp;H$28)</f>
        <v>Hanoi</v>
      </c>
      <c r="I77" s="142">
        <f t="shared" ca="1" si="29"/>
        <v>11.142284569138276</v>
      </c>
      <c r="J77" s="142">
        <f t="shared" ca="1" si="29"/>
        <v>23.130260521042086</v>
      </c>
      <c r="K77" s="142">
        <f t="shared" ca="1" si="29"/>
        <v>0</v>
      </c>
      <c r="L77" s="142">
        <f t="shared" ca="1" si="29"/>
        <v>0</v>
      </c>
      <c r="M77" s="142">
        <f t="shared" ca="1" si="29"/>
        <v>0</v>
      </c>
      <c r="N77" s="142">
        <f t="shared" ca="1" si="29"/>
        <v>0</v>
      </c>
      <c r="O77" s="142"/>
      <c r="P77" s="142">
        <f t="shared" ca="1" si="22"/>
        <v>34.272545090180358</v>
      </c>
      <c r="Q77" s="142"/>
      <c r="R77" s="142">
        <f t="shared" ca="1" si="34"/>
        <v>34.272545090180358</v>
      </c>
      <c r="S77" s="142">
        <f t="shared" ca="1" si="35"/>
        <v>0</v>
      </c>
      <c r="T77" s="142">
        <f t="shared" ca="1" si="36"/>
        <v>0</v>
      </c>
    </row>
    <row r="78" spans="3:20">
      <c r="C78" s="313">
        <f t="shared" ca="1" si="23"/>
        <v>24.95</v>
      </c>
      <c r="D78" s="2">
        <v>48</v>
      </c>
      <c r="E78" s="2" t="s">
        <v>377</v>
      </c>
      <c r="F78" s="2">
        <f t="shared" si="33"/>
        <v>1</v>
      </c>
      <c r="G78" s="39">
        <f t="array" aca="1" ref="G78" ca="1">INDIRECT($A$3&amp;"!"&amp;$E78&amp;G$28)</f>
        <v>44925</v>
      </c>
      <c r="H78" s="2" t="str">
        <f t="array" aca="1" ref="H78" ca="1">INDIRECT($A$3&amp;"!"&amp;$E78&amp;H$28)</f>
        <v>Hanoi</v>
      </c>
      <c r="I78" s="142">
        <f t="shared" ca="1" si="29"/>
        <v>24.248496993987974</v>
      </c>
      <c r="J78" s="142">
        <f t="shared" ca="1" si="29"/>
        <v>17.118236472945895</v>
      </c>
      <c r="K78" s="142">
        <f t="shared" ca="1" si="29"/>
        <v>0</v>
      </c>
      <c r="L78" s="142">
        <f t="shared" ca="1" si="29"/>
        <v>0</v>
      </c>
      <c r="M78" s="142">
        <f t="shared" ca="1" si="29"/>
        <v>0</v>
      </c>
      <c r="N78" s="142">
        <f t="shared" ca="1" si="29"/>
        <v>0</v>
      </c>
      <c r="O78" s="142"/>
      <c r="P78" s="142">
        <f t="shared" ca="1" si="22"/>
        <v>41.366733466933866</v>
      </c>
      <c r="Q78" s="142"/>
      <c r="R78" s="142">
        <f t="shared" ca="1" si="34"/>
        <v>41.366733466933866</v>
      </c>
      <c r="S78" s="142">
        <f t="shared" ca="1" si="35"/>
        <v>0</v>
      </c>
      <c r="T78" s="142">
        <f t="shared" ca="1" si="36"/>
        <v>0</v>
      </c>
    </row>
    <row r="79" spans="3:20">
      <c r="C79" s="313">
        <f t="shared" ca="1" si="23"/>
        <v>24.95</v>
      </c>
      <c r="D79" s="2">
        <v>49</v>
      </c>
      <c r="E79" s="2" t="s">
        <v>378</v>
      </c>
      <c r="F79" s="2">
        <f t="shared" si="33"/>
        <v>1</v>
      </c>
      <c r="G79" s="39">
        <f t="array" aca="1" ref="G79" ca="1">INDIRECT($A$3&amp;"!"&amp;$E79&amp;G$28)</f>
        <v>44926</v>
      </c>
      <c r="H79" s="2" t="str">
        <f t="array" aca="1" ref="H79" ca="1">INDIRECT($A$3&amp;"!"&amp;$E79&amp;H$28)</f>
        <v>Hanoi</v>
      </c>
      <c r="I79" s="142">
        <f t="shared" ca="1" si="29"/>
        <v>36.072144288577157</v>
      </c>
      <c r="J79" s="142">
        <f t="shared" ca="1" si="29"/>
        <v>53.987975951903593</v>
      </c>
      <c r="K79" s="142">
        <f t="shared" ca="1" si="29"/>
        <v>0</v>
      </c>
      <c r="L79" s="142">
        <f t="shared" ca="1" si="29"/>
        <v>0</v>
      </c>
      <c r="M79" s="142">
        <f t="shared" ca="1" si="29"/>
        <v>298.59719438877755</v>
      </c>
      <c r="N79" s="142">
        <f t="shared" ca="1" si="29"/>
        <v>0</v>
      </c>
      <c r="O79" s="142"/>
      <c r="P79" s="142">
        <f t="shared" ca="1" si="22"/>
        <v>388.65731462925828</v>
      </c>
      <c r="Q79" s="142"/>
      <c r="R79" s="142">
        <f t="shared" ca="1" si="34"/>
        <v>90.060120240480757</v>
      </c>
      <c r="S79" s="142">
        <f t="shared" ca="1" si="35"/>
        <v>298.59719438877755</v>
      </c>
      <c r="T79" s="142">
        <f t="shared" ca="1" si="36"/>
        <v>298.59719438877755</v>
      </c>
    </row>
    <row r="80" spans="3:20">
      <c r="C80" s="313">
        <f t="shared" ca="1" si="23"/>
        <v>24.95</v>
      </c>
      <c r="D80" s="2">
        <v>50</v>
      </c>
      <c r="E80" s="2" t="s">
        <v>379</v>
      </c>
      <c r="F80" s="2">
        <f t="shared" si="33"/>
        <v>1</v>
      </c>
      <c r="G80" s="39">
        <f t="array" aca="1" ref="G80" ca="1">INDIRECT($A$3&amp;"!"&amp;$E80&amp;G$28)</f>
        <v>44927</v>
      </c>
      <c r="H80" s="2" t="str">
        <f t="array" aca="1" ref="H80" ca="1">INDIRECT($A$3&amp;"!"&amp;$E80&amp;H$28)</f>
        <v>Hanoi</v>
      </c>
      <c r="I80" s="142">
        <f t="shared" ca="1" si="29"/>
        <v>22.645290581162325</v>
      </c>
      <c r="J80" s="142">
        <f t="shared" ca="1" si="29"/>
        <v>20.725450901803608</v>
      </c>
      <c r="K80" s="142">
        <f t="shared" ca="1" si="29"/>
        <v>0</v>
      </c>
      <c r="L80" s="142">
        <f t="shared" ca="1" si="29"/>
        <v>0</v>
      </c>
      <c r="M80" s="142">
        <f t="shared" ca="1" si="29"/>
        <v>0</v>
      </c>
      <c r="N80" s="142">
        <f t="shared" ca="1" si="29"/>
        <v>0</v>
      </c>
      <c r="O80" s="142"/>
      <c r="P80" s="142">
        <f t="shared" ca="1" si="22"/>
        <v>43.370741482965933</v>
      </c>
      <c r="Q80" s="142"/>
      <c r="R80" s="142">
        <f t="shared" ca="1" si="34"/>
        <v>43.370741482965933</v>
      </c>
      <c r="S80" s="142">
        <f t="shared" ca="1" si="35"/>
        <v>0</v>
      </c>
      <c r="T80" s="142">
        <f t="shared" ca="1" si="36"/>
        <v>0</v>
      </c>
    </row>
    <row r="81" spans="3:20">
      <c r="C81" s="313">
        <f t="shared" ca="1" si="23"/>
        <v>25.24</v>
      </c>
      <c r="D81" s="2">
        <v>51</v>
      </c>
      <c r="E81" s="2" t="s">
        <v>380</v>
      </c>
      <c r="F81" s="2">
        <f t="shared" si="33"/>
        <v>1</v>
      </c>
      <c r="G81" s="39">
        <f t="array" aca="1" ref="G81" ca="1">INDIRECT($A$3&amp;"!"&amp;$E81&amp;G$28)</f>
        <v>44928</v>
      </c>
      <c r="H81" s="2" t="str">
        <f t="array" aca="1" ref="H81" ca="1">INDIRECT($A$3&amp;"!"&amp;$E81&amp;H$28)</f>
        <v>Hanoi</v>
      </c>
      <c r="I81" s="142">
        <f t="shared" ca="1" si="29"/>
        <v>13.668779714738513</v>
      </c>
      <c r="J81" s="142">
        <f t="shared" ca="1" si="29"/>
        <v>16.921553090332807</v>
      </c>
      <c r="K81" s="142">
        <f t="shared" ca="1" si="29"/>
        <v>0</v>
      </c>
      <c r="L81" s="142">
        <f t="shared" ca="1" si="29"/>
        <v>0</v>
      </c>
      <c r="M81" s="142">
        <f t="shared" ca="1" si="29"/>
        <v>0</v>
      </c>
      <c r="N81" s="142">
        <f t="shared" ca="1" si="29"/>
        <v>0</v>
      </c>
      <c r="O81" s="142"/>
      <c r="P81" s="142">
        <f t="shared" ca="1" si="22"/>
        <v>30.59033280507132</v>
      </c>
      <c r="Q81" s="142"/>
      <c r="R81" s="142">
        <f t="shared" ca="1" si="34"/>
        <v>30.59033280507132</v>
      </c>
      <c r="S81" s="142">
        <f t="shared" ca="1" si="35"/>
        <v>0</v>
      </c>
      <c r="T81" s="142">
        <f t="shared" ca="1" si="36"/>
        <v>0</v>
      </c>
    </row>
    <row r="82" spans="3:20">
      <c r="C82" s="313">
        <f t="shared" ca="1" si="23"/>
        <v>25.24</v>
      </c>
      <c r="D82" s="2">
        <v>52</v>
      </c>
      <c r="E82" s="2" t="s">
        <v>381</v>
      </c>
      <c r="F82" s="2">
        <f t="shared" si="33"/>
        <v>1</v>
      </c>
      <c r="G82" s="39">
        <f t="array" aca="1" ref="G82" ca="1">INDIRECT($A$3&amp;"!"&amp;$E82&amp;G$28)</f>
        <v>44929</v>
      </c>
      <c r="H82" s="2" t="str">
        <f t="array" aca="1" ref="H82" ca="1">INDIRECT($A$3&amp;"!"&amp;$E82&amp;H$28)</f>
        <v>Hanoi</v>
      </c>
      <c r="I82" s="142">
        <f t="shared" ca="1" si="29"/>
        <v>10.855784469096672</v>
      </c>
      <c r="J82" s="142">
        <f t="shared" ca="1" si="29"/>
        <v>20.091125198098258</v>
      </c>
      <c r="K82" s="142">
        <f t="shared" ca="1" si="29"/>
        <v>0</v>
      </c>
      <c r="L82" s="142">
        <f t="shared" ca="1" si="29"/>
        <v>0</v>
      </c>
      <c r="M82" s="142">
        <f t="shared" ca="1" si="29"/>
        <v>0</v>
      </c>
      <c r="N82" s="142">
        <f t="shared" ca="1" si="29"/>
        <v>0</v>
      </c>
      <c r="O82" s="142"/>
      <c r="P82" s="142">
        <f t="shared" ca="1" si="22"/>
        <v>30.94690966719493</v>
      </c>
      <c r="Q82" s="142"/>
      <c r="R82" s="142">
        <f t="shared" ca="1" si="34"/>
        <v>30.94690966719493</v>
      </c>
      <c r="S82" s="142">
        <f t="shared" ca="1" si="35"/>
        <v>0</v>
      </c>
      <c r="T82" s="142">
        <f t="shared" ca="1" si="36"/>
        <v>0</v>
      </c>
    </row>
    <row r="83" spans="3:20">
      <c r="C83" s="313">
        <f t="shared" ca="1" si="23"/>
        <v>25.24</v>
      </c>
      <c r="D83" s="2">
        <v>53</v>
      </c>
      <c r="E83" s="2" t="s">
        <v>382</v>
      </c>
      <c r="F83" s="2">
        <f t="shared" si="33"/>
        <v>1</v>
      </c>
      <c r="G83" s="39">
        <f t="array" aca="1" ref="G83" ca="1">INDIRECT($A$3&amp;"!"&amp;$E83&amp;G$28)</f>
        <v>44930</v>
      </c>
      <c r="H83" s="2" t="str">
        <f t="array" aca="1" ref="H83" ca="1">INDIRECT($A$3&amp;"!"&amp;$E83&amp;H$28)</f>
        <v>Hanoi</v>
      </c>
      <c r="I83" s="142">
        <f t="shared" ca="1" si="29"/>
        <v>25.95087163232964</v>
      </c>
      <c r="J83" s="142">
        <f t="shared" ca="1" si="29"/>
        <v>16.921553090332807</v>
      </c>
      <c r="K83" s="142">
        <f t="shared" ca="1" si="29"/>
        <v>0</v>
      </c>
      <c r="L83" s="142">
        <f t="shared" ca="1" si="29"/>
        <v>0</v>
      </c>
      <c r="M83" s="142">
        <f t="shared" ca="1" si="29"/>
        <v>0</v>
      </c>
      <c r="N83" s="142">
        <f t="shared" ca="1" si="29"/>
        <v>0</v>
      </c>
      <c r="O83" s="142"/>
      <c r="P83" s="142">
        <f t="shared" ca="1" si="22"/>
        <v>42.872424722662444</v>
      </c>
      <c r="Q83" s="142"/>
      <c r="R83" s="142">
        <f t="shared" ca="1" si="34"/>
        <v>42.872424722662444</v>
      </c>
      <c r="S83" s="142">
        <f t="shared" ca="1" si="35"/>
        <v>0</v>
      </c>
      <c r="T83" s="142">
        <f t="shared" ca="1" si="36"/>
        <v>0</v>
      </c>
    </row>
    <row r="84" spans="3:20">
      <c r="C84" s="313">
        <f t="shared" ca="1" si="23"/>
        <v>25.24</v>
      </c>
      <c r="D84" s="2">
        <v>54</v>
      </c>
      <c r="E84" s="2" t="s">
        <v>383</v>
      </c>
      <c r="F84" s="2">
        <f t="shared" si="33"/>
        <v>1</v>
      </c>
      <c r="G84" s="39">
        <f t="array" aca="1" ref="G84" ca="1">INDIRECT($A$3&amp;"!"&amp;$E84&amp;G$28)</f>
        <v>44931</v>
      </c>
      <c r="H84" s="2" t="str">
        <f t="array" aca="1" ref="H84" ca="1">INDIRECT($A$3&amp;"!"&amp;$E84&amp;H$28)</f>
        <v>Hanoi</v>
      </c>
      <c r="I84" s="142">
        <f t="shared" ca="1" si="29"/>
        <v>28.724247226624406</v>
      </c>
      <c r="J84" s="142">
        <f t="shared" ca="1" si="29"/>
        <v>19.298732171156896</v>
      </c>
      <c r="K84" s="142">
        <f t="shared" ca="1" si="29"/>
        <v>0</v>
      </c>
      <c r="L84" s="142">
        <f t="shared" ca="1" si="29"/>
        <v>0</v>
      </c>
      <c r="M84" s="142">
        <f t="shared" ca="1" si="29"/>
        <v>0</v>
      </c>
      <c r="N84" s="142">
        <f t="shared" ca="1" si="29"/>
        <v>0</v>
      </c>
      <c r="O84" s="142"/>
      <c r="P84" s="142">
        <f t="shared" ca="1" si="22"/>
        <v>48.022979397781299</v>
      </c>
      <c r="Q84" s="142"/>
      <c r="R84" s="142">
        <f t="shared" ca="1" si="34"/>
        <v>48.022979397781299</v>
      </c>
      <c r="S84" s="142">
        <f t="shared" ca="1" si="35"/>
        <v>0</v>
      </c>
      <c r="T84" s="142">
        <f t="shared" ca="1" si="36"/>
        <v>0</v>
      </c>
    </row>
    <row r="85" spans="3:20">
      <c r="C85" s="313">
        <f t="shared" ca="1" si="23"/>
        <v>25.24</v>
      </c>
      <c r="D85" s="2">
        <v>55</v>
      </c>
      <c r="E85" s="2" t="s">
        <v>384</v>
      </c>
      <c r="F85" s="2">
        <f t="shared" si="33"/>
        <v>1</v>
      </c>
      <c r="G85" s="39">
        <f t="array" aca="1" ref="G85" ca="1">INDIRECT($A$3&amp;"!"&amp;$E85&amp;G$28)</f>
        <v>44932</v>
      </c>
      <c r="H85" s="2" t="str">
        <f t="array" aca="1" ref="H85" ca="1">INDIRECT($A$3&amp;"!"&amp;$E85&amp;H$28)</f>
        <v>Mariage</v>
      </c>
      <c r="I85" s="142">
        <f t="shared" ca="1" si="29"/>
        <v>10.697305863708401</v>
      </c>
      <c r="J85" s="142">
        <f t="shared" ca="1" si="29"/>
        <v>15.33676703645008</v>
      </c>
      <c r="K85" s="142">
        <f t="shared" ca="1" si="29"/>
        <v>0</v>
      </c>
      <c r="L85" s="142">
        <f t="shared" ca="1" si="29"/>
        <v>85.182250396196523</v>
      </c>
      <c r="M85" s="142">
        <f t="shared" ca="1" si="29"/>
        <v>39.61965134706815</v>
      </c>
      <c r="N85" s="142">
        <f t="shared" ca="1" si="29"/>
        <v>0</v>
      </c>
      <c r="O85" s="142"/>
      <c r="P85" s="142">
        <f t="shared" ca="1" si="22"/>
        <v>150.83597464342316</v>
      </c>
      <c r="Q85" s="142"/>
      <c r="R85" s="142">
        <f t="shared" ca="1" si="34"/>
        <v>26.034072900158481</v>
      </c>
      <c r="S85" s="142">
        <f t="shared" ca="1" si="35"/>
        <v>124.80190174326466</v>
      </c>
      <c r="T85" s="142">
        <f t="shared" ca="1" si="36"/>
        <v>39.61965134706815</v>
      </c>
    </row>
    <row r="86" spans="3:20">
      <c r="C86" s="313">
        <f t="shared" ca="1" si="23"/>
        <v>25.24</v>
      </c>
      <c r="D86" s="2">
        <v>56</v>
      </c>
      <c r="E86" s="2" t="s">
        <v>385</v>
      </c>
      <c r="F86" s="2">
        <f t="shared" si="33"/>
        <v>1</v>
      </c>
      <c r="G86" s="39">
        <f t="array" aca="1" ref="G86" ca="1">INDIRECT($A$3&amp;"!"&amp;$E86&amp;G$28)</f>
        <v>44933</v>
      </c>
      <c r="H86" s="2" t="str">
        <f t="array" aca="1" ref="H86" ca="1">INDIRECT($A$3&amp;"!"&amp;$E86&amp;H$28)</f>
        <v>Hanoi</v>
      </c>
      <c r="I86" s="142">
        <f t="shared" ca="1" si="29"/>
        <v>22.22662440570523</v>
      </c>
      <c r="J86" s="142">
        <f t="shared" ca="1" si="29"/>
        <v>17.317749603803488</v>
      </c>
      <c r="K86" s="142">
        <f t="shared" ca="1" si="29"/>
        <v>0</v>
      </c>
      <c r="L86" s="142">
        <f t="shared" ca="1" si="29"/>
        <v>0</v>
      </c>
      <c r="M86" s="142">
        <f t="shared" ca="1" si="29"/>
        <v>0</v>
      </c>
      <c r="N86" s="142">
        <f t="shared" ca="1" si="29"/>
        <v>0</v>
      </c>
      <c r="O86" s="142"/>
      <c r="P86" s="142">
        <f t="shared" ca="1" si="22"/>
        <v>39.544374009508715</v>
      </c>
      <c r="Q86" s="142"/>
      <c r="R86" s="142">
        <f t="shared" ca="1" si="34"/>
        <v>39.544374009508715</v>
      </c>
      <c r="S86" s="142">
        <f t="shared" ca="1" si="35"/>
        <v>0</v>
      </c>
      <c r="T86" s="142">
        <f t="shared" ca="1" si="36"/>
        <v>0</v>
      </c>
    </row>
    <row r="87" spans="3:20">
      <c r="C87" s="313">
        <f t="shared" ca="1" si="23"/>
        <v>25.24</v>
      </c>
      <c r="D87" s="2">
        <v>57</v>
      </c>
      <c r="E87" s="2" t="s">
        <v>386</v>
      </c>
      <c r="F87" s="2">
        <f t="shared" si="33"/>
        <v>1</v>
      </c>
      <c r="G87" s="39">
        <f t="array" aca="1" ref="G87" ca="1">INDIRECT($A$3&amp;"!"&amp;$E87&amp;G$28)</f>
        <v>44934</v>
      </c>
      <c r="H87" s="2" t="str">
        <f t="array" aca="1" ref="H87" ca="1">INDIRECT($A$3&amp;"!"&amp;$E87&amp;H$28)</f>
        <v>Hanoi</v>
      </c>
      <c r="I87" s="142">
        <f t="shared" ca="1" si="29"/>
        <v>60.023771790808247</v>
      </c>
      <c r="J87" s="142">
        <f t="shared" ca="1" si="29"/>
        <v>16.921553090332807</v>
      </c>
      <c r="K87" s="142">
        <f t="shared" ca="1" si="29"/>
        <v>0</v>
      </c>
      <c r="L87" s="142">
        <f t="shared" ca="1" si="29"/>
        <v>0</v>
      </c>
      <c r="M87" s="142">
        <f t="shared" ca="1" si="29"/>
        <v>39.61965134706815</v>
      </c>
      <c r="N87" s="142">
        <f t="shared" ca="1" si="29"/>
        <v>0</v>
      </c>
      <c r="O87" s="142"/>
      <c r="P87" s="142">
        <f t="shared" ca="1" si="22"/>
        <v>116.56497622820922</v>
      </c>
      <c r="Q87" s="142"/>
      <c r="R87" s="142">
        <f t="shared" ca="1" si="34"/>
        <v>76.945324881141062</v>
      </c>
      <c r="S87" s="142">
        <f t="shared" ca="1" si="35"/>
        <v>39.61965134706815</v>
      </c>
      <c r="T87" s="142">
        <f t="shared" ca="1" si="36"/>
        <v>39.61965134706815</v>
      </c>
    </row>
    <row r="88" spans="3:20">
      <c r="C88" s="313">
        <f t="shared" ca="1" si="23"/>
        <v>25.24</v>
      </c>
      <c r="D88" s="2">
        <v>58</v>
      </c>
      <c r="E88" s="2" t="s">
        <v>387</v>
      </c>
      <c r="F88" s="2">
        <f t="shared" si="33"/>
        <v>1</v>
      </c>
      <c r="G88" s="39">
        <f t="array" aca="1" ref="G88" ca="1">INDIRECT($A$3&amp;"!"&amp;$E88&amp;G$28)</f>
        <v>44935</v>
      </c>
      <c r="H88" s="2" t="str">
        <f t="array" aca="1" ref="H88" ca="1">INDIRECT($A$3&amp;"!"&amp;$E88&amp;H$28)</f>
        <v>Hanoi</v>
      </c>
      <c r="I88" s="142">
        <f t="shared" ca="1" si="29"/>
        <v>17.828843106180667</v>
      </c>
      <c r="J88" s="142">
        <f t="shared" ca="1" si="29"/>
        <v>16.327258320126784</v>
      </c>
      <c r="K88" s="142">
        <f t="shared" ca="1" si="29"/>
        <v>0</v>
      </c>
      <c r="L88" s="142">
        <f t="shared" ca="1" si="29"/>
        <v>0</v>
      </c>
      <c r="M88" s="142">
        <f t="shared" ca="1" si="29"/>
        <v>0</v>
      </c>
      <c r="N88" s="142">
        <f t="shared" ca="1" si="29"/>
        <v>0</v>
      </c>
      <c r="O88" s="142"/>
      <c r="P88" s="142">
        <f t="shared" ca="1" si="22"/>
        <v>34.156101426307451</v>
      </c>
      <c r="Q88" s="142"/>
      <c r="R88" s="142">
        <f t="shared" ca="1" si="34"/>
        <v>34.156101426307451</v>
      </c>
      <c r="S88" s="142">
        <f t="shared" ca="1" si="35"/>
        <v>0</v>
      </c>
      <c r="T88" s="142">
        <f t="shared" ca="1" si="36"/>
        <v>0</v>
      </c>
    </row>
    <row r="89" spans="3:20">
      <c r="C89" s="313">
        <f t="shared" ca="1" si="23"/>
        <v>25.24</v>
      </c>
      <c r="D89" s="2">
        <v>59</v>
      </c>
      <c r="E89" s="2" t="s">
        <v>388</v>
      </c>
      <c r="F89" s="2">
        <v>1</v>
      </c>
      <c r="G89" s="39">
        <f t="array" aca="1" ref="G89" ca="1">INDIRECT($A$3&amp;"!"&amp;$E89&amp;G$28)</f>
        <v>44936</v>
      </c>
      <c r="H89" s="2" t="str">
        <f t="array" aca="1" ref="H89" ca="1">INDIRECT($A$3&amp;"!"&amp;$E89&amp;H$28)</f>
        <v>Hanoi</v>
      </c>
      <c r="I89" s="142">
        <f t="shared" ca="1" si="29"/>
        <v>20.800316957210775</v>
      </c>
      <c r="J89" s="142">
        <f t="shared" ca="1" si="29"/>
        <v>18.308240887480192</v>
      </c>
      <c r="K89" s="142">
        <f t="shared" ca="1" si="29"/>
        <v>0</v>
      </c>
      <c r="L89" s="142">
        <f t="shared" ca="1" si="29"/>
        <v>0</v>
      </c>
      <c r="M89" s="142">
        <f t="shared" ca="1" si="29"/>
        <v>0</v>
      </c>
      <c r="N89" s="142">
        <f t="shared" ca="1" si="29"/>
        <v>0</v>
      </c>
      <c r="O89" s="142"/>
      <c r="P89" s="142">
        <f t="shared" ca="1" si="22"/>
        <v>39.108557844690964</v>
      </c>
      <c r="Q89" s="142"/>
      <c r="R89" s="142">
        <f t="shared" ca="1" si="34"/>
        <v>39.108557844690964</v>
      </c>
      <c r="S89" s="142">
        <f t="shared" ca="1" si="35"/>
        <v>0</v>
      </c>
      <c r="T89" s="142">
        <f t="shared" ca="1" si="36"/>
        <v>0</v>
      </c>
    </row>
    <row r="90" spans="3:20">
      <c r="C90" s="313">
        <f t="shared" ca="1" si="23"/>
        <v>25.24</v>
      </c>
      <c r="D90" s="2">
        <v>60</v>
      </c>
      <c r="E90" s="2" t="s">
        <v>389</v>
      </c>
      <c r="F90" s="2">
        <v>1</v>
      </c>
      <c r="G90" s="39">
        <f t="array" aca="1" ref="G90" ca="1">INDIRECT($A$3&amp;"!"&amp;$E90&amp;G$28)</f>
        <v>44937</v>
      </c>
      <c r="H90" s="2" t="str">
        <f t="array" aca="1" ref="H90" ca="1">INDIRECT($A$3&amp;"!"&amp;$E90&amp;H$28)</f>
        <v>Hanoi</v>
      </c>
      <c r="I90" s="142">
        <f t="shared" ca="1" si="29"/>
        <v>21.19651347068146</v>
      </c>
      <c r="J90" s="142">
        <f t="shared" ca="1" si="29"/>
        <v>18.506339144215531</v>
      </c>
      <c r="K90" s="142">
        <f t="shared" ca="1" si="29"/>
        <v>0</v>
      </c>
      <c r="L90" s="142">
        <f t="shared" ca="1" si="29"/>
        <v>0</v>
      </c>
      <c r="M90" s="142">
        <f t="shared" ca="1" si="29"/>
        <v>0</v>
      </c>
      <c r="N90" s="142">
        <f t="shared" ca="1" si="29"/>
        <v>0</v>
      </c>
      <c r="O90" s="142"/>
      <c r="P90" s="142">
        <f t="shared" ca="1" si="22"/>
        <v>39.70285261489699</v>
      </c>
      <c r="Q90" s="142"/>
      <c r="R90" s="142">
        <f t="shared" ca="1" si="34"/>
        <v>39.70285261489699</v>
      </c>
      <c r="S90" s="142">
        <f t="shared" ca="1" si="35"/>
        <v>0</v>
      </c>
      <c r="T90" s="142">
        <f t="shared" ca="1" si="36"/>
        <v>0</v>
      </c>
    </row>
    <row r="91" spans="3:20">
      <c r="C91" s="313">
        <f t="shared" ca="1" si="23"/>
        <v>25.24</v>
      </c>
      <c r="D91" s="2">
        <v>61</v>
      </c>
      <c r="E91" s="2" t="s">
        <v>390</v>
      </c>
      <c r="F91" s="2">
        <v>1</v>
      </c>
      <c r="G91" s="39">
        <f t="array" aca="1" ref="G91" ca="1">INDIRECT($A$3&amp;"!"&amp;$E91&amp;G$28)</f>
        <v>44938</v>
      </c>
      <c r="H91" s="2" t="str">
        <f t="array" aca="1" ref="H91" ca="1">INDIRECT($A$3&amp;"!"&amp;$E91&amp;H$28)</f>
        <v>Hanoi</v>
      </c>
      <c r="I91" s="142">
        <f t="shared" ca="1" si="29"/>
        <v>19.611727416798733</v>
      </c>
      <c r="J91" s="142">
        <f t="shared" ca="1" si="29"/>
        <v>15.33676703645008</v>
      </c>
      <c r="K91" s="142">
        <f t="shared" ca="1" si="29"/>
        <v>0</v>
      </c>
      <c r="L91" s="142">
        <f t="shared" ca="1" si="29"/>
        <v>0</v>
      </c>
      <c r="M91" s="142">
        <f t="shared" ca="1" si="29"/>
        <v>0</v>
      </c>
      <c r="N91" s="142">
        <f t="shared" ca="1" si="29"/>
        <v>0</v>
      </c>
      <c r="O91" s="142"/>
      <c r="P91" s="142">
        <f t="shared" ca="1" si="22"/>
        <v>34.948494453248813</v>
      </c>
      <c r="Q91" s="142"/>
      <c r="R91" s="142">
        <f t="shared" ca="1" si="34"/>
        <v>34.948494453248813</v>
      </c>
      <c r="S91" s="142">
        <f t="shared" ca="1" si="35"/>
        <v>0</v>
      </c>
      <c r="T91" s="142">
        <f t="shared" ca="1" si="36"/>
        <v>0</v>
      </c>
    </row>
    <row r="92" spans="3:20">
      <c r="C92" s="313">
        <f t="shared" ca="1" si="23"/>
        <v>25.24</v>
      </c>
      <c r="D92" s="2">
        <v>62</v>
      </c>
      <c r="E92" s="2" t="s">
        <v>391</v>
      </c>
      <c r="F92" s="2">
        <v>1</v>
      </c>
      <c r="G92" s="39">
        <f t="array" aca="1" ref="G92" ca="1">INDIRECT($A$3&amp;"!"&amp;$E92&amp;G$28)</f>
        <v>44939</v>
      </c>
      <c r="H92" s="2" t="str">
        <f t="array" aca="1" ref="H92" ca="1">INDIRECT($A$3&amp;"!"&amp;$E92&amp;H$28)</f>
        <v>Hanoi</v>
      </c>
      <c r="I92" s="142">
        <f t="shared" ca="1" si="29"/>
        <v>10.618066561014263</v>
      </c>
      <c r="J92" s="142">
        <f t="shared" ca="1" si="29"/>
        <v>68.585578446909679</v>
      </c>
      <c r="K92" s="142">
        <f t="shared" ca="1" si="29"/>
        <v>0</v>
      </c>
      <c r="L92" s="142">
        <f ca="1">INDIRECT($A$3&amp;"!"&amp;$E92&amp;L$28+$D$26)</f>
        <v>0</v>
      </c>
      <c r="M92" s="142">
        <f ca="1">INDIRECT($A$3&amp;"!"&amp;$E92&amp;M$28+$D$26)</f>
        <v>26.426307448494455</v>
      </c>
      <c r="N92" s="142">
        <f ca="1">INDIRECT($A$3&amp;"!"&amp;$E92&amp;N$28+$D$26)</f>
        <v>0</v>
      </c>
      <c r="O92" s="142"/>
      <c r="P92" s="142">
        <f t="shared" ca="1" si="22"/>
        <v>105.62995245641839</v>
      </c>
      <c r="Q92" s="142"/>
      <c r="R92" s="142">
        <f t="shared" ca="1" si="34"/>
        <v>79.203645007923939</v>
      </c>
      <c r="S92" s="142">
        <f t="shared" ca="1" si="35"/>
        <v>26.426307448494455</v>
      </c>
      <c r="T92" s="142">
        <f t="shared" ca="1" si="36"/>
        <v>26.426307448494455</v>
      </c>
    </row>
    <row r="93" spans="3:20">
      <c r="C93" s="313">
        <f t="shared" ca="1" si="23"/>
        <v>25.24</v>
      </c>
      <c r="D93" s="2">
        <v>63</v>
      </c>
      <c r="E93" s="2" t="s">
        <v>392</v>
      </c>
      <c r="F93" s="2">
        <v>1</v>
      </c>
      <c r="G93" s="39">
        <f t="array" aca="1" ref="G93" ca="1">INDIRECT($A$3&amp;"!"&amp;$E93&amp;G$28)</f>
        <v>44940</v>
      </c>
      <c r="H93" s="2" t="str">
        <f t="array" aca="1" ref="H93" ca="1">INDIRECT($A$3&amp;"!"&amp;$E93&amp;H$28)</f>
        <v>Hanoi</v>
      </c>
      <c r="I93" s="142">
        <f t="shared" ref="I93:N113" ca="1" si="37">INDIRECT($A$3&amp;"!"&amp;$E93&amp;I$28+$D$26)</f>
        <v>30.110935023771791</v>
      </c>
      <c r="J93" s="142">
        <f t="shared" ca="1" si="37"/>
        <v>16.921553090332807</v>
      </c>
      <c r="K93" s="142">
        <f t="shared" ca="1" si="37"/>
        <v>0</v>
      </c>
      <c r="L93" s="142">
        <f t="shared" ca="1" si="37"/>
        <v>0</v>
      </c>
      <c r="M93" s="142">
        <f t="shared" ca="1" si="37"/>
        <v>0</v>
      </c>
      <c r="N93" s="142">
        <f t="shared" ca="1" si="37"/>
        <v>0</v>
      </c>
      <c r="O93" s="142"/>
      <c r="P93" s="142">
        <f t="shared" ca="1" si="22"/>
        <v>47.032488114104595</v>
      </c>
      <c r="Q93" s="142"/>
      <c r="R93" s="142">
        <f t="shared" ca="1" si="34"/>
        <v>47.032488114104595</v>
      </c>
      <c r="S93" s="142">
        <f t="shared" ca="1" si="35"/>
        <v>0</v>
      </c>
      <c r="T93" s="142">
        <f t="shared" ca="1" si="36"/>
        <v>0</v>
      </c>
    </row>
    <row r="94" spans="3:20">
      <c r="C94" s="313">
        <f t="shared" ca="1" si="23"/>
        <v>25.24</v>
      </c>
      <c r="D94" s="2">
        <v>64</v>
      </c>
      <c r="E94" s="2" t="s">
        <v>292</v>
      </c>
      <c r="F94" s="2">
        <v>1</v>
      </c>
      <c r="G94" s="39">
        <f t="array" aca="1" ref="G94" ca="1">INDIRECT($A$3&amp;"!"&amp;$E94&amp;G$28)</f>
        <v>44941</v>
      </c>
      <c r="H94" s="2" t="str">
        <f t="array" aca="1" ref="H94" ca="1">INDIRECT($A$3&amp;"!"&amp;$E94&amp;H$28)</f>
        <v>Hanoi</v>
      </c>
      <c r="I94" s="142">
        <f t="shared" ca="1" si="37"/>
        <v>26.188589540412046</v>
      </c>
      <c r="J94" s="142">
        <f t="shared" ca="1" si="37"/>
        <v>17.317749603803488</v>
      </c>
      <c r="K94" s="142">
        <f t="shared" ca="1" si="37"/>
        <v>0</v>
      </c>
      <c r="L94" s="142">
        <f t="shared" ca="1" si="37"/>
        <v>0</v>
      </c>
      <c r="M94" s="142">
        <f t="shared" ca="1" si="37"/>
        <v>0</v>
      </c>
      <c r="N94" s="142">
        <f t="shared" ca="1" si="37"/>
        <v>0</v>
      </c>
      <c r="O94" s="142"/>
      <c r="P94" s="142">
        <f t="shared" ca="1" si="22"/>
        <v>43.506339144215531</v>
      </c>
      <c r="Q94" s="142"/>
      <c r="R94" s="142">
        <f t="shared" ca="1" si="34"/>
        <v>43.506339144215531</v>
      </c>
      <c r="S94" s="142">
        <f t="shared" ca="1" si="35"/>
        <v>0</v>
      </c>
      <c r="T94" s="142">
        <f t="shared" ca="1" si="36"/>
        <v>0</v>
      </c>
    </row>
    <row r="95" spans="3:20">
      <c r="C95" s="313">
        <f t="shared" ref="C95:C138" ca="1" si="38">INDIRECT($A$3&amp;"!"&amp;$E95&amp;6)</f>
        <v>25.24</v>
      </c>
      <c r="D95" s="2">
        <v>65</v>
      </c>
      <c r="E95" s="2" t="s">
        <v>291</v>
      </c>
      <c r="F95" s="2">
        <v>1</v>
      </c>
      <c r="G95" s="39">
        <f t="array" aca="1" ref="G95" ca="1">INDIRECT($A$3&amp;"!"&amp;$E95&amp;G$28)</f>
        <v>44942</v>
      </c>
      <c r="H95" s="2" t="str">
        <f t="array" aca="1" ref="H95" ca="1">INDIRECT($A$3&amp;"!"&amp;$E95&amp;H$28)</f>
        <v>Hanoi</v>
      </c>
      <c r="I95" s="142">
        <f t="shared" ca="1" si="37"/>
        <v>21.790808240887479</v>
      </c>
      <c r="J95" s="142">
        <f t="shared" ca="1" si="37"/>
        <v>17.515847860538827</v>
      </c>
      <c r="K95" s="142">
        <f t="shared" ca="1" si="37"/>
        <v>0</v>
      </c>
      <c r="L95" s="142">
        <f t="shared" ca="1" si="37"/>
        <v>0</v>
      </c>
      <c r="M95" s="142">
        <f t="shared" ca="1" si="37"/>
        <v>0</v>
      </c>
      <c r="N95" s="142">
        <f t="shared" ca="1" si="37"/>
        <v>0</v>
      </c>
      <c r="O95" s="142"/>
      <c r="P95" s="142">
        <f t="shared" ca="1" si="22"/>
        <v>39.306656101426306</v>
      </c>
      <c r="Q95" s="142"/>
      <c r="R95" s="142">
        <f t="shared" ca="1" si="34"/>
        <v>39.306656101426306</v>
      </c>
      <c r="S95" s="142">
        <f t="shared" ca="1" si="35"/>
        <v>0</v>
      </c>
      <c r="T95" s="142">
        <f t="shared" ca="1" si="36"/>
        <v>0</v>
      </c>
    </row>
    <row r="96" spans="3:20">
      <c r="C96" s="313">
        <f t="shared" ca="1" si="38"/>
        <v>25.24</v>
      </c>
      <c r="D96" s="2">
        <v>66</v>
      </c>
      <c r="E96" s="2" t="s">
        <v>393</v>
      </c>
      <c r="F96" s="2">
        <v>1</v>
      </c>
      <c r="G96" s="39">
        <f t="array" aca="1" ref="G96" ca="1">INDIRECT($A$3&amp;"!"&amp;$E96&amp;G$28)</f>
        <v>44943</v>
      </c>
      <c r="H96" s="2" t="str">
        <f t="array" aca="1" ref="H96" ca="1">INDIRECT($A$3&amp;"!"&amp;$E96&amp;H$28)</f>
        <v>Hanoi</v>
      </c>
      <c r="I96" s="142">
        <f t="shared" ca="1" si="37"/>
        <v>51.505546751188589</v>
      </c>
      <c r="J96" s="142">
        <f t="shared" ca="1" si="37"/>
        <v>18.902535657686215</v>
      </c>
      <c r="K96" s="142">
        <f t="shared" ca="1" si="37"/>
        <v>0</v>
      </c>
      <c r="L96" s="142">
        <f t="shared" ca="1" si="37"/>
        <v>0</v>
      </c>
      <c r="M96" s="142">
        <f t="shared" ca="1" si="37"/>
        <v>0</v>
      </c>
      <c r="N96" s="142">
        <f t="shared" ca="1" si="37"/>
        <v>0</v>
      </c>
      <c r="O96" s="142"/>
      <c r="P96" s="142">
        <f t="shared" ca="1" si="22"/>
        <v>70.408082408874805</v>
      </c>
      <c r="Q96" s="142"/>
      <c r="R96" s="142">
        <f t="shared" ca="1" si="34"/>
        <v>70.408082408874805</v>
      </c>
      <c r="S96" s="142">
        <f t="shared" ca="1" si="35"/>
        <v>0</v>
      </c>
      <c r="T96" s="142">
        <f t="shared" ca="1" si="36"/>
        <v>0</v>
      </c>
    </row>
    <row r="97" spans="3:20">
      <c r="C97" s="313">
        <f t="shared" ca="1" si="38"/>
        <v>25.24</v>
      </c>
      <c r="D97" s="2">
        <v>67</v>
      </c>
      <c r="E97" s="2" t="s">
        <v>394</v>
      </c>
      <c r="F97" s="2">
        <v>1</v>
      </c>
      <c r="G97" s="39">
        <f t="array" aca="1" ref="G97" ca="1">INDIRECT($A$3&amp;"!"&amp;$E97&amp;G$28)</f>
        <v>44944</v>
      </c>
      <c r="H97" s="2" t="str">
        <f t="array" aca="1" ref="H97" ca="1">INDIRECT($A$3&amp;"!"&amp;$E97&amp;H$28)</f>
        <v>Hanoi</v>
      </c>
      <c r="I97" s="142">
        <f t="shared" ca="1" si="37"/>
        <v>24.128367670364504</v>
      </c>
      <c r="J97" s="142">
        <f t="shared" ca="1" si="37"/>
        <v>15.33676703645008</v>
      </c>
      <c r="K97" s="142">
        <f t="shared" ca="1" si="37"/>
        <v>0</v>
      </c>
      <c r="L97" s="142">
        <f t="shared" ca="1" si="37"/>
        <v>0</v>
      </c>
      <c r="M97" s="142">
        <f t="shared" ca="1" si="37"/>
        <v>0</v>
      </c>
      <c r="N97" s="142">
        <f t="shared" ca="1" si="37"/>
        <v>0</v>
      </c>
      <c r="O97" s="142"/>
      <c r="P97" s="142">
        <f t="shared" ca="1" si="22"/>
        <v>39.465134706814581</v>
      </c>
      <c r="Q97" s="142"/>
      <c r="R97" s="142">
        <f t="shared" ca="1" si="34"/>
        <v>39.465134706814581</v>
      </c>
      <c r="S97" s="142">
        <f t="shared" ca="1" si="35"/>
        <v>0</v>
      </c>
      <c r="T97" s="142">
        <f t="shared" ca="1" si="36"/>
        <v>0</v>
      </c>
    </row>
    <row r="98" spans="3:20">
      <c r="C98" s="313">
        <f t="shared" ca="1" si="38"/>
        <v>25.24</v>
      </c>
      <c r="D98" s="2">
        <v>68</v>
      </c>
      <c r="E98" s="2" t="s">
        <v>395</v>
      </c>
      <c r="F98" s="2">
        <v>1</v>
      </c>
      <c r="G98" s="39">
        <f t="array" aca="1" ref="G98" ca="1">INDIRECT($A$3&amp;"!"&amp;$E98&amp;G$28)</f>
        <v>44945</v>
      </c>
      <c r="H98" s="2" t="str">
        <f t="array" aca="1" ref="H98" ca="1">INDIRECT($A$3&amp;"!"&amp;$E98&amp;H$28)</f>
        <v>Hanoi</v>
      </c>
      <c r="I98" s="142">
        <f t="shared" ca="1" si="37"/>
        <v>70.166402535657681</v>
      </c>
      <c r="J98" s="142">
        <f t="shared" ca="1" si="37"/>
        <v>15.33676703645008</v>
      </c>
      <c r="K98" s="142">
        <f t="shared" ca="1" si="37"/>
        <v>0</v>
      </c>
      <c r="L98" s="142">
        <f t="shared" ca="1" si="37"/>
        <v>0</v>
      </c>
      <c r="M98" s="142">
        <f t="shared" ca="1" si="37"/>
        <v>0</v>
      </c>
      <c r="N98" s="142">
        <f t="shared" ca="1" si="37"/>
        <v>399.36608557844693</v>
      </c>
      <c r="O98" s="142"/>
      <c r="P98" s="142">
        <f t="shared" ca="1" si="22"/>
        <v>484.86925515055469</v>
      </c>
      <c r="Q98" s="142"/>
      <c r="R98" s="142">
        <f t="shared" ca="1" si="34"/>
        <v>85.503169572107765</v>
      </c>
      <c r="S98" s="142">
        <f t="shared" ca="1" si="35"/>
        <v>0</v>
      </c>
      <c r="T98" s="142">
        <f t="shared" ca="1" si="36"/>
        <v>399.36608557844693</v>
      </c>
    </row>
    <row r="99" spans="3:20">
      <c r="C99" s="313">
        <f t="shared" ca="1" si="38"/>
        <v>25.24</v>
      </c>
      <c r="D99" s="2">
        <v>69</v>
      </c>
      <c r="E99" s="2" t="s">
        <v>396</v>
      </c>
      <c r="F99" s="2">
        <v>1</v>
      </c>
      <c r="G99" s="39">
        <f t="array" aca="1" ref="G99" ca="1">INDIRECT($A$3&amp;"!"&amp;$E99&amp;G$28)</f>
        <v>44946</v>
      </c>
      <c r="H99" s="2" t="str">
        <f t="array" aca="1" ref="H99" ca="1">INDIRECT($A$3&amp;"!"&amp;$E99&amp;H$28)</f>
        <v>Hanoi</v>
      </c>
      <c r="I99" s="142">
        <f t="shared" ca="1" si="37"/>
        <v>53.486529318542004</v>
      </c>
      <c r="J99" s="142">
        <f t="shared" ca="1" si="37"/>
        <v>15.33676703645008</v>
      </c>
      <c r="K99" s="142">
        <f t="shared" ca="1" si="37"/>
        <v>7.9239302694136295</v>
      </c>
      <c r="L99" s="142">
        <f t="shared" ca="1" si="37"/>
        <v>0</v>
      </c>
      <c r="M99" s="142">
        <f t="shared" ca="1" si="37"/>
        <v>0</v>
      </c>
      <c r="N99" s="142">
        <f t="shared" ca="1" si="37"/>
        <v>0</v>
      </c>
      <c r="O99" s="142"/>
      <c r="P99" s="142">
        <f t="shared" ca="1" si="22"/>
        <v>76.747226624405712</v>
      </c>
      <c r="Q99" s="142"/>
      <c r="R99" s="142">
        <f t="shared" ca="1" si="34"/>
        <v>68.823296354992081</v>
      </c>
      <c r="S99" s="142">
        <f t="shared" ca="1" si="35"/>
        <v>0</v>
      </c>
      <c r="T99" s="142">
        <f t="shared" ca="1" si="36"/>
        <v>0</v>
      </c>
    </row>
    <row r="100" spans="3:20">
      <c r="C100" s="313">
        <f t="shared" ca="1" si="38"/>
        <v>25.24</v>
      </c>
      <c r="D100" s="2">
        <v>70</v>
      </c>
      <c r="E100" s="2" t="s">
        <v>397</v>
      </c>
      <c r="F100" s="2">
        <v>1</v>
      </c>
      <c r="G100" s="39">
        <f t="array" aca="1" ref="G100" ca="1">INDIRECT($A$3&amp;"!"&amp;$E100&amp;G$28)</f>
        <v>44947</v>
      </c>
      <c r="H100" s="2" t="str">
        <f t="array" aca="1" ref="H100" ca="1">INDIRECT($A$3&amp;"!"&amp;$E100&amp;H$28)</f>
        <v>Bac Ninh</v>
      </c>
      <c r="I100" s="142">
        <f t="shared" ca="1" si="37"/>
        <v>20.007923930269413</v>
      </c>
      <c r="J100" s="142">
        <f t="shared" ca="1" si="37"/>
        <v>15.693343898573694</v>
      </c>
      <c r="K100" s="142">
        <f t="shared" ca="1" si="37"/>
        <v>22.187004754358163</v>
      </c>
      <c r="L100" s="142">
        <f t="shared" ca="1" si="37"/>
        <v>2.6941362916006342</v>
      </c>
      <c r="M100" s="142">
        <f t="shared" ca="1" si="37"/>
        <v>0</v>
      </c>
      <c r="N100" s="142">
        <f t="shared" ca="1" si="37"/>
        <v>0</v>
      </c>
      <c r="O100" s="142"/>
      <c r="P100" s="142">
        <f t="shared" ca="1" si="22"/>
        <v>60.582408874801907</v>
      </c>
      <c r="Q100" s="142"/>
      <c r="R100" s="142">
        <f t="shared" ca="1" si="34"/>
        <v>35.701267828843108</v>
      </c>
      <c r="S100" s="142">
        <f t="shared" ca="1" si="35"/>
        <v>2.6941362916006342</v>
      </c>
      <c r="T100" s="142">
        <f t="shared" ca="1" si="36"/>
        <v>0</v>
      </c>
    </row>
    <row r="101" spans="3:20">
      <c r="C101" s="313">
        <f t="shared" ca="1" si="38"/>
        <v>25.24</v>
      </c>
      <c r="D101" s="2">
        <v>71</v>
      </c>
      <c r="E101" s="2" t="s">
        <v>398</v>
      </c>
      <c r="F101" s="2">
        <v>1</v>
      </c>
      <c r="G101" s="39">
        <f t="array" aca="1" ref="G101" ca="1">INDIRECT($A$3&amp;"!"&amp;$E101&amp;G$28)</f>
        <v>44948</v>
      </c>
      <c r="H101" s="2" t="str">
        <f t="array" aca="1" ref="H101" ca="1">INDIRECT($A$3&amp;"!"&amp;$E101&amp;H$28)</f>
        <v>Hanoi</v>
      </c>
      <c r="I101" s="142">
        <f t="shared" ca="1" si="37"/>
        <v>4.3581616481774965</v>
      </c>
      <c r="J101" s="142">
        <f t="shared" ca="1" si="37"/>
        <v>15.693343898573694</v>
      </c>
      <c r="K101" s="142">
        <f t="shared" ca="1" si="37"/>
        <v>0</v>
      </c>
      <c r="L101" s="142">
        <f t="shared" ca="1" si="37"/>
        <v>0</v>
      </c>
      <c r="M101" s="142">
        <f t="shared" ca="1" si="37"/>
        <v>0</v>
      </c>
      <c r="N101" s="142">
        <f t="shared" ca="1" si="37"/>
        <v>0</v>
      </c>
      <c r="O101" s="142"/>
      <c r="P101" s="142">
        <f t="shared" ca="1" si="22"/>
        <v>20.051505546751191</v>
      </c>
      <c r="Q101" s="142"/>
      <c r="R101" s="142">
        <f t="shared" ca="1" si="34"/>
        <v>20.051505546751191</v>
      </c>
      <c r="S101" s="142">
        <f t="shared" ca="1" si="35"/>
        <v>0</v>
      </c>
      <c r="T101" s="142">
        <f t="shared" ca="1" si="36"/>
        <v>0</v>
      </c>
    </row>
    <row r="102" spans="3:20">
      <c r="C102" s="313">
        <f t="shared" ca="1" si="38"/>
        <v>25.24</v>
      </c>
      <c r="D102" s="2">
        <v>72</v>
      </c>
      <c r="E102" s="2" t="s">
        <v>399</v>
      </c>
      <c r="F102" s="2">
        <v>1</v>
      </c>
      <c r="G102" s="39">
        <f t="array" aca="1" ref="G102" ca="1">INDIRECT($A$3&amp;"!"&amp;$E102&amp;G$28)</f>
        <v>44949</v>
      </c>
      <c r="H102" s="2" t="str">
        <f t="array" aca="1" ref="H102" ca="1">INDIRECT($A$3&amp;"!"&amp;$E102&amp;H$28)</f>
        <v>Hanoi</v>
      </c>
      <c r="I102" s="142">
        <f t="shared" ca="1" si="37"/>
        <v>13.351822503961966</v>
      </c>
      <c r="J102" s="142">
        <f t="shared" ca="1" si="37"/>
        <v>15.33676703645008</v>
      </c>
      <c r="K102" s="142">
        <f t="shared" ca="1" si="37"/>
        <v>0</v>
      </c>
      <c r="L102" s="142">
        <f t="shared" ca="1" si="37"/>
        <v>0</v>
      </c>
      <c r="M102" s="142">
        <f t="shared" ca="1" si="37"/>
        <v>59.429477020602221</v>
      </c>
      <c r="N102" s="142">
        <f t="shared" ca="1" si="37"/>
        <v>0</v>
      </c>
      <c r="O102" s="142"/>
      <c r="P102" s="142">
        <f t="shared" ca="1" si="22"/>
        <v>88.118066561014274</v>
      </c>
      <c r="Q102" s="142"/>
      <c r="R102" s="142">
        <f t="shared" ca="1" si="34"/>
        <v>28.688589540412046</v>
      </c>
      <c r="S102" s="142">
        <f t="shared" ca="1" si="35"/>
        <v>59.429477020602221</v>
      </c>
      <c r="T102" s="142">
        <f t="shared" ca="1" si="36"/>
        <v>59.429477020602221</v>
      </c>
    </row>
    <row r="103" spans="3:20">
      <c r="C103" s="313">
        <f t="shared" ca="1" si="38"/>
        <v>25.24</v>
      </c>
      <c r="D103" s="2">
        <v>73</v>
      </c>
      <c r="E103" s="2" t="s">
        <v>400</v>
      </c>
      <c r="F103" s="2">
        <v>1</v>
      </c>
      <c r="G103" s="39">
        <f t="array" aca="1" ref="G103" ca="1">INDIRECT($A$3&amp;"!"&amp;$E103&amp;G$28)</f>
        <v>44950</v>
      </c>
      <c r="H103" s="2" t="str">
        <f t="array" aca="1" ref="H103" ca="1">INDIRECT($A$3&amp;"!"&amp;$E103&amp;H$28)</f>
        <v>Hanoi</v>
      </c>
      <c r="I103" s="142">
        <f t="shared" ca="1" si="37"/>
        <v>7.7258320126782891</v>
      </c>
      <c r="J103" s="142">
        <f t="shared" ca="1" si="37"/>
        <v>47.032488114104595</v>
      </c>
      <c r="K103" s="142">
        <f t="shared" ca="1" si="37"/>
        <v>0</v>
      </c>
      <c r="L103" s="142">
        <f t="shared" ca="1" si="37"/>
        <v>0</v>
      </c>
      <c r="M103" s="142">
        <f t="shared" ca="1" si="37"/>
        <v>0</v>
      </c>
      <c r="N103" s="142">
        <f t="shared" ca="1" si="37"/>
        <v>0</v>
      </c>
      <c r="O103" s="142"/>
      <c r="P103" s="142">
        <f t="shared" ca="1" si="22"/>
        <v>54.758320126782884</v>
      </c>
      <c r="Q103" s="142"/>
      <c r="R103" s="142">
        <f t="shared" ca="1" si="34"/>
        <v>54.758320126782884</v>
      </c>
      <c r="S103" s="142">
        <f t="shared" ca="1" si="35"/>
        <v>0</v>
      </c>
      <c r="T103" s="142">
        <f t="shared" ca="1" si="36"/>
        <v>0</v>
      </c>
    </row>
    <row r="104" spans="3:20">
      <c r="C104" s="313">
        <f t="shared" ca="1" si="38"/>
        <v>25.24</v>
      </c>
      <c r="D104" s="2">
        <v>74</v>
      </c>
      <c r="E104" s="2" t="s">
        <v>401</v>
      </c>
      <c r="F104" s="2">
        <v>1</v>
      </c>
      <c r="G104" s="39">
        <f t="array" aca="1" ref="G104" ca="1">INDIRECT($A$3&amp;"!"&amp;$E104&amp;G$28)</f>
        <v>44951</v>
      </c>
      <c r="H104" s="2" t="str">
        <f t="array" aca="1" ref="H104" ca="1">INDIRECT($A$3&amp;"!"&amp;$E104&amp;H$28)</f>
        <v>Hanoi</v>
      </c>
      <c r="I104" s="142">
        <f t="shared" ca="1" si="37"/>
        <v>26.941362916006341</v>
      </c>
      <c r="J104" s="142">
        <f t="shared" ca="1" si="37"/>
        <v>23.062599049128369</v>
      </c>
      <c r="K104" s="142">
        <f t="shared" ca="1" si="37"/>
        <v>0</v>
      </c>
      <c r="L104" s="142">
        <f t="shared" ca="1" si="37"/>
        <v>0</v>
      </c>
      <c r="M104" s="142">
        <f t="shared" ca="1" si="37"/>
        <v>0</v>
      </c>
      <c r="N104" s="142">
        <f t="shared" ca="1" si="37"/>
        <v>0</v>
      </c>
      <c r="O104" s="142"/>
      <c r="P104" s="142">
        <f t="shared" ca="1" si="22"/>
        <v>50.003961965134707</v>
      </c>
      <c r="Q104" s="142"/>
      <c r="R104" s="142">
        <f t="shared" ca="1" si="34"/>
        <v>50.003961965134707</v>
      </c>
      <c r="S104" s="142">
        <f t="shared" ca="1" si="35"/>
        <v>0</v>
      </c>
      <c r="T104" s="142">
        <f t="shared" ca="1" si="36"/>
        <v>0</v>
      </c>
    </row>
    <row r="105" spans="3:20">
      <c r="C105" s="313">
        <f t="shared" ca="1" si="38"/>
        <v>25.24</v>
      </c>
      <c r="D105" s="2">
        <v>75</v>
      </c>
      <c r="E105" s="2" t="s">
        <v>402</v>
      </c>
      <c r="F105" s="2">
        <v>1</v>
      </c>
      <c r="G105" s="39">
        <f t="array" aca="1" ref="G105" ca="1">INDIRECT($A$3&amp;"!"&amp;$E105&amp;G$28)</f>
        <v>44952</v>
      </c>
      <c r="H105" s="2" t="str">
        <f t="array" aca="1" ref="H105" ca="1">INDIRECT($A$3&amp;"!"&amp;$E105&amp;H$28)</f>
        <v>Hanoi</v>
      </c>
      <c r="I105" s="142">
        <f t="shared" ca="1" si="37"/>
        <v>9.5087163232963547</v>
      </c>
      <c r="J105" s="142">
        <f t="shared" ca="1" si="37"/>
        <v>15.33676703645008</v>
      </c>
      <c r="K105" s="142">
        <f t="shared" ca="1" si="37"/>
        <v>0</v>
      </c>
      <c r="L105" s="142">
        <f t="shared" ca="1" si="37"/>
        <v>0</v>
      </c>
      <c r="M105" s="142">
        <f t="shared" ca="1" si="37"/>
        <v>0</v>
      </c>
      <c r="N105" s="142">
        <f t="shared" ca="1" si="37"/>
        <v>0</v>
      </c>
      <c r="O105" s="142"/>
      <c r="P105" s="142">
        <f t="shared" ca="1" si="22"/>
        <v>24.845483359746435</v>
      </c>
      <c r="Q105" s="142"/>
      <c r="R105" s="142">
        <f t="shared" ca="1" si="34"/>
        <v>24.845483359746435</v>
      </c>
      <c r="S105" s="142">
        <f t="shared" ca="1" si="35"/>
        <v>0</v>
      </c>
      <c r="T105" s="142">
        <f t="shared" ca="1" si="36"/>
        <v>0</v>
      </c>
    </row>
    <row r="106" spans="3:20">
      <c r="C106" s="313">
        <f t="shared" ca="1" si="38"/>
        <v>25.24</v>
      </c>
      <c r="D106" s="2">
        <v>76</v>
      </c>
      <c r="E106" s="2" t="s">
        <v>403</v>
      </c>
      <c r="F106" s="2">
        <v>1</v>
      </c>
      <c r="G106" s="39">
        <f t="array" aca="1" ref="G106" ca="1">INDIRECT($A$3&amp;"!"&amp;$E106&amp;G$28)</f>
        <v>44953</v>
      </c>
      <c r="H106" s="2" t="str">
        <f t="array" aca="1" ref="H106" ca="1">INDIRECT($A$3&amp;"!"&amp;$E106&amp;H$28)</f>
        <v>Hanoi</v>
      </c>
      <c r="I106" s="142">
        <f t="shared" ca="1" si="37"/>
        <v>21.473851030110936</v>
      </c>
      <c r="J106" s="142">
        <f t="shared" ca="1" si="37"/>
        <v>19.298732171156896</v>
      </c>
      <c r="K106" s="142">
        <f t="shared" ca="1" si="37"/>
        <v>15.847860538827259</v>
      </c>
      <c r="L106" s="142">
        <f t="shared" ca="1" si="37"/>
        <v>0</v>
      </c>
      <c r="M106" s="142">
        <f t="shared" ca="1" si="37"/>
        <v>0</v>
      </c>
      <c r="N106" s="142">
        <f t="shared" ca="1" si="37"/>
        <v>0</v>
      </c>
      <c r="O106" s="142"/>
      <c r="P106" s="142">
        <f t="shared" ca="1" si="22"/>
        <v>56.620443740095098</v>
      </c>
      <c r="Q106" s="142"/>
      <c r="R106" s="142">
        <f t="shared" ca="1" si="34"/>
        <v>40.772583201267835</v>
      </c>
      <c r="S106" s="142">
        <f t="shared" ca="1" si="35"/>
        <v>0</v>
      </c>
      <c r="T106" s="142">
        <f t="shared" ca="1" si="36"/>
        <v>0</v>
      </c>
    </row>
    <row r="107" spans="3:20">
      <c r="C107" s="313">
        <f t="shared" ca="1" si="38"/>
        <v>25.24</v>
      </c>
      <c r="D107" s="2">
        <v>77</v>
      </c>
      <c r="E107" s="2" t="s">
        <v>404</v>
      </c>
      <c r="F107" s="2">
        <v>1</v>
      </c>
      <c r="G107" s="39">
        <f t="array" aca="1" ref="G107" ca="1">INDIRECT($A$3&amp;"!"&amp;$E107&amp;G$28)</f>
        <v>44954</v>
      </c>
      <c r="H107" s="2" t="str">
        <f t="array" aca="1" ref="H107" ca="1">INDIRECT($A$3&amp;"!"&amp;$E107&amp;H$28)</f>
        <v>Hanoi</v>
      </c>
      <c r="I107" s="142">
        <f t="shared" ca="1" si="37"/>
        <v>15.451664025356578</v>
      </c>
      <c r="J107" s="142">
        <f t="shared" ca="1" si="37"/>
        <v>15.33676703645008</v>
      </c>
      <c r="K107" s="142">
        <f t="shared" ca="1" si="37"/>
        <v>0</v>
      </c>
      <c r="L107" s="142">
        <f t="shared" ca="1" si="37"/>
        <v>0</v>
      </c>
      <c r="M107" s="142">
        <f t="shared" ca="1" si="37"/>
        <v>0</v>
      </c>
      <c r="N107" s="142">
        <f t="shared" ca="1" si="37"/>
        <v>0</v>
      </c>
      <c r="O107" s="142"/>
      <c r="P107" s="142">
        <f t="shared" ca="1" si="22"/>
        <v>30.788431061806659</v>
      </c>
      <c r="Q107" s="142"/>
      <c r="R107" s="142">
        <f t="shared" ca="1" si="34"/>
        <v>30.788431061806659</v>
      </c>
      <c r="S107" s="142">
        <f t="shared" ca="1" si="35"/>
        <v>0</v>
      </c>
      <c r="T107" s="142">
        <f t="shared" ca="1" si="36"/>
        <v>0</v>
      </c>
    </row>
    <row r="108" spans="3:20">
      <c r="C108" s="313">
        <f t="shared" ca="1" si="38"/>
        <v>25.24</v>
      </c>
      <c r="D108" s="2">
        <v>78</v>
      </c>
      <c r="E108" s="2" t="s">
        <v>405</v>
      </c>
      <c r="F108" s="2">
        <v>1</v>
      </c>
      <c r="G108" s="39">
        <f t="array" aca="1" ref="G108" ca="1">INDIRECT($A$3&amp;"!"&amp;$E108&amp;G$28)</f>
        <v>44955</v>
      </c>
      <c r="H108" s="2" t="str">
        <f t="array" aca="1" ref="H108" ca="1">INDIRECT($A$3&amp;"!"&amp;$E108&amp;H$28)</f>
        <v>Hanoi</v>
      </c>
      <c r="I108" s="142">
        <f t="shared" ca="1" si="37"/>
        <v>21.55309033280507</v>
      </c>
      <c r="J108" s="142">
        <f t="shared" ca="1" si="37"/>
        <v>15.33676703645008</v>
      </c>
      <c r="K108" s="142">
        <f t="shared" ca="1" si="37"/>
        <v>0</v>
      </c>
      <c r="L108" s="142">
        <f t="shared" ca="1" si="37"/>
        <v>0</v>
      </c>
      <c r="M108" s="142">
        <f t="shared" ca="1" si="37"/>
        <v>0</v>
      </c>
      <c r="N108" s="142">
        <f t="shared" ca="1" si="37"/>
        <v>0</v>
      </c>
      <c r="O108" s="142"/>
      <c r="P108" s="142">
        <f t="shared" ca="1" si="22"/>
        <v>36.889857369255154</v>
      </c>
      <c r="Q108" s="142"/>
      <c r="R108" s="142">
        <f t="shared" ca="1" si="34"/>
        <v>36.889857369255154</v>
      </c>
      <c r="S108" s="142">
        <f t="shared" ca="1" si="35"/>
        <v>0</v>
      </c>
      <c r="T108" s="142">
        <f t="shared" ca="1" si="36"/>
        <v>0</v>
      </c>
    </row>
    <row r="109" spans="3:20">
      <c r="C109" s="313">
        <f t="shared" ca="1" si="38"/>
        <v>25.24</v>
      </c>
      <c r="D109" s="2">
        <v>79</v>
      </c>
      <c r="E109" s="2" t="s">
        <v>406</v>
      </c>
      <c r="F109" s="2">
        <v>1</v>
      </c>
      <c r="G109" s="39">
        <f t="array" aca="1" ref="G109" ca="1">INDIRECT($A$3&amp;"!"&amp;$E109&amp;G$28)</f>
        <v>44956</v>
      </c>
      <c r="H109" s="2" t="str">
        <f t="array" aca="1" ref="H109" ca="1">INDIRECT($A$3&amp;"!"&amp;$E109&amp;H$28)</f>
        <v>Hanoi</v>
      </c>
      <c r="I109" s="142">
        <f t="shared" ca="1" si="37"/>
        <v>11.687797147385103</v>
      </c>
      <c r="J109" s="142">
        <f t="shared" ca="1" si="37"/>
        <v>15.33676703645008</v>
      </c>
      <c r="K109" s="142">
        <f t="shared" ca="1" si="37"/>
        <v>0</v>
      </c>
      <c r="L109" s="142">
        <f t="shared" ca="1" si="37"/>
        <v>0</v>
      </c>
      <c r="M109" s="142">
        <f t="shared" ca="1" si="37"/>
        <v>0</v>
      </c>
      <c r="N109" s="142">
        <f t="shared" ca="1" si="37"/>
        <v>0</v>
      </c>
      <c r="O109" s="142"/>
      <c r="P109" s="142">
        <f t="shared" ca="1" si="22"/>
        <v>27.024564183835182</v>
      </c>
      <c r="Q109" s="142"/>
      <c r="R109" s="142">
        <f t="shared" ca="1" si="34"/>
        <v>27.024564183835182</v>
      </c>
      <c r="S109" s="142">
        <f t="shared" ca="1" si="35"/>
        <v>0</v>
      </c>
      <c r="T109" s="142">
        <f t="shared" ca="1" si="36"/>
        <v>0</v>
      </c>
    </row>
    <row r="110" spans="3:20">
      <c r="C110" s="313">
        <f t="shared" ca="1" si="38"/>
        <v>25.24</v>
      </c>
      <c r="D110" s="2">
        <v>80</v>
      </c>
      <c r="E110" s="2" t="s">
        <v>407</v>
      </c>
      <c r="F110" s="2">
        <v>1</v>
      </c>
      <c r="G110" s="39">
        <f t="array" aca="1" ref="G110" ca="1">INDIRECT($A$3&amp;"!"&amp;$E110&amp;G$28)</f>
        <v>44957</v>
      </c>
      <c r="H110" s="2" t="str">
        <f t="array" aca="1" ref="H110" ca="1">INDIRECT($A$3&amp;"!"&amp;$E110&amp;H$28)</f>
        <v>Hanoi</v>
      </c>
      <c r="I110" s="142">
        <f t="shared" ca="1" si="37"/>
        <v>39.263074484944539</v>
      </c>
      <c r="J110" s="142">
        <f t="shared" ca="1" si="37"/>
        <v>67.076069730586369</v>
      </c>
      <c r="K110" s="142">
        <f t="shared" ca="1" si="37"/>
        <v>0</v>
      </c>
      <c r="L110" s="142">
        <f t="shared" ca="1" si="37"/>
        <v>0</v>
      </c>
      <c r="M110" s="142">
        <f t="shared" ca="1" si="37"/>
        <v>0</v>
      </c>
      <c r="N110" s="142">
        <f t="shared" ca="1" si="37"/>
        <v>0</v>
      </c>
      <c r="O110" s="142"/>
      <c r="P110" s="142">
        <f t="shared" ca="1" si="22"/>
        <v>106.33914421553091</v>
      </c>
      <c r="Q110" s="142"/>
      <c r="R110" s="142">
        <f t="shared" ca="1" si="34"/>
        <v>106.33914421553091</v>
      </c>
      <c r="S110" s="142">
        <f t="shared" ca="1" si="35"/>
        <v>0</v>
      </c>
      <c r="T110" s="142">
        <f t="shared" ca="1" si="36"/>
        <v>0</v>
      </c>
    </row>
    <row r="111" spans="3:20">
      <c r="C111" s="313">
        <f t="shared" ca="1" si="38"/>
        <v>25.24</v>
      </c>
      <c r="D111" s="2">
        <v>81</v>
      </c>
      <c r="E111" s="2" t="s">
        <v>408</v>
      </c>
      <c r="F111" s="2">
        <v>1</v>
      </c>
      <c r="G111" s="39">
        <f t="array" aca="1" ref="G111" ca="1">INDIRECT($A$3&amp;"!"&amp;$E111&amp;G$28)</f>
        <v>44958</v>
      </c>
      <c r="H111" s="2" t="str">
        <f t="array" aca="1" ref="H111" ca="1">INDIRECT($A$3&amp;"!"&amp;$E111&amp;H$28)</f>
        <v>Hanoi</v>
      </c>
      <c r="I111" s="142">
        <f t="shared" ca="1" si="37"/>
        <v>13.391442155309035</v>
      </c>
      <c r="J111" s="142">
        <f t="shared" ca="1" si="37"/>
        <v>40.751584786053883</v>
      </c>
      <c r="K111" s="142">
        <f t="shared" ca="1" si="37"/>
        <v>0</v>
      </c>
      <c r="L111" s="142">
        <f t="shared" ca="1" si="37"/>
        <v>0</v>
      </c>
      <c r="M111" s="142">
        <f t="shared" ca="1" si="37"/>
        <v>0</v>
      </c>
      <c r="N111" s="142">
        <f t="shared" ca="1" si="37"/>
        <v>0</v>
      </c>
      <c r="O111" s="142"/>
      <c r="P111" s="142">
        <f t="shared" ca="1" si="22"/>
        <v>54.143026941362919</v>
      </c>
      <c r="Q111" s="142"/>
      <c r="R111" s="142">
        <f t="shared" ca="1" si="34"/>
        <v>54.143026941362919</v>
      </c>
      <c r="S111" s="142">
        <f t="shared" ca="1" si="35"/>
        <v>0</v>
      </c>
      <c r="T111" s="142">
        <f t="shared" ca="1" si="36"/>
        <v>0</v>
      </c>
    </row>
    <row r="112" spans="3:20">
      <c r="C112" s="313">
        <f t="shared" ca="1" si="38"/>
        <v>25.24</v>
      </c>
      <c r="D112" s="2">
        <v>82</v>
      </c>
      <c r="E112" s="2" t="s">
        <v>409</v>
      </c>
      <c r="F112" s="2">
        <v>1</v>
      </c>
      <c r="G112" s="39">
        <f t="array" aca="1" ref="G112" ca="1">INDIRECT($A$3&amp;"!"&amp;$E112&amp;G$28)</f>
        <v>44959</v>
      </c>
      <c r="H112" s="2" t="str">
        <f t="array" aca="1" ref="H112" ca="1">INDIRECT($A$3&amp;"!"&amp;$E112&amp;H$28)</f>
        <v>Hanoi</v>
      </c>
      <c r="I112" s="142">
        <f t="shared" ca="1" si="37"/>
        <v>12.123613312202853</v>
      </c>
      <c r="J112" s="142">
        <f t="shared" ca="1" si="37"/>
        <v>18.168383518225042</v>
      </c>
      <c r="K112" s="142">
        <f t="shared" ca="1" si="37"/>
        <v>19.809825673534075</v>
      </c>
      <c r="L112" s="142">
        <f t="shared" ca="1" si="37"/>
        <v>0</v>
      </c>
      <c r="M112" s="142">
        <f t="shared" ca="1" si="37"/>
        <v>0</v>
      </c>
      <c r="N112" s="142">
        <f t="shared" ca="1" si="37"/>
        <v>0</v>
      </c>
      <c r="O112" s="142"/>
      <c r="P112" s="142">
        <f t="shared" ca="1" si="22"/>
        <v>50.101822503961969</v>
      </c>
      <c r="Q112" s="142"/>
      <c r="R112" s="142">
        <f t="shared" ca="1" si="34"/>
        <v>30.291996830427895</v>
      </c>
      <c r="S112" s="142">
        <f t="shared" ca="1" si="35"/>
        <v>0</v>
      </c>
      <c r="T112" s="142">
        <f t="shared" ca="1" si="36"/>
        <v>0</v>
      </c>
    </row>
    <row r="113" spans="3:20">
      <c r="C113" s="313">
        <f t="shared" ca="1" si="38"/>
        <v>25.24</v>
      </c>
      <c r="D113" s="2">
        <v>83</v>
      </c>
      <c r="E113" s="2" t="s">
        <v>410</v>
      </c>
      <c r="F113" s="2">
        <v>1</v>
      </c>
      <c r="G113" s="39">
        <f t="array" aca="1" ref="G113" ca="1">INDIRECT($A$3&amp;"!"&amp;$E113&amp;G$28)</f>
        <v>44960</v>
      </c>
      <c r="H113" s="2" t="str">
        <f t="array" aca="1" ref="H113" ca="1">INDIRECT($A$3&amp;"!"&amp;$E113&amp;H$28)</f>
        <v>Hanoi</v>
      </c>
      <c r="I113" s="142">
        <f t="shared" ca="1" si="37"/>
        <v>8.1616481774960388</v>
      </c>
      <c r="J113" s="142">
        <f t="shared" ca="1" si="37"/>
        <v>16.979793977812996</v>
      </c>
      <c r="K113" s="142">
        <f t="shared" ca="1" si="37"/>
        <v>0</v>
      </c>
      <c r="L113" s="142">
        <f t="shared" ca="1" si="37"/>
        <v>0</v>
      </c>
      <c r="M113" s="142">
        <f t="shared" ca="1" si="37"/>
        <v>0</v>
      </c>
      <c r="N113" s="142">
        <f t="shared" ca="1" si="37"/>
        <v>0</v>
      </c>
      <c r="O113" s="142"/>
      <c r="P113" s="142">
        <f t="shared" ca="1" si="22"/>
        <v>25.141442155309036</v>
      </c>
      <c r="Q113" s="142"/>
      <c r="R113" s="142">
        <f t="shared" ca="1" si="34"/>
        <v>25.141442155309036</v>
      </c>
      <c r="S113" s="142">
        <f t="shared" ca="1" si="35"/>
        <v>0</v>
      </c>
      <c r="T113" s="142">
        <f t="shared" ca="1" si="36"/>
        <v>0</v>
      </c>
    </row>
    <row r="114" spans="3:20">
      <c r="C114" s="313">
        <f t="shared" ca="1" si="38"/>
        <v>25.24</v>
      </c>
      <c r="D114" s="2">
        <v>84</v>
      </c>
      <c r="E114" s="2" t="s">
        <v>411</v>
      </c>
      <c r="F114" s="2">
        <v>1</v>
      </c>
      <c r="G114" s="39">
        <f t="array" aca="1" ref="G114" ca="1">INDIRECT($A$3&amp;"!"&amp;$E114&amp;G$28)</f>
        <v>44961</v>
      </c>
      <c r="H114" s="2" t="str">
        <f t="array" aca="1" ref="H114" ca="1">INDIRECT($A$3&amp;"!"&amp;$E114&amp;H$28)</f>
        <v>Hanoi</v>
      </c>
      <c r="I114" s="142">
        <f t="shared" ref="I114:N138" ca="1" si="39">INDIRECT($A$3&amp;"!"&amp;$E114&amp;I$28+$D$26)</f>
        <v>44.492868462757535</v>
      </c>
      <c r="J114" s="142">
        <f t="shared" ca="1" si="39"/>
        <v>16.979793977812996</v>
      </c>
      <c r="K114" s="142">
        <f t="shared" ca="1" si="39"/>
        <v>0</v>
      </c>
      <c r="L114" s="142">
        <f t="shared" ca="1" si="39"/>
        <v>0</v>
      </c>
      <c r="M114" s="142">
        <f t="shared" ca="1" si="39"/>
        <v>0</v>
      </c>
      <c r="N114" s="142">
        <f t="shared" ca="1" si="39"/>
        <v>0</v>
      </c>
      <c r="O114" s="142"/>
      <c r="P114" s="142">
        <f t="shared" ca="1" si="22"/>
        <v>61.472662440570531</v>
      </c>
      <c r="Q114" s="142"/>
      <c r="R114" s="142">
        <f ca="1">SUM(I114:J114)</f>
        <v>61.472662440570531</v>
      </c>
      <c r="S114" s="142">
        <f ca="1">SUM(L114:M114)</f>
        <v>0</v>
      </c>
      <c r="T114" s="142">
        <f ca="1">SUM(M114:N114)</f>
        <v>0</v>
      </c>
    </row>
    <row r="115" spans="3:20">
      <c r="C115" s="313">
        <f t="shared" ca="1" si="38"/>
        <v>25.24</v>
      </c>
      <c r="D115" s="2">
        <v>85</v>
      </c>
      <c r="E115" s="2" t="s">
        <v>412</v>
      </c>
      <c r="F115" s="2">
        <v>1</v>
      </c>
      <c r="G115" s="39">
        <f t="array" aca="1" ref="G115" ca="1">INDIRECT($A$3&amp;"!"&amp;$E115&amp;G$28)</f>
        <v>44962</v>
      </c>
      <c r="H115" s="2" t="str">
        <f t="array" aca="1" ref="H115" ca="1">INDIRECT($A$3&amp;"!"&amp;$E115&amp;H$28)</f>
        <v>Hanoi</v>
      </c>
      <c r="I115" s="142">
        <f t="shared" ca="1" si="39"/>
        <v>25.554675118858952</v>
      </c>
      <c r="J115" s="142">
        <f t="shared" ca="1" si="39"/>
        <v>16.979793977812996</v>
      </c>
      <c r="K115" s="142">
        <f t="shared" ca="1" si="39"/>
        <v>0</v>
      </c>
      <c r="L115" s="142">
        <f t="shared" ca="1" si="39"/>
        <v>0</v>
      </c>
      <c r="M115" s="142">
        <f t="shared" ca="1" si="39"/>
        <v>19.809825673534075</v>
      </c>
      <c r="N115" s="142">
        <f t="shared" ca="1" si="39"/>
        <v>0</v>
      </c>
      <c r="O115" s="142"/>
      <c r="P115" s="142">
        <f t="shared" ca="1" si="22"/>
        <v>62.34429477020602</v>
      </c>
      <c r="Q115" s="142"/>
      <c r="R115" s="142">
        <f t="shared" ref="R115:R121" ca="1" si="40">SUM(I115:J115)</f>
        <v>42.534469096671948</v>
      </c>
      <c r="S115" s="142">
        <f t="shared" ref="S115:S121" ca="1" si="41">SUM(L115:M115)</f>
        <v>19.809825673534075</v>
      </c>
      <c r="T115" s="142">
        <f t="shared" ref="T115:T121" ca="1" si="42">SUM(M115:N115)</f>
        <v>19.809825673534075</v>
      </c>
    </row>
    <row r="116" spans="3:20">
      <c r="C116" s="313">
        <f t="shared" ca="1" si="38"/>
        <v>25.24</v>
      </c>
      <c r="D116" s="2">
        <v>86</v>
      </c>
      <c r="E116" s="2" t="s">
        <v>413</v>
      </c>
      <c r="F116" s="2">
        <v>1</v>
      </c>
      <c r="G116" s="39">
        <f t="array" aca="1" ref="G116" ca="1">INDIRECT($A$3&amp;"!"&amp;$E116&amp;G$28)</f>
        <v>44963</v>
      </c>
      <c r="H116" s="2" t="str">
        <f t="array" aca="1" ref="H116" ca="1">INDIRECT($A$3&amp;"!"&amp;$E116&amp;H$28)</f>
        <v>Thaïlande</v>
      </c>
      <c r="I116" s="142">
        <f t="shared" ca="1" si="39"/>
        <v>39.482783460596465</v>
      </c>
      <c r="J116" s="142">
        <f t="shared" ca="1" si="39"/>
        <v>27.569046246938484</v>
      </c>
      <c r="K116" s="142">
        <f t="shared" ca="1" si="39"/>
        <v>72.023003889929399</v>
      </c>
      <c r="L116" s="142">
        <f t="shared" ca="1" si="39"/>
        <v>382.76184987753925</v>
      </c>
      <c r="M116" s="142">
        <f t="shared" ca="1" si="39"/>
        <v>0</v>
      </c>
      <c r="N116" s="142">
        <f t="shared" ca="1" si="39"/>
        <v>0</v>
      </c>
      <c r="O116" s="142"/>
      <c r="P116" s="142">
        <f t="shared" ca="1" si="22"/>
        <v>521.83668347500361</v>
      </c>
      <c r="Q116" s="142"/>
      <c r="R116" s="142">
        <f t="shared" ca="1" si="40"/>
        <v>67.051829707534949</v>
      </c>
      <c r="S116" s="142">
        <f t="shared" ca="1" si="41"/>
        <v>382.76184987753925</v>
      </c>
      <c r="T116" s="142">
        <f t="shared" ca="1" si="42"/>
        <v>0</v>
      </c>
    </row>
    <row r="117" spans="3:20">
      <c r="C117" s="313">
        <f t="shared" ca="1" si="38"/>
        <v>25.24</v>
      </c>
      <c r="D117" s="2">
        <v>87</v>
      </c>
      <c r="E117" s="2" t="s">
        <v>414</v>
      </c>
      <c r="F117" s="2">
        <v>1</v>
      </c>
      <c r="G117" s="39">
        <f t="array" aca="1" ref="G117" ca="1">INDIRECT($A$3&amp;"!"&amp;$E117&amp;G$28)</f>
        <v>44964</v>
      </c>
      <c r="H117" s="2" t="str">
        <f t="array" aca="1" ref="H117" ca="1">INDIRECT($A$3&amp;"!"&amp;$E117&amp;H$28)</f>
        <v>Thaïlande</v>
      </c>
      <c r="I117" s="142">
        <f t="shared" ca="1" si="39"/>
        <v>35.186572539979835</v>
      </c>
      <c r="J117" s="142">
        <f t="shared" ca="1" si="39"/>
        <v>18.643819334389857</v>
      </c>
      <c r="K117" s="142">
        <f t="shared" ca="1" si="39"/>
        <v>60.510012966431354</v>
      </c>
      <c r="L117" s="142">
        <f t="shared" ca="1" si="39"/>
        <v>23.296354992076072</v>
      </c>
      <c r="M117" s="142">
        <f t="shared" ca="1" si="39"/>
        <v>0</v>
      </c>
      <c r="N117" s="142">
        <f t="shared" ca="1" si="39"/>
        <v>0</v>
      </c>
      <c r="O117" s="142"/>
      <c r="P117" s="142">
        <f t="shared" ca="1" si="22"/>
        <v>137.63675983287712</v>
      </c>
      <c r="Q117" s="142"/>
      <c r="R117" s="142">
        <f t="shared" ca="1" si="40"/>
        <v>53.830391874369695</v>
      </c>
      <c r="S117" s="142">
        <f t="shared" ca="1" si="41"/>
        <v>23.296354992076072</v>
      </c>
      <c r="T117" s="142">
        <f t="shared" ca="1" si="42"/>
        <v>0</v>
      </c>
    </row>
    <row r="118" spans="3:20">
      <c r="C118" s="313">
        <f t="shared" ca="1" si="38"/>
        <v>25.24</v>
      </c>
      <c r="D118" s="2">
        <v>88</v>
      </c>
      <c r="E118" s="2" t="s">
        <v>415</v>
      </c>
      <c r="F118" s="2">
        <v>1</v>
      </c>
      <c r="G118" s="39">
        <f t="array" aca="1" ref="G118" ca="1">INDIRECT($A$3&amp;"!"&amp;$E118&amp;G$28)</f>
        <v>44965</v>
      </c>
      <c r="H118" s="2" t="str">
        <f t="array" aca="1" ref="H118" ca="1">INDIRECT($A$3&amp;"!"&amp;$E118&amp;H$28)</f>
        <v>Thaïlande</v>
      </c>
      <c r="I118" s="142">
        <f t="shared" ca="1" si="39"/>
        <v>55.578446909667193</v>
      </c>
      <c r="J118" s="142">
        <f t="shared" ca="1" si="39"/>
        <v>16.979793977812996</v>
      </c>
      <c r="K118" s="142">
        <f t="shared" ca="1" si="39"/>
        <v>90.765019449647042</v>
      </c>
      <c r="L118" s="142">
        <f t="shared" ca="1" si="39"/>
        <v>0</v>
      </c>
      <c r="M118" s="142">
        <f t="shared" ca="1" si="39"/>
        <v>10.589252269125488</v>
      </c>
      <c r="N118" s="142">
        <f t="shared" ca="1" si="39"/>
        <v>0</v>
      </c>
      <c r="O118" s="142"/>
      <c r="P118" s="142">
        <f t="shared" ca="1" si="22"/>
        <v>173.91251260625273</v>
      </c>
      <c r="Q118" s="142"/>
      <c r="R118" s="142">
        <f t="shared" ca="1" si="40"/>
        <v>72.558240887480196</v>
      </c>
      <c r="S118" s="142">
        <f t="shared" ca="1" si="41"/>
        <v>10.589252269125488</v>
      </c>
      <c r="T118" s="142">
        <f t="shared" ca="1" si="42"/>
        <v>10.589252269125488</v>
      </c>
    </row>
    <row r="119" spans="3:20">
      <c r="C119" s="313">
        <f t="shared" ca="1" si="38"/>
        <v>25.24</v>
      </c>
      <c r="D119" s="2">
        <v>89</v>
      </c>
      <c r="E119" s="2" t="s">
        <v>416</v>
      </c>
      <c r="F119" s="2">
        <v>1</v>
      </c>
      <c r="G119" s="39">
        <f t="array" aca="1" ref="G119" ca="1">INDIRECT($A$3&amp;"!"&amp;$E119&amp;G$28)</f>
        <v>44966</v>
      </c>
      <c r="H119" s="2" t="str">
        <f t="array" aca="1" ref="H119" ca="1">INDIRECT($A$3&amp;"!"&amp;$E119&amp;H$28)</f>
        <v>Thaïlande</v>
      </c>
      <c r="I119" s="142">
        <f t="shared" ca="1" si="39"/>
        <v>25.595735484800464</v>
      </c>
      <c r="J119" s="142">
        <f t="shared" ca="1" si="39"/>
        <v>22.123145079959659</v>
      </c>
      <c r="K119" s="142">
        <f t="shared" ca="1" si="39"/>
        <v>72.612015559717634</v>
      </c>
      <c r="L119" s="142">
        <f t="shared" ca="1" si="39"/>
        <v>8.652931854199684</v>
      </c>
      <c r="M119" s="142">
        <f t="shared" ca="1" si="39"/>
        <v>0</v>
      </c>
      <c r="N119" s="142">
        <f t="shared" ca="1" si="39"/>
        <v>0</v>
      </c>
      <c r="O119" s="142"/>
      <c r="P119" s="142">
        <f t="shared" ca="1" si="22"/>
        <v>128.98382797867745</v>
      </c>
      <c r="Q119" s="142"/>
      <c r="R119" s="142">
        <f t="shared" ca="1" si="40"/>
        <v>47.718880564760127</v>
      </c>
      <c r="S119" s="142">
        <f t="shared" ca="1" si="41"/>
        <v>8.652931854199684</v>
      </c>
      <c r="T119" s="142">
        <f t="shared" ca="1" si="42"/>
        <v>0</v>
      </c>
    </row>
    <row r="120" spans="3:20">
      <c r="C120" s="313">
        <f t="shared" ca="1" si="38"/>
        <v>25.24</v>
      </c>
      <c r="D120" s="2">
        <v>90</v>
      </c>
      <c r="E120" s="2" t="s">
        <v>417</v>
      </c>
      <c r="F120" s="2">
        <v>1</v>
      </c>
      <c r="G120" s="39">
        <f t="array" aca="1" ref="G120" ca="1">INDIRECT($A$3&amp;"!"&amp;$E120&amp;G$28)</f>
        <v>44967</v>
      </c>
      <c r="H120" s="2" t="str">
        <f t="array" aca="1" ref="H120" ca="1">INDIRECT($A$3&amp;"!"&amp;$E120&amp;H$28)</f>
        <v>Thaïlande</v>
      </c>
      <c r="I120" s="142">
        <f t="shared" ca="1" si="39"/>
        <v>26.896700763578735</v>
      </c>
      <c r="J120" s="142">
        <f t="shared" ca="1" si="39"/>
        <v>19.702744561302406</v>
      </c>
      <c r="K120" s="142">
        <f t="shared" ca="1" si="39"/>
        <v>100.44662152427605</v>
      </c>
      <c r="L120" s="142">
        <f t="shared" ca="1" si="39"/>
        <v>99.049128367670377</v>
      </c>
      <c r="M120" s="142">
        <f t="shared" ca="1" si="39"/>
        <v>0</v>
      </c>
      <c r="N120" s="142">
        <f t="shared" ca="1" si="39"/>
        <v>0</v>
      </c>
      <c r="O120" s="142"/>
      <c r="P120" s="142">
        <f t="shared" ca="1" si="22"/>
        <v>246.09519521682756</v>
      </c>
      <c r="Q120" s="142"/>
      <c r="R120" s="142">
        <f t="shared" ca="1" si="40"/>
        <v>46.599445324881145</v>
      </c>
      <c r="S120" s="142">
        <f t="shared" ca="1" si="41"/>
        <v>99.049128367670377</v>
      </c>
      <c r="T120" s="142">
        <f t="shared" ca="1" si="42"/>
        <v>0</v>
      </c>
    </row>
    <row r="121" spans="3:20">
      <c r="C121" s="313">
        <f t="shared" ca="1" si="38"/>
        <v>25.24</v>
      </c>
      <c r="D121" s="2">
        <v>91</v>
      </c>
      <c r="E121" s="2" t="s">
        <v>418</v>
      </c>
      <c r="F121" s="2">
        <v>1</v>
      </c>
      <c r="G121" s="39">
        <f t="array" aca="1" ref="G121" ca="1">INDIRECT($A$3&amp;"!"&amp;$E121&amp;G$28)</f>
        <v>44968</v>
      </c>
      <c r="H121" s="2" t="str">
        <f t="array" aca="1" ref="H121" ca="1">INDIRECT($A$3&amp;"!"&amp;$E121&amp;H$28)</f>
        <v>Hanoi</v>
      </c>
      <c r="I121" s="142">
        <f t="shared" ca="1" si="39"/>
        <v>21.210920616625863</v>
      </c>
      <c r="J121" s="142">
        <f t="shared" ca="1" si="39"/>
        <v>20.428864716899582</v>
      </c>
      <c r="K121" s="142">
        <f t="shared" ca="1" si="39"/>
        <v>0</v>
      </c>
      <c r="L121" s="142">
        <f t="shared" ca="1" si="39"/>
        <v>12.888632761849879</v>
      </c>
      <c r="M121" s="142">
        <f t="shared" ca="1" si="39"/>
        <v>0</v>
      </c>
      <c r="N121" s="142">
        <f t="shared" ca="1" si="39"/>
        <v>0</v>
      </c>
      <c r="O121" s="142"/>
      <c r="P121" s="142">
        <f t="shared" ca="1" si="22"/>
        <v>54.528418095375322</v>
      </c>
      <c r="Q121" s="142"/>
      <c r="R121" s="142">
        <f t="shared" ca="1" si="40"/>
        <v>41.639785333525445</v>
      </c>
      <c r="S121" s="142">
        <f t="shared" ca="1" si="41"/>
        <v>12.888632761849879</v>
      </c>
      <c r="T121" s="142">
        <f t="shared" ca="1" si="42"/>
        <v>0</v>
      </c>
    </row>
    <row r="122" spans="3:20">
      <c r="C122" s="313">
        <f t="shared" ca="1" si="38"/>
        <v>25.24</v>
      </c>
      <c r="D122" s="2">
        <v>92</v>
      </c>
      <c r="E122" s="2" t="s">
        <v>419</v>
      </c>
      <c r="F122" s="2">
        <v>1</v>
      </c>
      <c r="G122" s="39">
        <f t="array" aca="1" ref="G122" ca="1">INDIRECT($A$3&amp;"!"&amp;$E122&amp;G$28)</f>
        <v>44969</v>
      </c>
      <c r="H122" s="2" t="str">
        <f t="array" aca="1" ref="H122" ca="1">INDIRECT($A$3&amp;"!"&amp;$E122&amp;H$28)</f>
        <v>Hanoi</v>
      </c>
      <c r="I122" s="142">
        <f t="shared" ca="1" si="39"/>
        <v>21.19651347068146</v>
      </c>
      <c r="J122" s="142">
        <f t="shared" ca="1" si="39"/>
        <v>16.979793977812996</v>
      </c>
      <c r="K122" s="142">
        <f t="shared" ca="1" si="39"/>
        <v>0</v>
      </c>
      <c r="L122" s="142">
        <f t="shared" ca="1" si="39"/>
        <v>0</v>
      </c>
      <c r="M122" s="142">
        <f t="shared" ca="1" si="39"/>
        <v>0</v>
      </c>
      <c r="N122" s="142">
        <f t="shared" ca="1" si="39"/>
        <v>0</v>
      </c>
      <c r="O122" s="142"/>
      <c r="P122" s="142">
        <f t="shared" ca="1" si="22"/>
        <v>38.176307448494455</v>
      </c>
      <c r="Q122" s="142"/>
      <c r="R122" s="142">
        <f ca="1">SUM(I122:J122)</f>
        <v>38.176307448494455</v>
      </c>
      <c r="S122" s="142">
        <f t="shared" ref="S122:T125" ca="1" si="43">SUM(L122:M122)</f>
        <v>0</v>
      </c>
      <c r="T122" s="142">
        <f t="shared" ca="1" si="43"/>
        <v>0</v>
      </c>
    </row>
    <row r="123" spans="3:20">
      <c r="C123" s="313">
        <f t="shared" ca="1" si="38"/>
        <v>25.24</v>
      </c>
      <c r="D123" s="2">
        <v>93</v>
      </c>
      <c r="E123" s="2" t="s">
        <v>420</v>
      </c>
      <c r="F123" s="2">
        <v>1</v>
      </c>
      <c r="G123" s="39">
        <f t="array" aca="1" ref="G123" ca="1">INDIRECT($A$3&amp;"!"&amp;$E123&amp;G$28)</f>
        <v>44970</v>
      </c>
      <c r="H123" s="2" t="str">
        <f t="array" aca="1" ref="H123" ca="1">INDIRECT($A$3&amp;"!"&amp;$E123&amp;H$28)</f>
        <v>Hanoi</v>
      </c>
      <c r="I123" s="142">
        <f t="shared" ca="1" si="39"/>
        <v>27.931854199683045</v>
      </c>
      <c r="J123" s="142">
        <f t="shared" ca="1" si="39"/>
        <v>16.979793977812996</v>
      </c>
      <c r="K123" s="142">
        <f t="shared" ca="1" si="39"/>
        <v>0</v>
      </c>
      <c r="L123" s="142">
        <f t="shared" ca="1" si="39"/>
        <v>0</v>
      </c>
      <c r="M123" s="142">
        <f t="shared" ca="1" si="39"/>
        <v>0</v>
      </c>
      <c r="N123" s="142">
        <f t="shared" ca="1" si="39"/>
        <v>0</v>
      </c>
      <c r="O123" s="142"/>
      <c r="P123" s="142">
        <f t="shared" ca="1" si="22"/>
        <v>44.911648177496041</v>
      </c>
      <c r="Q123" s="142"/>
      <c r="R123" s="142">
        <f ca="1">SUM(I123:J123)</f>
        <v>44.911648177496041</v>
      </c>
      <c r="S123" s="142">
        <f t="shared" ca="1" si="43"/>
        <v>0</v>
      </c>
      <c r="T123" s="142">
        <f t="shared" ca="1" si="43"/>
        <v>0</v>
      </c>
    </row>
    <row r="124" spans="3:20">
      <c r="C124" s="313">
        <f t="shared" ca="1" si="38"/>
        <v>25.24</v>
      </c>
      <c r="D124" s="2">
        <v>94</v>
      </c>
      <c r="E124" s="2" t="s">
        <v>310</v>
      </c>
      <c r="F124" s="2">
        <v>1</v>
      </c>
      <c r="G124" s="39">
        <f t="array" aca="1" ref="G124" ca="1">INDIRECT($A$3&amp;"!"&amp;$E124&amp;G$28)</f>
        <v>44971</v>
      </c>
      <c r="H124" s="2" t="str">
        <f t="array" aca="1" ref="H124" ca="1">INDIRECT($A$3&amp;"!"&amp;$E124&amp;H$28)</f>
        <v>Hanoi</v>
      </c>
      <c r="I124" s="142">
        <f t="shared" ca="1" si="39"/>
        <v>33.874801901743268</v>
      </c>
      <c r="J124" s="142">
        <f t="shared" ca="1" si="39"/>
        <v>16.979793977812996</v>
      </c>
      <c r="K124" s="142">
        <f t="shared" ca="1" si="39"/>
        <v>5.9429477020602226</v>
      </c>
      <c r="L124" s="142">
        <f t="shared" ca="1" si="39"/>
        <v>0</v>
      </c>
      <c r="M124" s="142">
        <f t="shared" ca="1" si="39"/>
        <v>0</v>
      </c>
      <c r="N124" s="142">
        <f t="shared" ca="1" si="39"/>
        <v>0</v>
      </c>
      <c r="O124" s="142"/>
      <c r="P124" s="142">
        <f t="shared" ca="1" si="22"/>
        <v>56.797543581616488</v>
      </c>
      <c r="Q124" s="142"/>
      <c r="R124" s="142">
        <f ca="1">SUM(I124:J124)</f>
        <v>50.854595879556264</v>
      </c>
      <c r="S124" s="142">
        <f t="shared" ca="1" si="43"/>
        <v>0</v>
      </c>
      <c r="T124" s="142">
        <f t="shared" ca="1" si="43"/>
        <v>0</v>
      </c>
    </row>
    <row r="125" spans="3:20">
      <c r="C125" s="313">
        <f t="shared" ca="1" si="38"/>
        <v>25.24</v>
      </c>
      <c r="D125" s="2">
        <v>95</v>
      </c>
      <c r="E125" s="2" t="s">
        <v>311</v>
      </c>
      <c r="F125" s="2">
        <v>1</v>
      </c>
      <c r="G125" s="39">
        <f t="array" aca="1" ref="G125" ca="1">INDIRECT($A$3&amp;"!"&amp;$E125&amp;G$28)</f>
        <v>44972</v>
      </c>
      <c r="H125" s="2" t="str">
        <f t="array" aca="1" ref="H125" ca="1">INDIRECT($A$3&amp;"!"&amp;$E125&amp;H$28)</f>
        <v>Hanoi</v>
      </c>
      <c r="I125" s="142">
        <f t="shared" ca="1" si="39"/>
        <v>14.659270998415217</v>
      </c>
      <c r="J125" s="142">
        <f t="shared" ca="1" si="39"/>
        <v>16.979793977812996</v>
      </c>
      <c r="K125" s="142">
        <f t="shared" ca="1" si="39"/>
        <v>0</v>
      </c>
      <c r="L125" s="142">
        <f t="shared" ca="1" si="39"/>
        <v>0</v>
      </c>
      <c r="M125" s="142">
        <f t="shared" ca="1" si="39"/>
        <v>0</v>
      </c>
      <c r="N125" s="142">
        <f t="shared" ca="1" si="39"/>
        <v>0</v>
      </c>
      <c r="O125" s="142"/>
      <c r="P125" s="142">
        <f t="shared" ca="1" si="22"/>
        <v>31.639064976228212</v>
      </c>
      <c r="Q125" s="142"/>
      <c r="R125" s="142">
        <f ca="1">SUM(I125:J125)</f>
        <v>31.639064976228212</v>
      </c>
      <c r="S125" s="142">
        <f t="shared" ca="1" si="43"/>
        <v>0</v>
      </c>
      <c r="T125" s="142">
        <f t="shared" ca="1" si="43"/>
        <v>0</v>
      </c>
    </row>
    <row r="126" spans="3:20">
      <c r="C126" s="313">
        <f t="shared" ca="1" si="38"/>
        <v>25.24</v>
      </c>
      <c r="D126" s="2">
        <v>96</v>
      </c>
      <c r="E126" s="2" t="s">
        <v>421</v>
      </c>
      <c r="F126" s="2">
        <v>1</v>
      </c>
      <c r="G126" s="39">
        <f t="array" aca="1" ref="G126" ca="1">INDIRECT($A$3&amp;"!"&amp;$E126&amp;G$28)</f>
        <v>44973</v>
      </c>
      <c r="H126" s="2" t="str">
        <f t="array" aca="1" ref="H126" ca="1">INDIRECT($A$3&amp;"!"&amp;$E126&amp;H$28)</f>
        <v>Hanoi</v>
      </c>
      <c r="I126" s="142">
        <f t="shared" ca="1" si="39"/>
        <v>13.866877971473851</v>
      </c>
      <c r="J126" s="142">
        <f t="shared" ca="1" si="39"/>
        <v>16.979793977812996</v>
      </c>
      <c r="K126" s="142">
        <f t="shared" ca="1" si="39"/>
        <v>0</v>
      </c>
      <c r="L126" s="142">
        <f t="shared" ca="1" si="39"/>
        <v>0</v>
      </c>
      <c r="M126" s="142">
        <f t="shared" ca="1" si="39"/>
        <v>0</v>
      </c>
      <c r="N126" s="142">
        <f t="shared" ca="1" si="39"/>
        <v>0</v>
      </c>
      <c r="O126" s="142"/>
      <c r="P126" s="142">
        <f t="shared" ca="1" si="22"/>
        <v>30.846671949286847</v>
      </c>
      <c r="Q126" s="142"/>
      <c r="R126" s="142">
        <f t="shared" ref="R126:R138" ca="1" si="44">SUM(I126:J126)</f>
        <v>30.846671949286847</v>
      </c>
      <c r="S126" s="142">
        <f t="shared" ref="S126:S138" ca="1" si="45">SUM(L126:M126)</f>
        <v>0</v>
      </c>
      <c r="T126" s="142">
        <f t="shared" ref="T126:T138" ca="1" si="46">SUM(M126:N126)</f>
        <v>0</v>
      </c>
    </row>
    <row r="127" spans="3:20">
      <c r="C127" s="313">
        <f t="shared" ca="1" si="38"/>
        <v>25.24</v>
      </c>
      <c r="D127" s="2">
        <v>97</v>
      </c>
      <c r="E127" s="2" t="s">
        <v>422</v>
      </c>
      <c r="F127" s="2">
        <v>1</v>
      </c>
      <c r="G127" s="39">
        <f t="array" aca="1" ref="G127" ca="1">INDIRECT($A$3&amp;"!"&amp;$E127&amp;G$28)</f>
        <v>44974</v>
      </c>
      <c r="H127" s="2" t="str">
        <f t="array" aca="1" ref="H127" ca="1">INDIRECT($A$3&amp;"!"&amp;$E127&amp;H$28)</f>
        <v>Thai Nguyen</v>
      </c>
      <c r="I127" s="142">
        <f t="shared" ca="1" si="39"/>
        <v>67.749603803486536</v>
      </c>
      <c r="J127" s="142">
        <f t="shared" ca="1" si="39"/>
        <v>16.979793977812996</v>
      </c>
      <c r="K127" s="142">
        <f t="shared" ca="1" si="39"/>
        <v>0</v>
      </c>
      <c r="L127" s="142">
        <f t="shared" ca="1" si="39"/>
        <v>39.61965134706815</v>
      </c>
      <c r="M127" s="142">
        <f t="shared" ca="1" si="39"/>
        <v>9.9049128367670374</v>
      </c>
      <c r="N127" s="142">
        <f t="shared" ca="1" si="39"/>
        <v>0</v>
      </c>
      <c r="O127" s="142"/>
      <c r="P127" s="142">
        <f t="shared" ca="1" si="22"/>
        <v>134.25396196513472</v>
      </c>
      <c r="Q127" s="142"/>
      <c r="R127" s="142">
        <f t="shared" ca="1" si="44"/>
        <v>84.729397781299525</v>
      </c>
      <c r="S127" s="142">
        <f t="shared" ca="1" si="45"/>
        <v>49.524564183835189</v>
      </c>
      <c r="T127" s="142">
        <f t="shared" ca="1" si="46"/>
        <v>9.9049128367670374</v>
      </c>
    </row>
    <row r="128" spans="3:20">
      <c r="C128" s="313">
        <f t="shared" ca="1" si="38"/>
        <v>25.24</v>
      </c>
      <c r="D128" s="2">
        <v>98</v>
      </c>
      <c r="E128" s="2" t="s">
        <v>423</v>
      </c>
      <c r="F128" s="2">
        <v>1</v>
      </c>
      <c r="G128" s="39">
        <f t="array" aca="1" ref="G128" ca="1">INDIRECT($A$3&amp;"!"&amp;$E128&amp;G$28)</f>
        <v>44975</v>
      </c>
      <c r="H128" s="2" t="str">
        <f t="array" aca="1" ref="H128" ca="1">INDIRECT($A$3&amp;"!"&amp;$E128&amp;H$28)</f>
        <v>Hanoi</v>
      </c>
      <c r="I128" s="142">
        <f t="shared" ca="1" si="39"/>
        <v>21.19651347068146</v>
      </c>
      <c r="J128" s="142">
        <f t="shared" ca="1" si="39"/>
        <v>18.564580031695723</v>
      </c>
      <c r="K128" s="142">
        <f t="shared" ca="1" si="39"/>
        <v>0</v>
      </c>
      <c r="L128" s="142">
        <f t="shared" ca="1" si="39"/>
        <v>0</v>
      </c>
      <c r="M128" s="142">
        <f t="shared" ca="1" si="39"/>
        <v>31.695721077654518</v>
      </c>
      <c r="N128" s="142">
        <f t="shared" ca="1" si="39"/>
        <v>0</v>
      </c>
      <c r="O128" s="142"/>
      <c r="P128" s="142">
        <f t="shared" ca="1" si="22"/>
        <v>71.456814580031704</v>
      </c>
      <c r="Q128" s="142"/>
      <c r="R128" s="142">
        <f t="shared" ca="1" si="44"/>
        <v>39.761093502377179</v>
      </c>
      <c r="S128" s="142">
        <f t="shared" ca="1" si="45"/>
        <v>31.695721077654518</v>
      </c>
      <c r="T128" s="142">
        <f t="shared" ca="1" si="46"/>
        <v>31.695721077654518</v>
      </c>
    </row>
    <row r="129" spans="3:20">
      <c r="C129" s="313">
        <f t="shared" ca="1" si="38"/>
        <v>25.24</v>
      </c>
      <c r="D129" s="2">
        <v>99</v>
      </c>
      <c r="E129" s="2" t="s">
        <v>424</v>
      </c>
      <c r="F129" s="2">
        <v>1</v>
      </c>
      <c r="G129" s="39">
        <f t="array" aca="1" ref="G129" ca="1">INDIRECT($A$3&amp;"!"&amp;$E129&amp;G$28)</f>
        <v>44976</v>
      </c>
      <c r="H129" s="2" t="str">
        <f t="array" aca="1" ref="H129" ca="1">INDIRECT($A$3&amp;"!"&amp;$E129&amp;H$28)</f>
        <v>Hanoi</v>
      </c>
      <c r="I129" s="142">
        <f t="shared" ca="1" si="39"/>
        <v>15.451664025356578</v>
      </c>
      <c r="J129" s="142">
        <f t="shared" ca="1" si="39"/>
        <v>26.09231378763867</v>
      </c>
      <c r="K129" s="142">
        <f t="shared" ca="1" si="39"/>
        <v>0</v>
      </c>
      <c r="L129" s="142">
        <f t="shared" ca="1" si="39"/>
        <v>0</v>
      </c>
      <c r="M129" s="142">
        <f t="shared" ca="1" si="39"/>
        <v>55.467511885895405</v>
      </c>
      <c r="N129" s="142">
        <f t="shared" ca="1" si="39"/>
        <v>0</v>
      </c>
      <c r="O129" s="142"/>
      <c r="P129" s="142">
        <f t="shared" ca="1" si="22"/>
        <v>97.011489698890657</v>
      </c>
      <c r="Q129" s="142"/>
      <c r="R129" s="142">
        <f t="shared" ca="1" si="44"/>
        <v>41.543977812995251</v>
      </c>
      <c r="S129" s="142">
        <f t="shared" ca="1" si="45"/>
        <v>55.467511885895405</v>
      </c>
      <c r="T129" s="142">
        <f t="shared" ca="1" si="46"/>
        <v>55.467511885895405</v>
      </c>
    </row>
    <row r="130" spans="3:20">
      <c r="C130" s="313">
        <f t="shared" ca="1" si="38"/>
        <v>25.24</v>
      </c>
      <c r="D130" s="2">
        <v>100</v>
      </c>
      <c r="E130" s="2" t="s">
        <v>425</v>
      </c>
      <c r="F130" s="2">
        <v>1</v>
      </c>
      <c r="G130" s="39">
        <f t="array" aca="1" ref="G130" ca="1">INDIRECT($A$3&amp;"!"&amp;$E130&amp;G$28)</f>
        <v>44977</v>
      </c>
      <c r="H130" s="2" t="str">
        <f t="array" aca="1" ref="H130" ca="1">INDIRECT($A$3&amp;"!"&amp;$E130&amp;H$28)</f>
        <v>Hanoi</v>
      </c>
      <c r="I130" s="142">
        <f t="shared" ca="1" si="39"/>
        <v>35.93502377179081</v>
      </c>
      <c r="J130" s="142">
        <f t="shared" ca="1" si="39"/>
        <v>16.979793977812996</v>
      </c>
      <c r="K130" s="142">
        <f t="shared" ca="1" si="39"/>
        <v>0</v>
      </c>
      <c r="L130" s="142">
        <f t="shared" ca="1" si="39"/>
        <v>0</v>
      </c>
      <c r="M130" s="142">
        <f t="shared" ca="1" si="39"/>
        <v>0</v>
      </c>
      <c r="N130" s="142">
        <f t="shared" ca="1" si="39"/>
        <v>0</v>
      </c>
      <c r="O130" s="142"/>
      <c r="P130" s="142">
        <f t="shared" ca="1" si="22"/>
        <v>52.914817749603806</v>
      </c>
      <c r="Q130" s="142"/>
      <c r="R130" s="142">
        <f t="shared" ca="1" si="44"/>
        <v>52.914817749603806</v>
      </c>
      <c r="S130" s="142">
        <f t="shared" ca="1" si="45"/>
        <v>0</v>
      </c>
      <c r="T130" s="142">
        <f t="shared" ca="1" si="46"/>
        <v>0</v>
      </c>
    </row>
    <row r="131" spans="3:20">
      <c r="C131" s="313">
        <f t="shared" ca="1" si="38"/>
        <v>25.24</v>
      </c>
      <c r="D131" s="2">
        <v>101</v>
      </c>
      <c r="E131" s="2" t="s">
        <v>426</v>
      </c>
      <c r="F131" s="2">
        <v>1</v>
      </c>
      <c r="G131" s="39">
        <f t="array" aca="1" ref="G131" ca="1">INDIRECT($A$3&amp;"!"&amp;$E131&amp;G$28)</f>
        <v>44978</v>
      </c>
      <c r="H131" s="2" t="str">
        <f t="array" aca="1" ref="H131" ca="1">INDIRECT($A$3&amp;"!"&amp;$E131&amp;H$28)</f>
        <v>Hanoi</v>
      </c>
      <c r="I131" s="142">
        <f t="shared" ca="1" si="39"/>
        <v>10.261489698890649</v>
      </c>
      <c r="J131" s="142">
        <f t="shared" ca="1" si="39"/>
        <v>18.960776545166404</v>
      </c>
      <c r="K131" s="142">
        <f t="shared" ca="1" si="39"/>
        <v>0</v>
      </c>
      <c r="L131" s="142">
        <f t="shared" ca="1" si="39"/>
        <v>0</v>
      </c>
      <c r="M131" s="142">
        <f t="shared" ca="1" si="39"/>
        <v>0</v>
      </c>
      <c r="N131" s="142">
        <f t="shared" ca="1" si="39"/>
        <v>0</v>
      </c>
      <c r="O131" s="142"/>
      <c r="P131" s="142">
        <f t="shared" ca="1" si="22"/>
        <v>29.222266244057053</v>
      </c>
      <c r="Q131" s="142"/>
      <c r="R131" s="142">
        <f t="shared" ca="1" si="44"/>
        <v>29.222266244057053</v>
      </c>
      <c r="S131" s="142">
        <f t="shared" ca="1" si="45"/>
        <v>0</v>
      </c>
      <c r="T131" s="142">
        <f t="shared" ca="1" si="46"/>
        <v>0</v>
      </c>
    </row>
    <row r="132" spans="3:20">
      <c r="C132" s="313">
        <f t="shared" ca="1" si="38"/>
        <v>25.24</v>
      </c>
      <c r="D132" s="2">
        <v>102</v>
      </c>
      <c r="E132" s="2" t="s">
        <v>427</v>
      </c>
      <c r="F132" s="2">
        <v>1</v>
      </c>
      <c r="G132" s="39">
        <f t="array" aca="1" ref="G132" ca="1">INDIRECT($A$3&amp;"!"&amp;$E132&amp;G$28)</f>
        <v>44979</v>
      </c>
      <c r="H132" s="2" t="str">
        <f t="array" aca="1" ref="H132" ca="1">INDIRECT($A$3&amp;"!"&amp;$E132&amp;H$28)</f>
        <v>Hanoi</v>
      </c>
      <c r="I132" s="142">
        <f t="shared" ca="1" si="39"/>
        <v>23.573692551505548</v>
      </c>
      <c r="J132" s="142">
        <f t="shared" ca="1" si="39"/>
        <v>16.979793977812996</v>
      </c>
      <c r="K132" s="142">
        <f t="shared" ca="1" si="39"/>
        <v>0</v>
      </c>
      <c r="L132" s="142">
        <f t="shared" ca="1" si="39"/>
        <v>0</v>
      </c>
      <c r="M132" s="142">
        <f t="shared" ca="1" si="39"/>
        <v>9.5087163232963547</v>
      </c>
      <c r="N132" s="142">
        <f t="shared" ca="1" si="39"/>
        <v>0</v>
      </c>
      <c r="O132" s="142"/>
      <c r="P132" s="142">
        <f t="shared" ca="1" si="22"/>
        <v>50.062202852614902</v>
      </c>
      <c r="Q132" s="142"/>
      <c r="R132" s="142">
        <f t="shared" ca="1" si="44"/>
        <v>40.553486529318548</v>
      </c>
      <c r="S132" s="142">
        <f t="shared" ca="1" si="45"/>
        <v>9.5087163232963547</v>
      </c>
      <c r="T132" s="142">
        <f t="shared" ca="1" si="46"/>
        <v>9.5087163232963547</v>
      </c>
    </row>
    <row r="133" spans="3:20">
      <c r="C133" s="313">
        <f t="shared" ca="1" si="38"/>
        <v>25.24</v>
      </c>
      <c r="D133" s="2">
        <v>103</v>
      </c>
      <c r="E133" s="2" t="s">
        <v>428</v>
      </c>
      <c r="F133" s="2">
        <v>1</v>
      </c>
      <c r="G133" s="39">
        <f t="array" aca="1" ref="G133" ca="1">INDIRECT($A$3&amp;"!"&amp;$E133&amp;G$28)</f>
        <v>44980</v>
      </c>
      <c r="H133" s="2" t="str">
        <f t="array" aca="1" ref="H133" ca="1">INDIRECT($A$3&amp;"!"&amp;$E133&amp;H$28)</f>
        <v>Hanoi</v>
      </c>
      <c r="I133" s="142">
        <f t="shared" ca="1" si="39"/>
        <v>13.351822503961966</v>
      </c>
      <c r="J133" s="142">
        <f t="shared" ca="1" si="39"/>
        <v>17.375990491283677</v>
      </c>
      <c r="K133" s="142">
        <f t="shared" ca="1" si="39"/>
        <v>0</v>
      </c>
      <c r="L133" s="142">
        <f t="shared" ca="1" si="39"/>
        <v>0</v>
      </c>
      <c r="M133" s="142">
        <f t="shared" ca="1" si="39"/>
        <v>89.144215530903338</v>
      </c>
      <c r="N133" s="142">
        <f t="shared" ca="1" si="39"/>
        <v>0</v>
      </c>
      <c r="O133" s="142"/>
      <c r="P133" s="142">
        <f t="shared" ca="1" si="22"/>
        <v>119.87202852614898</v>
      </c>
      <c r="Q133" s="142"/>
      <c r="R133" s="142">
        <f t="shared" ca="1" si="44"/>
        <v>30.727812995245642</v>
      </c>
      <c r="S133" s="142">
        <f t="shared" ca="1" si="45"/>
        <v>89.144215530903338</v>
      </c>
      <c r="T133" s="142">
        <f t="shared" ca="1" si="46"/>
        <v>89.144215530903338</v>
      </c>
    </row>
    <row r="134" spans="3:20">
      <c r="C134" s="313">
        <f t="shared" ca="1" si="38"/>
        <v>25.24</v>
      </c>
      <c r="D134" s="2">
        <v>104</v>
      </c>
      <c r="E134" s="2" t="s">
        <v>429</v>
      </c>
      <c r="F134" s="2">
        <v>1</v>
      </c>
      <c r="G134" s="39">
        <f t="array" aca="1" ref="G134" ca="1">INDIRECT($A$3&amp;"!"&amp;$E134&amp;G$28)</f>
        <v>44981</v>
      </c>
      <c r="H134" s="2" t="str">
        <f t="array" aca="1" ref="H134" ca="1">INDIRECT($A$3&amp;"!"&amp;$E134&amp;H$28)</f>
        <v>Hanoi</v>
      </c>
      <c r="I134" s="142">
        <f t="shared" ca="1" si="39"/>
        <v>16.24405705229794</v>
      </c>
      <c r="J134" s="142">
        <f t="shared" ca="1" si="39"/>
        <v>21.337955625990492</v>
      </c>
      <c r="K134" s="142">
        <f t="shared" ca="1" si="39"/>
        <v>0</v>
      </c>
      <c r="L134" s="142">
        <f t="shared" ca="1" si="39"/>
        <v>0</v>
      </c>
      <c r="M134" s="142">
        <f t="shared" ca="1" si="39"/>
        <v>0</v>
      </c>
      <c r="N134" s="142">
        <f t="shared" ca="1" si="39"/>
        <v>0</v>
      </c>
      <c r="O134" s="142"/>
      <c r="P134" s="142">
        <f t="shared" ca="1" si="22"/>
        <v>37.582012678288436</v>
      </c>
      <c r="Q134" s="142"/>
      <c r="R134" s="142">
        <f t="shared" ca="1" si="44"/>
        <v>37.582012678288436</v>
      </c>
      <c r="S134" s="142">
        <f t="shared" ca="1" si="45"/>
        <v>0</v>
      </c>
      <c r="T134" s="142">
        <f t="shared" ca="1" si="46"/>
        <v>0</v>
      </c>
    </row>
    <row r="135" spans="3:20">
      <c r="C135" s="313">
        <f t="shared" ca="1" si="38"/>
        <v>25.24</v>
      </c>
      <c r="D135" s="2">
        <v>105</v>
      </c>
      <c r="E135" s="2" t="s">
        <v>430</v>
      </c>
      <c r="F135" s="2">
        <v>1</v>
      </c>
      <c r="G135" s="39">
        <f t="array" aca="1" ref="G135" ca="1">INDIRECT($A$3&amp;"!"&amp;$E135&amp;G$28)</f>
        <v>44982</v>
      </c>
      <c r="H135" s="2" t="str">
        <f t="array" aca="1" ref="H135" ca="1">INDIRECT($A$3&amp;"!"&amp;$E135&amp;H$28)</f>
        <v>Hanoi</v>
      </c>
      <c r="I135" s="142">
        <f t="shared" ca="1" si="39"/>
        <v>22.781299524564183</v>
      </c>
      <c r="J135" s="142">
        <f t="shared" ca="1" si="39"/>
        <v>20.149366085578446</v>
      </c>
      <c r="K135" s="142">
        <f t="shared" ca="1" si="39"/>
        <v>0</v>
      </c>
      <c r="L135" s="142">
        <f t="shared" ca="1" si="39"/>
        <v>0</v>
      </c>
      <c r="M135" s="142">
        <f t="shared" ca="1" si="39"/>
        <v>0</v>
      </c>
      <c r="N135" s="142">
        <f t="shared" ca="1" si="39"/>
        <v>0</v>
      </c>
      <c r="O135" s="142"/>
      <c r="P135" s="142">
        <f t="shared" ca="1" si="22"/>
        <v>42.930665610142626</v>
      </c>
      <c r="Q135" s="142"/>
      <c r="R135" s="142">
        <f t="shared" ca="1" si="44"/>
        <v>42.930665610142626</v>
      </c>
      <c r="S135" s="142">
        <f t="shared" ca="1" si="45"/>
        <v>0</v>
      </c>
      <c r="T135" s="142">
        <f t="shared" ca="1" si="46"/>
        <v>0</v>
      </c>
    </row>
    <row r="136" spans="3:20">
      <c r="C136" s="313">
        <f t="shared" ca="1" si="38"/>
        <v>25.24</v>
      </c>
      <c r="D136" s="2">
        <v>106</v>
      </c>
      <c r="E136" s="2" t="s">
        <v>16</v>
      </c>
      <c r="F136" s="2">
        <v>1</v>
      </c>
      <c r="G136" s="39">
        <f t="array" aca="1" ref="G136" ca="1">INDIRECT($A$3&amp;"!"&amp;$E136&amp;G$28)</f>
        <v>44983</v>
      </c>
      <c r="H136" s="2" t="str">
        <f t="array" aca="1" ref="H136" ca="1">INDIRECT($A$3&amp;"!"&amp;$E136&amp;H$28)</f>
        <v>HoiAn</v>
      </c>
      <c r="I136" s="142">
        <f t="shared" ca="1" si="39"/>
        <v>23.969889064976229</v>
      </c>
      <c r="J136" s="142">
        <f t="shared" ca="1" si="39"/>
        <v>16.979793977812996</v>
      </c>
      <c r="K136" s="142">
        <f t="shared" ca="1" si="39"/>
        <v>150.71473851030112</v>
      </c>
      <c r="L136" s="142">
        <f t="shared" ca="1" si="39"/>
        <v>9.9049128367670374</v>
      </c>
      <c r="M136" s="142">
        <f t="shared" ca="1" si="39"/>
        <v>0</v>
      </c>
      <c r="N136" s="142">
        <f t="shared" ca="1" si="39"/>
        <v>0</v>
      </c>
      <c r="O136" s="142"/>
      <c r="P136" s="142">
        <f t="shared" ca="1" si="22"/>
        <v>201.56933438985737</v>
      </c>
      <c r="Q136" s="142"/>
      <c r="R136" s="142">
        <f t="shared" ca="1" si="44"/>
        <v>40.949683042789225</v>
      </c>
      <c r="S136" s="142">
        <f t="shared" ca="1" si="45"/>
        <v>9.9049128367670374</v>
      </c>
      <c r="T136" s="142">
        <f t="shared" ca="1" si="46"/>
        <v>0</v>
      </c>
    </row>
    <row r="137" spans="3:20">
      <c r="C137" s="313">
        <f t="shared" ca="1" si="38"/>
        <v>25.24</v>
      </c>
      <c r="D137" s="2">
        <v>107</v>
      </c>
      <c r="E137" s="2" t="s">
        <v>431</v>
      </c>
      <c r="F137" s="2">
        <v>1</v>
      </c>
      <c r="G137" s="39">
        <f t="array" aca="1" ref="G137" ca="1">INDIRECT($A$3&amp;"!"&amp;$E137&amp;G$28)</f>
        <v>44984</v>
      </c>
      <c r="H137" s="2" t="str">
        <f t="array" aca="1" ref="H137" ca="1">INDIRECT($A$3&amp;"!"&amp;$E137&amp;H$28)</f>
        <v>HoiAn</v>
      </c>
      <c r="I137" s="142">
        <f t="shared" ca="1" si="39"/>
        <v>32.13153724247227</v>
      </c>
      <c r="J137" s="142">
        <f t="shared" ca="1" si="39"/>
        <v>16.979793977812996</v>
      </c>
      <c r="K137" s="142">
        <f t="shared" ca="1" si="39"/>
        <v>30.58637083993661</v>
      </c>
      <c r="L137" s="142">
        <f t="shared" ca="1" si="39"/>
        <v>0</v>
      </c>
      <c r="M137" s="142">
        <f t="shared" ca="1" si="39"/>
        <v>39.61965134706815</v>
      </c>
      <c r="N137" s="142">
        <f t="shared" ca="1" si="39"/>
        <v>0</v>
      </c>
      <c r="O137" s="142"/>
      <c r="P137" s="142">
        <f t="shared" ca="1" si="22"/>
        <v>119.31735340729003</v>
      </c>
      <c r="Q137" s="142"/>
      <c r="R137" s="142">
        <f t="shared" ca="1" si="44"/>
        <v>49.111331220285265</v>
      </c>
      <c r="S137" s="142">
        <f t="shared" ca="1" si="45"/>
        <v>39.61965134706815</v>
      </c>
      <c r="T137" s="142">
        <f t="shared" ca="1" si="46"/>
        <v>39.61965134706815</v>
      </c>
    </row>
    <row r="138" spans="3:20">
      <c r="C138" s="313">
        <f t="shared" ca="1" si="38"/>
        <v>25.24</v>
      </c>
      <c r="D138" s="2">
        <v>108</v>
      </c>
      <c r="E138" s="2" t="s">
        <v>432</v>
      </c>
      <c r="F138" s="2">
        <v>1</v>
      </c>
      <c r="G138" s="39">
        <f t="array" aca="1" ref="G138" ca="1">INDIRECT($A$3&amp;"!"&amp;$E138&amp;G$28)</f>
        <v>44985</v>
      </c>
      <c r="H138" s="2" t="str">
        <f t="array" aca="1" ref="H138" ca="1">INDIRECT($A$3&amp;"!"&amp;$E138&amp;H$28)</f>
        <v>HoiAn</v>
      </c>
      <c r="I138" s="142">
        <f t="shared" ca="1" si="39"/>
        <v>12.282091917591126</v>
      </c>
      <c r="J138" s="142">
        <f t="shared" ca="1" si="39"/>
        <v>18.169968304279088</v>
      </c>
      <c r="K138" s="142">
        <f t="shared" ca="1" si="39"/>
        <v>64.942947702060223</v>
      </c>
      <c r="L138" s="142">
        <f ca="1">INDIRECT($A$3&amp;"!"&amp;$E138&amp;L$28+$D$26)</f>
        <v>817.35340729001587</v>
      </c>
      <c r="M138" s="142">
        <f ca="1">INDIRECT($A$3&amp;"!"&amp;$E138&amp;M$28+$D$26)</f>
        <v>0</v>
      </c>
      <c r="N138" s="142">
        <f ca="1">INDIRECT($A$3&amp;"!"&amp;$E138&amp;N$28+$D$26)</f>
        <v>0</v>
      </c>
      <c r="O138" s="142"/>
      <c r="P138" s="142">
        <f t="shared" ca="1" si="22"/>
        <v>912.74841521394626</v>
      </c>
      <c r="Q138" s="142"/>
      <c r="R138" s="142">
        <f t="shared" ca="1" si="44"/>
        <v>30.452060221870212</v>
      </c>
      <c r="S138" s="142">
        <f t="shared" ca="1" si="45"/>
        <v>817.35340729001587</v>
      </c>
      <c r="T138" s="142">
        <f t="shared" ca="1" si="46"/>
        <v>0</v>
      </c>
    </row>
    <row r="139" spans="3:20">
      <c r="C139" s="313"/>
      <c r="F139" s="2"/>
      <c r="G139" s="39"/>
      <c r="H139" s="2"/>
      <c r="I139" s="142"/>
      <c r="J139" s="142"/>
      <c r="K139" s="142"/>
      <c r="L139" s="142"/>
      <c r="M139" s="142"/>
      <c r="N139" s="142"/>
      <c r="O139" s="142"/>
      <c r="P139" s="142"/>
      <c r="Q139" s="142"/>
      <c r="R139" s="142"/>
      <c r="S139" s="142"/>
      <c r="T139" s="142"/>
    </row>
    <row r="140" spans="3:20">
      <c r="C140" s="313"/>
      <c r="F140" s="2"/>
      <c r="G140" s="39"/>
      <c r="H140" s="2"/>
      <c r="I140" s="142"/>
      <c r="J140" s="142"/>
      <c r="K140" s="142"/>
      <c r="L140" s="142"/>
      <c r="M140" s="142"/>
      <c r="N140" s="142"/>
      <c r="O140" s="142"/>
      <c r="P140" s="142"/>
      <c r="Q140" s="142"/>
      <c r="R140" s="142"/>
      <c r="S140" s="142"/>
      <c r="T140" s="142"/>
    </row>
    <row r="141" spans="3:20">
      <c r="C141" s="313"/>
      <c r="F141" s="2"/>
      <c r="G141" s="39"/>
      <c r="H141" s="2"/>
      <c r="I141" s="142"/>
      <c r="J141" s="142"/>
      <c r="K141" s="142"/>
      <c r="L141" s="142"/>
      <c r="M141" s="142"/>
      <c r="N141" s="142"/>
      <c r="O141" s="142"/>
      <c r="P141" s="142"/>
      <c r="Q141" s="142"/>
      <c r="R141" s="142"/>
      <c r="S141" s="142"/>
      <c r="T141" s="142"/>
    </row>
    <row r="142" spans="3:20">
      <c r="C142" s="313"/>
      <c r="E142"/>
      <c r="F142" s="2"/>
      <c r="G142" s="39"/>
      <c r="H142" s="2"/>
      <c r="I142" s="142"/>
      <c r="J142" s="142"/>
      <c r="K142" s="142"/>
      <c r="L142" s="142"/>
      <c r="M142" s="142"/>
      <c r="N142" s="142"/>
      <c r="O142" s="142"/>
      <c r="P142" s="142"/>
      <c r="Q142" s="142"/>
      <c r="R142" s="142"/>
      <c r="S142" s="142"/>
      <c r="T142" s="142"/>
    </row>
    <row r="143" spans="3:20">
      <c r="C143" s="313"/>
      <c r="E143"/>
      <c r="F143" s="2"/>
      <c r="G143" s="39"/>
      <c r="H143" s="2"/>
      <c r="I143" s="142"/>
      <c r="J143" s="142"/>
      <c r="K143" s="142"/>
      <c r="L143" s="142"/>
      <c r="M143" s="142"/>
      <c r="N143" s="142"/>
      <c r="O143" s="142"/>
      <c r="P143" s="142"/>
      <c r="Q143" s="142"/>
      <c r="R143" s="142"/>
      <c r="S143" s="142"/>
      <c r="T143" s="142"/>
    </row>
    <row r="144" spans="3:20">
      <c r="C144" s="313"/>
      <c r="E144"/>
      <c r="F144" s="2"/>
      <c r="G144" s="39"/>
      <c r="H144" s="2"/>
      <c r="I144" s="142"/>
      <c r="J144" s="142"/>
      <c r="K144" s="142"/>
      <c r="L144" s="142"/>
      <c r="M144" s="142"/>
      <c r="N144" s="142"/>
      <c r="O144" s="142"/>
      <c r="P144" s="142"/>
      <c r="Q144" s="142"/>
      <c r="R144" s="142"/>
      <c r="S144" s="142"/>
      <c r="T144" s="142"/>
    </row>
    <row r="145" spans="3:20">
      <c r="C145" s="313"/>
      <c r="E145"/>
      <c r="F145" s="2"/>
      <c r="G145" s="39"/>
      <c r="H145" s="2"/>
      <c r="I145" s="142"/>
      <c r="J145" s="142"/>
      <c r="K145" s="142"/>
      <c r="L145" s="142"/>
      <c r="M145" s="142"/>
      <c r="N145" s="142"/>
      <c r="O145" s="142"/>
      <c r="P145" s="142"/>
      <c r="Q145" s="142"/>
      <c r="R145" s="142"/>
      <c r="S145" s="142"/>
      <c r="T145" s="142"/>
    </row>
    <row r="146" spans="3:20">
      <c r="C146" s="313"/>
      <c r="E146"/>
      <c r="F146" s="2"/>
      <c r="G146" s="39"/>
      <c r="H146" s="2"/>
      <c r="I146" s="142"/>
      <c r="J146" s="142"/>
      <c r="K146" s="142"/>
      <c r="L146" s="142"/>
      <c r="M146" s="142"/>
      <c r="N146" s="142"/>
      <c r="O146" s="142"/>
      <c r="P146" s="142"/>
      <c r="Q146" s="142"/>
      <c r="R146" s="142"/>
      <c r="S146" s="142"/>
      <c r="T146" s="142"/>
    </row>
    <row r="147" spans="3:20">
      <c r="C147" s="313"/>
      <c r="E147"/>
      <c r="F147" s="2"/>
      <c r="G147" s="39"/>
      <c r="H147" s="2"/>
      <c r="I147" s="142"/>
      <c r="J147" s="142"/>
      <c r="K147" s="142"/>
      <c r="L147" s="142"/>
      <c r="M147" s="142"/>
      <c r="N147" s="142"/>
      <c r="O147" s="142"/>
      <c r="P147" s="142"/>
      <c r="Q147" s="142"/>
      <c r="R147" s="142"/>
      <c r="S147" s="142"/>
      <c r="T147" s="142"/>
    </row>
    <row r="148" spans="3:20">
      <c r="C148" s="313"/>
      <c r="E148"/>
      <c r="F148" s="2"/>
      <c r="G148" s="39"/>
      <c r="H148" s="2"/>
      <c r="I148" s="142"/>
      <c r="J148" s="142"/>
      <c r="K148" s="142"/>
      <c r="L148" s="142"/>
      <c r="M148" s="142"/>
      <c r="N148" s="142"/>
      <c r="O148" s="142"/>
      <c r="P148" s="142"/>
      <c r="Q148" s="142"/>
      <c r="R148" s="142"/>
      <c r="S148" s="142"/>
      <c r="T148" s="142"/>
    </row>
    <row r="149" spans="3:20">
      <c r="C149" s="313"/>
      <c r="E149"/>
      <c r="F149" s="2"/>
      <c r="G149" s="39"/>
      <c r="H149" s="2"/>
      <c r="I149" s="142"/>
      <c r="J149" s="142"/>
      <c r="K149" s="142"/>
      <c r="L149" s="142"/>
      <c r="M149" s="142"/>
      <c r="N149" s="142"/>
      <c r="O149" s="142"/>
      <c r="P149" s="142"/>
      <c r="Q149" s="142"/>
      <c r="R149" s="142"/>
      <c r="S149" s="142"/>
      <c r="T149" s="142"/>
    </row>
    <row r="150" spans="3:20">
      <c r="C150" s="313"/>
      <c r="E150"/>
      <c r="F150" s="2"/>
      <c r="G150" s="39"/>
      <c r="H150" s="2"/>
      <c r="I150" s="142"/>
      <c r="J150" s="142"/>
      <c r="K150" s="142"/>
      <c r="L150" s="142"/>
      <c r="M150" s="142"/>
      <c r="N150" s="142"/>
      <c r="O150" s="142"/>
      <c r="P150" s="142"/>
      <c r="Q150" s="142"/>
      <c r="R150" s="142"/>
      <c r="S150" s="142"/>
      <c r="T150" s="142"/>
    </row>
    <row r="151" spans="3:20">
      <c r="C151" s="313"/>
      <c r="E151"/>
      <c r="F151" s="2"/>
      <c r="G151" s="39"/>
      <c r="H151" s="2"/>
      <c r="I151" s="142"/>
      <c r="J151" s="142"/>
      <c r="K151" s="142"/>
      <c r="L151" s="142"/>
      <c r="M151" s="142"/>
      <c r="N151" s="142"/>
      <c r="O151" s="142"/>
      <c r="P151" s="142"/>
      <c r="Q151" s="142"/>
      <c r="R151" s="142"/>
      <c r="S151" s="142"/>
      <c r="T151" s="142"/>
    </row>
    <row r="152" spans="3:20">
      <c r="E152"/>
      <c r="F152" s="2"/>
      <c r="G152" s="39"/>
      <c r="H152" s="2"/>
      <c r="I152" s="142"/>
      <c r="J152" s="142"/>
      <c r="K152" s="142"/>
      <c r="L152" s="142"/>
      <c r="M152" s="142"/>
      <c r="N152" s="142"/>
      <c r="O152" s="142"/>
      <c r="P152" s="142"/>
      <c r="Q152" s="142"/>
      <c r="R152" s="142"/>
      <c r="S152" s="142"/>
      <c r="T152" s="14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B1:AI84"/>
  <sheetViews>
    <sheetView topLeftCell="J1" zoomScale="85" zoomScaleNormal="85" workbookViewId="0">
      <selection activeCell="Y22" sqref="Y22"/>
    </sheetView>
  </sheetViews>
  <sheetFormatPr baseColWidth="10" defaultRowHeight="14.4"/>
  <cols>
    <col min="2" max="2" width="11.5546875" style="2"/>
    <col min="3" max="3" width="6" customWidth="1"/>
    <col min="19" max="20" width="12.5546875" customWidth="1"/>
    <col min="25" max="25" width="14" customWidth="1"/>
    <col min="26" max="33" width="7.88671875" customWidth="1"/>
  </cols>
  <sheetData>
    <row r="1" spans="2:27">
      <c r="X1" s="118" t="s">
        <v>671</v>
      </c>
      <c r="Y1" s="121" t="s">
        <v>280</v>
      </c>
      <c r="Z1" s="293" t="s">
        <v>665</v>
      </c>
      <c r="AA1" s="189"/>
    </row>
    <row r="2" spans="2:27">
      <c r="M2" s="4" t="s">
        <v>666</v>
      </c>
      <c r="N2" s="4"/>
      <c r="O2" s="4" t="s">
        <v>667</v>
      </c>
      <c r="Y2" s="122">
        <v>1800</v>
      </c>
      <c r="Z2" s="2">
        <v>90</v>
      </c>
      <c r="AA2" s="125" t="s">
        <v>668</v>
      </c>
    </row>
    <row r="3" spans="2:27">
      <c r="M3" s="4">
        <v>1.2</v>
      </c>
      <c r="O3" s="4">
        <v>0.85</v>
      </c>
      <c r="Y3" s="122">
        <f>45000/25</f>
        <v>1800</v>
      </c>
      <c r="Z3" s="2">
        <v>81</v>
      </c>
      <c r="AA3" s="125">
        <f>Y3/Z3</f>
        <v>22.222222222222221</v>
      </c>
    </row>
    <row r="4" spans="2:27" ht="15" thickBot="1">
      <c r="Y4" s="336"/>
      <c r="Z4" s="297"/>
      <c r="AA4" s="337">
        <v>22.2</v>
      </c>
    </row>
    <row r="5" spans="2:27" ht="15" thickBot="1">
      <c r="D5" s="338" t="s">
        <v>669</v>
      </c>
      <c r="E5" s="118" t="s">
        <v>284</v>
      </c>
      <c r="F5" s="118" t="s">
        <v>287</v>
      </c>
      <c r="G5" s="118" t="s">
        <v>294</v>
      </c>
      <c r="H5" s="118" t="s">
        <v>312</v>
      </c>
      <c r="M5" s="118" t="s">
        <v>251</v>
      </c>
      <c r="N5" s="118" t="s">
        <v>252</v>
      </c>
      <c r="O5" s="118" t="s">
        <v>670</v>
      </c>
      <c r="P5" s="118" t="s">
        <v>275</v>
      </c>
      <c r="Q5" s="118" t="s">
        <v>735</v>
      </c>
      <c r="R5" s="118" t="s">
        <v>671</v>
      </c>
      <c r="U5" s="118" t="s">
        <v>669</v>
      </c>
      <c r="Y5" s="114">
        <f>AA4*R6</f>
        <v>2641.7999999999997</v>
      </c>
    </row>
    <row r="6" spans="2:27" ht="15" thickBot="1">
      <c r="D6" t="s">
        <v>303</v>
      </c>
      <c r="E6" s="118">
        <v>14</v>
      </c>
      <c r="F6" s="118">
        <v>30</v>
      </c>
      <c r="G6" s="118">
        <v>31</v>
      </c>
      <c r="H6" s="118">
        <v>12</v>
      </c>
      <c r="I6" t="s">
        <v>14</v>
      </c>
      <c r="J6" s="3">
        <f>SUM(E6:H6)</f>
        <v>87</v>
      </c>
      <c r="M6" s="118">
        <v>18</v>
      </c>
      <c r="N6" s="118">
        <v>31</v>
      </c>
      <c r="O6" s="118">
        <v>31</v>
      </c>
      <c r="P6" s="118">
        <v>28</v>
      </c>
      <c r="Q6" s="118">
        <v>11</v>
      </c>
      <c r="R6" s="3">
        <f t="shared" ref="R6:R24" si="0">SUM(M6:Q6)</f>
        <v>119</v>
      </c>
      <c r="U6" s="3">
        <f>J6</f>
        <v>87</v>
      </c>
      <c r="V6" s="6"/>
      <c r="X6" t="s">
        <v>672</v>
      </c>
      <c r="Y6" s="2">
        <v>400</v>
      </c>
    </row>
    <row r="7" spans="2:27" ht="15" thickBot="1">
      <c r="B7" s="2" t="s">
        <v>328</v>
      </c>
      <c r="D7" s="72" t="s">
        <v>205</v>
      </c>
      <c r="E7" s="63">
        <v>40.505836575875485</v>
      </c>
      <c r="F7" s="63">
        <v>100.09120945270851</v>
      </c>
      <c r="G7" s="63">
        <v>186.93428902122832</v>
      </c>
      <c r="H7" s="63">
        <v>21.30035899481452</v>
      </c>
      <c r="I7" s="6">
        <f>SUM(E7:H7)</f>
        <v>348.83169404462689</v>
      </c>
      <c r="J7" s="13">
        <f t="shared" ref="J7:J26" si="1">SUM($E7:$H7)/J$6</f>
        <v>4.0095597016623783</v>
      </c>
      <c r="K7" s="72" t="s">
        <v>205</v>
      </c>
      <c r="L7" s="2"/>
      <c r="M7" s="339">
        <f>$J7*M$6*$M$3</f>
        <v>86.606489555907359</v>
      </c>
      <c r="N7" s="339">
        <f>$J7*N$6*$M$3</f>
        <v>149.15562090184045</v>
      </c>
      <c r="O7" s="339">
        <f>$J7*O$6*$M$3</f>
        <v>149.15562090184045</v>
      </c>
      <c r="P7" s="339">
        <f>$J7*P$6*$M$3</f>
        <v>134.7212059758559</v>
      </c>
      <c r="Q7" s="339">
        <f>$J7*Q$6*$M$3</f>
        <v>52.926188061943392</v>
      </c>
      <c r="R7" s="6">
        <f t="shared" si="0"/>
        <v>572.56512539738765</v>
      </c>
      <c r="S7" s="72"/>
      <c r="T7" s="365"/>
      <c r="U7" s="6">
        <v>348.83169404462689</v>
      </c>
      <c r="V7" s="72"/>
      <c r="W7" s="6">
        <f t="shared" ref="W7:W27" si="2">R7-U7</f>
        <v>223.73343135276076</v>
      </c>
      <c r="Y7" s="119">
        <f>SUM(Y5:Y6)</f>
        <v>3041.7999999999997</v>
      </c>
    </row>
    <row r="8" spans="2:27" ht="15" thickBot="1">
      <c r="B8" s="2" t="s">
        <v>328</v>
      </c>
      <c r="D8" s="73" t="s">
        <v>203</v>
      </c>
      <c r="E8" s="63">
        <v>58.949416342412462</v>
      </c>
      <c r="F8" s="63">
        <v>146.88054219314716</v>
      </c>
      <c r="G8" s="63">
        <v>221.68401888400308</v>
      </c>
      <c r="H8" s="63">
        <v>214.39968089349821</v>
      </c>
      <c r="I8" s="6">
        <f t="shared" ref="I8:I26" si="3">SUM(E8:H8)</f>
        <v>641.91365831306098</v>
      </c>
      <c r="J8" s="13">
        <f t="shared" si="1"/>
        <v>7.3783179116443787</v>
      </c>
      <c r="K8" s="73" t="s">
        <v>203</v>
      </c>
      <c r="L8" s="2"/>
      <c r="M8" s="339">
        <f t="shared" ref="M8:M16" si="4">$J8*M$6*$M$3</f>
        <v>159.37166689151857</v>
      </c>
      <c r="N8" s="339">
        <f t="shared" ref="N8:Q14" si="5">$J8*N$6*$M$3</f>
        <v>274.47342631317088</v>
      </c>
      <c r="O8" s="339">
        <f t="shared" si="5"/>
        <v>274.47342631317088</v>
      </c>
      <c r="P8" s="339">
        <f t="shared" si="5"/>
        <v>247.91148183125111</v>
      </c>
      <c r="Q8" s="339">
        <f t="shared" si="5"/>
        <v>97.393796433705788</v>
      </c>
      <c r="R8" s="6">
        <f t="shared" si="0"/>
        <v>1053.6237977828171</v>
      </c>
      <c r="S8" s="73"/>
      <c r="T8" s="365"/>
      <c r="U8" s="6">
        <v>641.91365831306098</v>
      </c>
      <c r="V8" s="73"/>
      <c r="W8" s="6">
        <f t="shared" si="2"/>
        <v>411.71013946975609</v>
      </c>
      <c r="Z8" s="75" t="s">
        <v>738</v>
      </c>
      <c r="AA8" s="287">
        <f>(13000)/(31*25)</f>
        <v>16.774193548387096</v>
      </c>
    </row>
    <row r="9" spans="2:27" ht="15" thickBot="1">
      <c r="B9" s="2" t="s">
        <v>328</v>
      </c>
      <c r="D9" s="73" t="s">
        <v>204</v>
      </c>
      <c r="E9" s="63">
        <v>109.14396887159533</v>
      </c>
      <c r="F9" s="63">
        <v>179.19159253334558</v>
      </c>
      <c r="G9" s="63">
        <v>109.64488476200349</v>
      </c>
      <c r="H9" s="63">
        <v>96.529716792979656</v>
      </c>
      <c r="I9" s="6">
        <f t="shared" si="3"/>
        <v>494.51016295992406</v>
      </c>
      <c r="J9" s="13">
        <f t="shared" si="1"/>
        <v>5.6840248616083224</v>
      </c>
      <c r="K9" s="73" t="s">
        <v>204</v>
      </c>
      <c r="L9" s="2"/>
      <c r="M9" s="339">
        <f t="shared" si="4"/>
        <v>122.77493701073976</v>
      </c>
      <c r="N9" s="339">
        <f t="shared" si="5"/>
        <v>211.4457248518296</v>
      </c>
      <c r="O9" s="339">
        <f t="shared" si="5"/>
        <v>211.4457248518296</v>
      </c>
      <c r="P9" s="339">
        <f t="shared" si="5"/>
        <v>190.98323535003962</v>
      </c>
      <c r="Q9" s="339">
        <f t="shared" si="5"/>
        <v>75.02912817322985</v>
      </c>
      <c r="R9" s="6">
        <f t="shared" si="0"/>
        <v>811.67875023766851</v>
      </c>
      <c r="S9" s="73"/>
      <c r="T9" s="365"/>
      <c r="U9" s="6">
        <v>494.51016295992406</v>
      </c>
      <c r="V9" s="73"/>
      <c r="W9" s="6">
        <f t="shared" si="2"/>
        <v>317.16858727774445</v>
      </c>
      <c r="Z9" s="4" t="s">
        <v>275</v>
      </c>
      <c r="AA9" s="287">
        <f>(13000)/(28*25)</f>
        <v>18.571428571428573</v>
      </c>
    </row>
    <row r="10" spans="2:27">
      <c r="B10" s="2" t="s">
        <v>328</v>
      </c>
      <c r="D10" s="73" t="s">
        <v>147</v>
      </c>
      <c r="E10" s="63">
        <v>0</v>
      </c>
      <c r="F10" s="63">
        <v>5.4474708171206228</v>
      </c>
      <c r="G10" s="63">
        <v>3.515625</v>
      </c>
      <c r="H10" s="63">
        <v>0.99720781810929393</v>
      </c>
      <c r="I10" s="6">
        <f t="shared" si="3"/>
        <v>9.9603036352299164</v>
      </c>
      <c r="J10" s="13">
        <f t="shared" si="1"/>
        <v>0.11448624868080363</v>
      </c>
      <c r="K10" s="73" t="s">
        <v>147</v>
      </c>
      <c r="L10" s="2"/>
      <c r="M10" s="339">
        <f t="shared" si="4"/>
        <v>2.4729029715053588</v>
      </c>
      <c r="N10" s="339">
        <f t="shared" si="5"/>
        <v>4.2588884509258946</v>
      </c>
      <c r="O10" s="339">
        <f t="shared" si="5"/>
        <v>4.2588884509258946</v>
      </c>
      <c r="P10" s="339">
        <f t="shared" si="5"/>
        <v>3.8467379556750023</v>
      </c>
      <c r="Q10" s="339">
        <f t="shared" si="5"/>
        <v>1.511218482586608</v>
      </c>
      <c r="R10" s="6">
        <f t="shared" si="0"/>
        <v>16.348636311618758</v>
      </c>
      <c r="S10" s="340">
        <f>SUM(R7:R13)/$R$6</f>
        <v>26.296572719919538</v>
      </c>
      <c r="T10" s="367"/>
      <c r="U10" s="6">
        <v>9.9603036352299164</v>
      </c>
      <c r="V10" s="340">
        <f>SUM(U7:U13)/$U$6</f>
        <v>21.913810599932948</v>
      </c>
      <c r="W10" s="6">
        <f t="shared" si="2"/>
        <v>6.3883326763888419</v>
      </c>
    </row>
    <row r="11" spans="2:27">
      <c r="B11" s="2" t="s">
        <v>328</v>
      </c>
      <c r="D11" s="73" t="s">
        <v>146</v>
      </c>
      <c r="E11" s="63">
        <v>23.54085603112841</v>
      </c>
      <c r="F11" s="63">
        <v>88.97618014451929</v>
      </c>
      <c r="G11" s="63">
        <v>75.300418859256581</v>
      </c>
      <c r="H11" s="63">
        <v>30.953330674112483</v>
      </c>
      <c r="I11" s="6">
        <f t="shared" si="3"/>
        <v>218.77078570901679</v>
      </c>
      <c r="J11" s="13">
        <f t="shared" si="1"/>
        <v>2.5146067322875494</v>
      </c>
      <c r="K11" s="73" t="s">
        <v>146</v>
      </c>
      <c r="L11" s="2"/>
      <c r="M11" s="339">
        <f t="shared" si="4"/>
        <v>54.315505417411067</v>
      </c>
      <c r="N11" s="339">
        <f t="shared" si="5"/>
        <v>93.54337044109684</v>
      </c>
      <c r="O11" s="339">
        <f t="shared" si="5"/>
        <v>93.54337044109684</v>
      </c>
      <c r="P11" s="339">
        <f t="shared" si="5"/>
        <v>84.490786204861649</v>
      </c>
      <c r="Q11" s="339">
        <f t="shared" si="5"/>
        <v>33.192808866195648</v>
      </c>
      <c r="R11" s="6">
        <f t="shared" si="0"/>
        <v>359.08584137066208</v>
      </c>
      <c r="S11" s="73"/>
      <c r="T11" s="365"/>
      <c r="U11" s="6">
        <v>218.77078570901679</v>
      </c>
      <c r="V11" s="73"/>
      <c r="W11" s="6">
        <f t="shared" si="2"/>
        <v>140.31505566164529</v>
      </c>
    </row>
    <row r="12" spans="2:27">
      <c r="B12" s="2" t="s">
        <v>328</v>
      </c>
      <c r="D12" s="73" t="s">
        <v>148</v>
      </c>
      <c r="E12" s="63">
        <v>8.3657587548638119</v>
      </c>
      <c r="F12" s="63">
        <v>57.219695504168165</v>
      </c>
      <c r="G12" s="63">
        <v>74.606764900913475</v>
      </c>
      <c r="H12" s="63">
        <v>20.941364180295174</v>
      </c>
      <c r="I12" s="6">
        <f t="shared" si="3"/>
        <v>161.13358334024065</v>
      </c>
      <c r="J12" s="13">
        <f t="shared" si="1"/>
        <v>1.8521101533360993</v>
      </c>
      <c r="K12" s="73" t="s">
        <v>148</v>
      </c>
      <c r="L12" s="2"/>
      <c r="M12" s="339">
        <f t="shared" si="4"/>
        <v>40.005579312059744</v>
      </c>
      <c r="N12" s="339">
        <f t="shared" si="5"/>
        <v>68.898497704102894</v>
      </c>
      <c r="O12" s="339">
        <f t="shared" si="5"/>
        <v>68.898497704102894</v>
      </c>
      <c r="P12" s="339">
        <f t="shared" si="5"/>
        <v>62.230901152092933</v>
      </c>
      <c r="Q12" s="339">
        <f t="shared" si="5"/>
        <v>24.447854024036513</v>
      </c>
      <c r="R12" s="6">
        <f t="shared" si="0"/>
        <v>264.48132989639498</v>
      </c>
      <c r="S12" s="73"/>
      <c r="T12" s="365"/>
      <c r="U12" s="6">
        <v>161.13358334024065</v>
      </c>
      <c r="V12" s="73"/>
      <c r="W12" s="6">
        <f t="shared" si="2"/>
        <v>103.34774655615433</v>
      </c>
    </row>
    <row r="13" spans="2:27" ht="15" thickBot="1">
      <c r="B13" s="2" t="s">
        <v>328</v>
      </c>
      <c r="D13" s="74" t="s">
        <v>153</v>
      </c>
      <c r="E13" s="63">
        <v>1.945525291828794</v>
      </c>
      <c r="F13" s="63">
        <v>7.1433669068319912</v>
      </c>
      <c r="G13" s="63">
        <v>18.104169157347545</v>
      </c>
      <c r="H13" s="63">
        <v>4.188272836059034</v>
      </c>
      <c r="I13" s="6">
        <f t="shared" si="3"/>
        <v>31.381334192067364</v>
      </c>
      <c r="J13" s="13">
        <f t="shared" si="1"/>
        <v>0.36070499071341799</v>
      </c>
      <c r="K13" s="74" t="s">
        <v>153</v>
      </c>
      <c r="L13" s="2"/>
      <c r="M13" s="339">
        <f t="shared" si="4"/>
        <v>7.7912277994098282</v>
      </c>
      <c r="N13" s="339">
        <f t="shared" si="5"/>
        <v>13.41822565453915</v>
      </c>
      <c r="O13" s="339">
        <f t="shared" si="5"/>
        <v>13.41822565453915</v>
      </c>
      <c r="P13" s="339">
        <f t="shared" si="5"/>
        <v>12.119687687970844</v>
      </c>
      <c r="Q13" s="339">
        <f t="shared" si="5"/>
        <v>4.7613058774171169</v>
      </c>
      <c r="R13" s="6">
        <f t="shared" si="0"/>
        <v>51.508672673876085</v>
      </c>
      <c r="S13" s="74"/>
      <c r="T13" s="365"/>
      <c r="U13" s="6">
        <v>31.381334192067364</v>
      </c>
      <c r="V13" s="74"/>
      <c r="W13" s="6">
        <f t="shared" si="2"/>
        <v>20.127338481808721</v>
      </c>
    </row>
    <row r="14" spans="2:27">
      <c r="B14" s="2" t="s">
        <v>559</v>
      </c>
      <c r="D14" s="72" t="s">
        <v>560</v>
      </c>
      <c r="E14" s="63">
        <v>21.40077821011673</v>
      </c>
      <c r="F14" s="63">
        <v>32.711269214777303</v>
      </c>
      <c r="G14" s="63">
        <v>171.17659641886397</v>
      </c>
      <c r="H14" s="63">
        <v>96.968488232947749</v>
      </c>
      <c r="I14" s="6">
        <f t="shared" si="3"/>
        <v>322.25713207670572</v>
      </c>
      <c r="J14" s="13">
        <f t="shared" si="1"/>
        <v>3.7041049663989161</v>
      </c>
      <c r="K14" s="72" t="s">
        <v>560</v>
      </c>
      <c r="L14" s="2"/>
      <c r="M14" s="339">
        <f t="shared" si="4"/>
        <v>80.008667274216592</v>
      </c>
      <c r="N14" s="339">
        <f t="shared" si="5"/>
        <v>137.79270475003966</v>
      </c>
      <c r="O14" s="339">
        <f t="shared" si="5"/>
        <v>137.79270475003966</v>
      </c>
      <c r="P14" s="339">
        <f t="shared" si="5"/>
        <v>124.45792687100358</v>
      </c>
      <c r="Q14" s="339">
        <f t="shared" si="5"/>
        <v>48.894185556465693</v>
      </c>
      <c r="R14" s="6">
        <f t="shared" si="0"/>
        <v>528.94618920176515</v>
      </c>
      <c r="S14" s="72"/>
      <c r="T14" s="365"/>
      <c r="U14" s="6">
        <v>322.25713207670572</v>
      </c>
      <c r="V14" s="72"/>
      <c r="W14" s="6">
        <f t="shared" si="2"/>
        <v>206.68905712505943</v>
      </c>
    </row>
    <row r="15" spans="2:27">
      <c r="B15" s="2" t="s">
        <v>559</v>
      </c>
      <c r="D15" s="73" t="s">
        <v>233</v>
      </c>
      <c r="E15" s="63">
        <v>272.37354085603124</v>
      </c>
      <c r="F15" s="63">
        <v>397.00454266192543</v>
      </c>
      <c r="G15" s="63">
        <v>382.13313808358129</v>
      </c>
      <c r="H15" s="63">
        <v>172.8759473474272</v>
      </c>
      <c r="I15" s="6">
        <f t="shared" si="3"/>
        <v>1224.3871689489652</v>
      </c>
      <c r="J15" s="13">
        <f t="shared" si="1"/>
        <v>14.073415735045577</v>
      </c>
      <c r="K15" s="73" t="s">
        <v>233</v>
      </c>
      <c r="L15" s="2"/>
      <c r="M15" s="341">
        <f>8*50+$AA$4*M6</f>
        <v>799.59999999999991</v>
      </c>
      <c r="N15" s="341">
        <f>N$6*$AA$4</f>
        <v>688.19999999999993</v>
      </c>
      <c r="O15" s="341">
        <f>O$6*$AA$4</f>
        <v>688.19999999999993</v>
      </c>
      <c r="P15" s="341">
        <f>P$6*$AA$9</f>
        <v>520</v>
      </c>
      <c r="Q15" s="341">
        <f>Q$6*$AA$8</f>
        <v>184.51612903225805</v>
      </c>
      <c r="R15" s="6">
        <f t="shared" si="0"/>
        <v>2880.5161290322576</v>
      </c>
      <c r="S15" s="340">
        <f>SUM(R14:R16)/$R$6</f>
        <v>30.243936772758509</v>
      </c>
      <c r="T15" s="367"/>
      <c r="U15" s="6">
        <v>1224.3871689489652</v>
      </c>
      <c r="V15" s="340">
        <f>SUM(U14:U16)/$U$6</f>
        <v>19.105014803154855</v>
      </c>
      <c r="W15" s="6">
        <f t="shared" si="2"/>
        <v>1656.1289600832924</v>
      </c>
    </row>
    <row r="16" spans="2:27" ht="15" thickBot="1">
      <c r="B16" s="2" t="s">
        <v>559</v>
      </c>
      <c r="D16" s="74" t="s">
        <v>149</v>
      </c>
      <c r="E16" s="63">
        <v>29.766536964980546</v>
      </c>
      <c r="F16" s="63">
        <v>32.855795307157173</v>
      </c>
      <c r="G16" s="63">
        <v>26.343926614956683</v>
      </c>
      <c r="H16" s="63">
        <v>26.525727961707219</v>
      </c>
      <c r="I16" s="6">
        <f t="shared" si="3"/>
        <v>115.49198684880162</v>
      </c>
      <c r="J16" s="13">
        <f t="shared" si="1"/>
        <v>1.3274941017103634</v>
      </c>
      <c r="K16" s="74" t="s">
        <v>149</v>
      </c>
      <c r="L16" s="2"/>
      <c r="M16" s="339">
        <f t="shared" si="4"/>
        <v>28.673872596943852</v>
      </c>
      <c r="N16" s="339">
        <f>$J16*N$6*$M$3</f>
        <v>49.382780583625518</v>
      </c>
      <c r="O16" s="339">
        <f>$J16*O$6*$M$3</f>
        <v>49.382780583625518</v>
      </c>
      <c r="P16" s="339">
        <f>$J16*P$6*$M$3</f>
        <v>44.603801817468202</v>
      </c>
      <c r="Q16" s="339">
        <f>$J16*Q$6*$M$3</f>
        <v>17.522922142576796</v>
      </c>
      <c r="R16" s="6">
        <f t="shared" si="0"/>
        <v>189.56615772423987</v>
      </c>
      <c r="S16" s="74"/>
      <c r="T16" s="365"/>
      <c r="U16" s="6">
        <v>115.49198684880162</v>
      </c>
      <c r="V16" s="74"/>
      <c r="W16" s="6">
        <f t="shared" si="2"/>
        <v>74.074170875438256</v>
      </c>
    </row>
    <row r="17" spans="2:23">
      <c r="B17" s="2" t="s">
        <v>23</v>
      </c>
      <c r="D17" s="72" t="s">
        <v>23</v>
      </c>
      <c r="E17" s="63">
        <v>48.638132295719849</v>
      </c>
      <c r="F17" s="63">
        <v>62.2568093385214</v>
      </c>
      <c r="G17" s="63">
        <v>0</v>
      </c>
      <c r="H17" s="63">
        <v>0</v>
      </c>
      <c r="I17" s="6">
        <f t="shared" si="3"/>
        <v>110.89494163424125</v>
      </c>
      <c r="J17" s="13">
        <f t="shared" si="1"/>
        <v>1.2746545015430029</v>
      </c>
      <c r="K17" s="72" t="s">
        <v>23</v>
      </c>
      <c r="L17" s="2"/>
      <c r="M17" s="6">
        <v>65</v>
      </c>
      <c r="N17" s="6">
        <v>65</v>
      </c>
      <c r="O17" s="6">
        <v>65</v>
      </c>
      <c r="P17" s="6"/>
      <c r="Q17" s="6"/>
      <c r="R17" s="6">
        <f t="shared" si="0"/>
        <v>195</v>
      </c>
      <c r="S17" s="72"/>
      <c r="T17" s="365"/>
      <c r="U17" s="6">
        <v>110.89494163424125</v>
      </c>
      <c r="V17" s="72"/>
      <c r="W17" s="6">
        <f t="shared" si="2"/>
        <v>84.105058365758751</v>
      </c>
    </row>
    <row r="18" spans="2:23">
      <c r="B18" s="2" t="s">
        <v>23</v>
      </c>
      <c r="D18" s="73" t="s">
        <v>151</v>
      </c>
      <c r="E18" s="63">
        <v>0</v>
      </c>
      <c r="F18" s="63">
        <v>13.618677042801556</v>
      </c>
      <c r="G18" s="63">
        <v>0</v>
      </c>
      <c r="H18" s="63">
        <v>17.949740725967288</v>
      </c>
      <c r="I18" s="6">
        <f t="shared" si="3"/>
        <v>31.568417768768846</v>
      </c>
      <c r="J18" s="13">
        <f t="shared" si="1"/>
        <v>0.36285537665251549</v>
      </c>
      <c r="K18" s="73" t="s">
        <v>151</v>
      </c>
      <c r="L18" s="2"/>
      <c r="M18" s="6">
        <v>15</v>
      </c>
      <c r="N18" s="6">
        <v>30</v>
      </c>
      <c r="O18" s="6">
        <v>30</v>
      </c>
      <c r="P18" s="6">
        <v>10</v>
      </c>
      <c r="Q18" s="6">
        <v>10</v>
      </c>
      <c r="R18" s="6">
        <f t="shared" si="0"/>
        <v>95</v>
      </c>
      <c r="S18" s="340">
        <f>SUM(R17:R19)/$R$6</f>
        <v>9.2857142857142865</v>
      </c>
      <c r="T18" s="367"/>
      <c r="U18" s="6">
        <v>31.568417768768846</v>
      </c>
      <c r="V18" s="340">
        <f>SUM(U17:U19)/$U$6</f>
        <v>7.4438548929583339</v>
      </c>
      <c r="W18" s="6">
        <f t="shared" si="2"/>
        <v>63.431582231231154</v>
      </c>
    </row>
    <row r="19" spans="2:23" ht="15" thickBot="1">
      <c r="B19" s="2" t="s">
        <v>23</v>
      </c>
      <c r="D19" s="74" t="s">
        <v>8</v>
      </c>
      <c r="E19" s="63">
        <v>0</v>
      </c>
      <c r="F19" s="63">
        <v>333.75785992217908</v>
      </c>
      <c r="G19" s="63">
        <v>151.44999999999999</v>
      </c>
      <c r="H19" s="63">
        <v>19.944156362185879</v>
      </c>
      <c r="I19" s="6">
        <f t="shared" si="3"/>
        <v>505.15201628436495</v>
      </c>
      <c r="J19" s="13">
        <f t="shared" si="1"/>
        <v>5.8063450147628153</v>
      </c>
      <c r="K19" s="74" t="s">
        <v>8</v>
      </c>
      <c r="L19" s="2"/>
      <c r="M19" s="6">
        <f>45*2</f>
        <v>90</v>
      </c>
      <c r="N19" s="6">
        <f>45*5</f>
        <v>225</v>
      </c>
      <c r="O19" s="6">
        <v>300</v>
      </c>
      <c r="P19" s="6">
        <v>200</v>
      </c>
      <c r="Q19" s="6"/>
      <c r="R19" s="6">
        <f t="shared" si="0"/>
        <v>815</v>
      </c>
      <c r="S19" s="74"/>
      <c r="T19" s="365"/>
      <c r="U19" s="6">
        <v>505.15201628436495</v>
      </c>
      <c r="V19" s="74"/>
      <c r="W19" s="6">
        <f t="shared" si="2"/>
        <v>309.84798371563505</v>
      </c>
    </row>
    <row r="20" spans="2:23">
      <c r="B20" s="2" t="s">
        <v>25</v>
      </c>
      <c r="D20" s="72" t="s">
        <v>150</v>
      </c>
      <c r="E20" s="63">
        <v>82.801556420233467</v>
      </c>
      <c r="F20" s="63">
        <v>171.6684824902724</v>
      </c>
      <c r="G20" s="63">
        <v>50.866752657911192</v>
      </c>
      <c r="H20" s="63">
        <v>47.865975269246107</v>
      </c>
      <c r="I20" s="6">
        <f t="shared" si="3"/>
        <v>353.20276683766321</v>
      </c>
      <c r="J20" s="13">
        <f t="shared" si="1"/>
        <v>4.0598019176742897</v>
      </c>
      <c r="K20" s="72" t="s">
        <v>150</v>
      </c>
      <c r="L20" s="28">
        <v>50</v>
      </c>
      <c r="M20" s="28"/>
      <c r="N20" s="6">
        <v>30</v>
      </c>
      <c r="O20" s="6">
        <v>30</v>
      </c>
      <c r="P20" s="6">
        <v>50</v>
      </c>
      <c r="Q20" s="6">
        <v>50</v>
      </c>
      <c r="R20" s="6">
        <f t="shared" si="0"/>
        <v>160</v>
      </c>
      <c r="S20" s="354">
        <f>SUM(R20:R21)/$R$6</f>
        <v>8.1512605042016801</v>
      </c>
      <c r="T20" s="367"/>
      <c r="U20" s="6">
        <v>353.20276683766321</v>
      </c>
      <c r="V20" s="430">
        <f>2605/U6</f>
        <v>29.942528735632184</v>
      </c>
      <c r="W20" s="6">
        <f t="shared" si="2"/>
        <v>-193.20276683766321</v>
      </c>
    </row>
    <row r="21" spans="2:23" ht="15" thickBot="1">
      <c r="B21" s="2" t="s">
        <v>25</v>
      </c>
      <c r="D21" s="74" t="s">
        <v>144</v>
      </c>
      <c r="E21" s="63">
        <v>1014.55</v>
      </c>
      <c r="F21" s="63">
        <v>851.43696498054476</v>
      </c>
      <c r="G21" s="63">
        <v>306.28879217086933</v>
      </c>
      <c r="H21" s="63">
        <v>79.776625448743516</v>
      </c>
      <c r="I21" s="6">
        <f t="shared" si="3"/>
        <v>2252.0523826001572</v>
      </c>
      <c r="J21" s="13">
        <f t="shared" si="1"/>
        <v>25.885659570116751</v>
      </c>
      <c r="K21" s="74" t="s">
        <v>144</v>
      </c>
      <c r="L21" s="28">
        <f>1650</f>
        <v>1650</v>
      </c>
      <c r="M21" s="28"/>
      <c r="N21" s="6">
        <v>260</v>
      </c>
      <c r="O21" s="6">
        <v>300</v>
      </c>
      <c r="P21" s="6">
        <v>250</v>
      </c>
      <c r="Q21" s="6"/>
      <c r="R21" s="6">
        <f t="shared" si="0"/>
        <v>810</v>
      </c>
      <c r="S21" s="74"/>
      <c r="T21" s="365"/>
      <c r="U21" s="6">
        <v>2252.0523826001572</v>
      </c>
      <c r="V21" s="74"/>
      <c r="W21" s="6">
        <f t="shared" si="2"/>
        <v>-1442.0523826001572</v>
      </c>
    </row>
    <row r="22" spans="2:23">
      <c r="B22" s="2" t="s">
        <v>24</v>
      </c>
      <c r="D22" s="72" t="s">
        <v>145</v>
      </c>
      <c r="E22" s="63">
        <v>95.330739299610912</v>
      </c>
      <c r="F22" s="63">
        <v>0</v>
      </c>
      <c r="G22" s="63">
        <v>26.921122576610379</v>
      </c>
      <c r="H22" s="63">
        <v>84.563222975668126</v>
      </c>
      <c r="I22" s="6">
        <f t="shared" si="3"/>
        <v>206.81508485188942</v>
      </c>
      <c r="J22" s="13">
        <f t="shared" si="1"/>
        <v>2.3771848833550506</v>
      </c>
      <c r="K22" s="72" t="s">
        <v>145</v>
      </c>
      <c r="L22" s="2"/>
      <c r="M22" s="339">
        <f>$J22*M$6*$M$3</f>
        <v>51.347193480469087</v>
      </c>
      <c r="N22" s="339">
        <f>$J22*N$6*$M$3</f>
        <v>88.431277660807879</v>
      </c>
      <c r="O22" s="339">
        <f>$J22*O$6*$M$3</f>
        <v>88.431277660807879</v>
      </c>
      <c r="P22" s="339">
        <f>$J22*P$6*$M$3</f>
        <v>79.873412080729707</v>
      </c>
      <c r="Q22" s="339">
        <f>$J22*Q$6*$M$3</f>
        <v>31.378840460286668</v>
      </c>
      <c r="R22" s="6">
        <f t="shared" si="0"/>
        <v>339.46200134310124</v>
      </c>
      <c r="S22" s="72"/>
      <c r="T22" s="365"/>
      <c r="U22" s="6">
        <v>206.81508485188942</v>
      </c>
      <c r="V22" s="72"/>
      <c r="W22" s="6">
        <f t="shared" si="2"/>
        <v>132.64691649121181</v>
      </c>
    </row>
    <row r="23" spans="2:23">
      <c r="B23" s="2" t="s">
        <v>24</v>
      </c>
      <c r="D23" s="73" t="s">
        <v>206</v>
      </c>
      <c r="E23" s="63">
        <v>13.618677042801556</v>
      </c>
      <c r="F23" s="63">
        <v>0</v>
      </c>
      <c r="G23" s="63">
        <v>51.732039555972491</v>
      </c>
      <c r="H23" s="63">
        <v>86.557638611886716</v>
      </c>
      <c r="I23" s="6">
        <f t="shared" si="3"/>
        <v>151.90835521066077</v>
      </c>
      <c r="J23" s="13">
        <f t="shared" si="1"/>
        <v>1.7460730483983997</v>
      </c>
      <c r="K23" s="73" t="s">
        <v>206</v>
      </c>
      <c r="L23" s="2"/>
      <c r="M23" s="339">
        <f>$J23*M$6*$O$3</f>
        <v>26.714917640495514</v>
      </c>
      <c r="N23" s="339">
        <f>$J23*N$6*$O$3</f>
        <v>46.009024825297828</v>
      </c>
      <c r="O23" s="339">
        <f>$J23*O$6*$O$3</f>
        <v>46.009024825297828</v>
      </c>
      <c r="P23" s="339">
        <f>$J23*P$6*$O$3</f>
        <v>41.556538551881914</v>
      </c>
      <c r="Q23" s="339">
        <f>$J23*Q$6*$O$3</f>
        <v>16.325783002525039</v>
      </c>
      <c r="R23" s="6">
        <f t="shared" si="0"/>
        <v>176.61528884549813</v>
      </c>
      <c r="S23" s="340">
        <f>SUM(R22:R24)/$R$6</f>
        <v>9.2107335309966327</v>
      </c>
      <c r="T23" s="367"/>
      <c r="U23" s="6">
        <v>151.90835521066077</v>
      </c>
      <c r="V23" s="340">
        <f>SUM(U22:U24)/$U$6</f>
        <v>10.291215505103283</v>
      </c>
      <c r="W23" s="6">
        <f t="shared" si="2"/>
        <v>24.706933634837355</v>
      </c>
    </row>
    <row r="24" spans="2:23" ht="15" thickBot="1">
      <c r="B24" s="2" t="s">
        <v>24</v>
      </c>
      <c r="D24" s="74" t="s">
        <v>136</v>
      </c>
      <c r="E24" s="63">
        <v>226</v>
      </c>
      <c r="F24" s="63">
        <v>84.046692607003891</v>
      </c>
      <c r="G24" s="63">
        <v>0</v>
      </c>
      <c r="H24" s="63">
        <v>226.56561627443153</v>
      </c>
      <c r="I24" s="6">
        <f t="shared" si="3"/>
        <v>536.61230888143541</v>
      </c>
      <c r="J24" s="13">
        <f t="shared" si="1"/>
        <v>6.167957573349832</v>
      </c>
      <c r="K24" s="74" t="s">
        <v>136</v>
      </c>
      <c r="L24" s="28">
        <v>400</v>
      </c>
      <c r="N24" s="6">
        <v>30</v>
      </c>
      <c r="O24" s="6">
        <v>200</v>
      </c>
      <c r="P24" s="6">
        <v>150</v>
      </c>
      <c r="Q24" s="6">
        <v>200</v>
      </c>
      <c r="R24" s="6">
        <f t="shared" si="0"/>
        <v>580</v>
      </c>
      <c r="S24" s="74"/>
      <c r="T24" s="365"/>
      <c r="U24" s="6">
        <v>536.61230888143541</v>
      </c>
      <c r="V24" s="74"/>
      <c r="W24" s="6">
        <f t="shared" si="2"/>
        <v>43.387691118564589</v>
      </c>
    </row>
    <row r="25" spans="2:23" ht="15" thickBot="1">
      <c r="B25" s="2" t="s">
        <v>558</v>
      </c>
      <c r="D25" s="74" t="s">
        <v>564</v>
      </c>
      <c r="E25" s="63">
        <v>2334.6303501945526</v>
      </c>
      <c r="F25" s="63">
        <v>0</v>
      </c>
      <c r="G25" s="63">
        <v>0</v>
      </c>
      <c r="H25" s="63">
        <v>1719.9840446749101</v>
      </c>
      <c r="I25" s="6">
        <f t="shared" si="3"/>
        <v>4054.6143948694626</v>
      </c>
      <c r="J25" s="13">
        <f t="shared" si="1"/>
        <v>46.604763159419107</v>
      </c>
      <c r="K25" s="74" t="s">
        <v>564</v>
      </c>
      <c r="L25" s="2"/>
      <c r="R25" s="28">
        <f>SUM(R7:R24)</f>
        <v>9899.3979198172874</v>
      </c>
      <c r="S25" s="74"/>
      <c r="T25" s="365"/>
      <c r="U25" s="28">
        <f>SUM(U7:U24)</f>
        <v>7716.8440841378206</v>
      </c>
      <c r="V25" s="74"/>
      <c r="W25" s="28">
        <f t="shared" si="2"/>
        <v>2182.5538356794668</v>
      </c>
    </row>
    <row r="26" spans="2:23" ht="15" thickBot="1">
      <c r="B26" s="2" t="s">
        <v>558</v>
      </c>
      <c r="D26" s="74" t="s">
        <v>549</v>
      </c>
      <c r="E26" s="63">
        <v>466.9260700389105</v>
      </c>
      <c r="F26" s="63">
        <v>0</v>
      </c>
      <c r="G26" s="63">
        <v>408.29346092503988</v>
      </c>
      <c r="H26" s="63">
        <v>2457.9178300757876</v>
      </c>
      <c r="I26" s="6">
        <f t="shared" si="3"/>
        <v>3333.1373610397377</v>
      </c>
      <c r="J26" s="13">
        <f t="shared" si="1"/>
        <v>38.311923690111925</v>
      </c>
      <c r="K26" s="74" t="s">
        <v>549</v>
      </c>
      <c r="L26" s="28">
        <f t="shared" ref="L26:Q26" si="6">SUM(L7:L24)</f>
        <v>2100</v>
      </c>
      <c r="M26" s="28">
        <f t="shared" si="6"/>
        <v>1629.6829599506766</v>
      </c>
      <c r="N26" s="28">
        <f t="shared" si="6"/>
        <v>2465.0095421372771</v>
      </c>
      <c r="O26" s="28">
        <f t="shared" si="6"/>
        <v>2750.0095421372771</v>
      </c>
      <c r="P26" s="28">
        <f t="shared" si="6"/>
        <v>2206.7957154788305</v>
      </c>
      <c r="Q26" s="28">
        <f t="shared" si="6"/>
        <v>847.90016011322723</v>
      </c>
      <c r="R26" s="6"/>
      <c r="S26" s="74"/>
      <c r="T26" s="365"/>
      <c r="U26" s="6">
        <v>1200</v>
      </c>
      <c r="V26" s="74"/>
      <c r="W26" s="6">
        <f t="shared" si="2"/>
        <v>-1200</v>
      </c>
    </row>
    <row r="27" spans="2:23" ht="15" thickBot="1">
      <c r="R27" s="28">
        <f>SUM(R25:R26)</f>
        <v>9899.3979198172874</v>
      </c>
      <c r="U27" s="28">
        <f>SUM(U25:U26)</f>
        <v>8916.8440841378215</v>
      </c>
      <c r="W27" s="28">
        <f t="shared" si="2"/>
        <v>982.55383567946592</v>
      </c>
    </row>
    <row r="28" spans="2:23" ht="16.2" thickBot="1">
      <c r="K28" s="342" t="s">
        <v>673</v>
      </c>
      <c r="L28" s="343"/>
      <c r="M28" s="344">
        <f>M26-M20-M21-M24</f>
        <v>1629.6829599506766</v>
      </c>
      <c r="N28" s="344">
        <f>N26</f>
        <v>2465.0095421372771</v>
      </c>
      <c r="O28" s="344">
        <f>O26</f>
        <v>2750.0095421372771</v>
      </c>
      <c r="P28" s="344">
        <f>P26</f>
        <v>2206.7957154788305</v>
      </c>
      <c r="Q28" s="344">
        <f>Q26</f>
        <v>847.90016011322723</v>
      </c>
      <c r="R28" s="344">
        <f>SUM(M28:Q28)</f>
        <v>9899.3979198172892</v>
      </c>
      <c r="S28" s="355">
        <f>SUM(S7:S26)</f>
        <v>83.188217813590654</v>
      </c>
      <c r="T28" s="377"/>
      <c r="U28" s="28"/>
      <c r="V28" s="355">
        <f>SUM(V7:V26)</f>
        <v>88.696424536781606</v>
      </c>
    </row>
    <row r="29" spans="2:23">
      <c r="K29" t="s">
        <v>674</v>
      </c>
      <c r="L29" s="28">
        <f>L20+L21+L24</f>
        <v>2100</v>
      </c>
      <c r="N29" s="6"/>
      <c r="O29" s="6"/>
      <c r="P29" s="28"/>
      <c r="Q29" s="28"/>
      <c r="R29" s="28">
        <f>SUM(L29:Q29)</f>
        <v>2100</v>
      </c>
      <c r="U29" s="28"/>
    </row>
    <row r="30" spans="2:23">
      <c r="R30" s="28"/>
      <c r="U30" s="28"/>
    </row>
    <row r="31" spans="2:23">
      <c r="M31" s="3" t="str">
        <f t="shared" ref="M31:R32" si="7">M5</f>
        <v>Nov</v>
      </c>
      <c r="N31" s="3" t="str">
        <f t="shared" si="7"/>
        <v>Dec</v>
      </c>
      <c r="O31" s="3" t="str">
        <f t="shared" si="7"/>
        <v>Jan</v>
      </c>
      <c r="P31" s="3" t="str">
        <f>P5</f>
        <v>Fev</v>
      </c>
      <c r="Q31" s="3" t="str">
        <f t="shared" si="7"/>
        <v>Mar</v>
      </c>
      <c r="R31" s="3" t="str">
        <f t="shared" si="7"/>
        <v>Viet 8</v>
      </c>
      <c r="U31" s="3" t="str">
        <f>U5</f>
        <v>Viet 7</v>
      </c>
    </row>
    <row r="32" spans="2:23">
      <c r="M32" s="3">
        <f t="shared" si="7"/>
        <v>18</v>
      </c>
      <c r="N32" s="3">
        <f t="shared" si="7"/>
        <v>31</v>
      </c>
      <c r="O32" s="3">
        <f t="shared" si="7"/>
        <v>31</v>
      </c>
      <c r="P32" s="3">
        <f>P6</f>
        <v>28</v>
      </c>
      <c r="Q32" s="3">
        <f t="shared" si="7"/>
        <v>11</v>
      </c>
      <c r="R32" s="3">
        <f t="shared" si="7"/>
        <v>119</v>
      </c>
      <c r="U32" s="3">
        <f>U6</f>
        <v>87</v>
      </c>
    </row>
    <row r="33" spans="2:26">
      <c r="B33" t="s">
        <v>328</v>
      </c>
      <c r="K33" s="9" t="s">
        <v>328</v>
      </c>
      <c r="L33" s="6"/>
      <c r="M33" s="344">
        <f t="shared" ref="L33:U37" ca="1" si="8">SUMIF($B$7:$B$26,$B33,M$7:M$24)</f>
        <v>473.33830895855175</v>
      </c>
      <c r="N33" s="344">
        <f t="shared" ca="1" si="8"/>
        <v>815.19375431750575</v>
      </c>
      <c r="O33" s="344">
        <f t="shared" ca="1" si="8"/>
        <v>815.19375431750575</v>
      </c>
      <c r="P33" s="344">
        <f t="shared" ca="1" si="8"/>
        <v>736.30403615774719</v>
      </c>
      <c r="Q33" s="344">
        <f t="shared" ca="1" si="8"/>
        <v>289.26229991911492</v>
      </c>
      <c r="R33" s="28">
        <f ca="1">SUMIF($B$7:$B$26,$B33,R$7:R$24)</f>
        <v>3129.2921536704253</v>
      </c>
      <c r="U33" s="28">
        <f ca="1">SUMIF($B$7:$B$26,$B33,U$7:U$24)</f>
        <v>1906.5015221941665</v>
      </c>
      <c r="V33" s="6">
        <f ca="1">R33-U33</f>
        <v>1222.7906314762588</v>
      </c>
    </row>
    <row r="34" spans="2:26">
      <c r="B34" t="s">
        <v>559</v>
      </c>
      <c r="K34" s="9" t="s">
        <v>559</v>
      </c>
      <c r="L34" s="6"/>
      <c r="M34" s="344">
        <f t="shared" ca="1" si="8"/>
        <v>908.28253987116034</v>
      </c>
      <c r="N34" s="344">
        <f t="shared" ca="1" si="8"/>
        <v>875.3754853336651</v>
      </c>
      <c r="O34" s="344">
        <f t="shared" ca="1" si="8"/>
        <v>875.3754853336651</v>
      </c>
      <c r="P34" s="344">
        <f t="shared" ca="1" si="8"/>
        <v>689.06172868847182</v>
      </c>
      <c r="Q34" s="344">
        <f t="shared" ca="1" si="8"/>
        <v>250.93323673130052</v>
      </c>
      <c r="R34" s="28">
        <f t="shared" ca="1" si="8"/>
        <v>3599.0284759582628</v>
      </c>
      <c r="U34" s="28">
        <f t="shared" ca="1" si="8"/>
        <v>1662.1362878744724</v>
      </c>
      <c r="V34" s="6">
        <f t="shared" ref="V34:V39" ca="1" si="9">R34-U34</f>
        <v>1936.8921880837904</v>
      </c>
    </row>
    <row r="35" spans="2:26">
      <c r="B35" t="s">
        <v>23</v>
      </c>
      <c r="K35" s="9" t="s">
        <v>23</v>
      </c>
      <c r="L35" s="6"/>
      <c r="M35" s="344">
        <f t="shared" ca="1" si="8"/>
        <v>170</v>
      </c>
      <c r="N35" s="344">
        <f t="shared" ca="1" si="8"/>
        <v>320</v>
      </c>
      <c r="O35" s="344">
        <f t="shared" ca="1" si="8"/>
        <v>395</v>
      </c>
      <c r="P35" s="344">
        <f t="shared" ca="1" si="8"/>
        <v>210</v>
      </c>
      <c r="Q35" s="344">
        <f t="shared" ca="1" si="8"/>
        <v>10</v>
      </c>
      <c r="R35" s="28">
        <f t="shared" ca="1" si="8"/>
        <v>1105</v>
      </c>
      <c r="U35" s="28">
        <f t="shared" ca="1" si="8"/>
        <v>647.61537568737504</v>
      </c>
      <c r="V35" s="6">
        <f t="shared" ca="1" si="9"/>
        <v>457.38462431262496</v>
      </c>
    </row>
    <row r="36" spans="2:26">
      <c r="B36" t="s">
        <v>25</v>
      </c>
      <c r="K36" s="9" t="s">
        <v>25</v>
      </c>
      <c r="L36" s="345">
        <f t="shared" ca="1" si="8"/>
        <v>1700</v>
      </c>
      <c r="M36" s="344">
        <f t="shared" ca="1" si="8"/>
        <v>0</v>
      </c>
      <c r="N36" s="344">
        <f t="shared" ca="1" si="8"/>
        <v>290</v>
      </c>
      <c r="O36" s="344">
        <f t="shared" ca="1" si="8"/>
        <v>330</v>
      </c>
      <c r="P36" s="344">
        <f t="shared" ca="1" si="8"/>
        <v>300</v>
      </c>
      <c r="Q36" s="344">
        <f t="shared" ca="1" si="8"/>
        <v>50</v>
      </c>
      <c r="R36" s="345">
        <f ca="1">SUMIF($B$7:$B$26,$B36,R$7:R$24)+L36</f>
        <v>2670</v>
      </c>
      <c r="U36" s="28">
        <f t="shared" ca="1" si="8"/>
        <v>2605.2551494378204</v>
      </c>
      <c r="V36" s="6">
        <f t="shared" ca="1" si="9"/>
        <v>64.744850562179636</v>
      </c>
    </row>
    <row r="37" spans="2:26">
      <c r="B37" t="s">
        <v>24</v>
      </c>
      <c r="K37" s="9" t="s">
        <v>24</v>
      </c>
      <c r="L37" s="345">
        <f t="shared" ca="1" si="8"/>
        <v>400</v>
      </c>
      <c r="M37" s="344">
        <f t="shared" ca="1" si="8"/>
        <v>78.062111120964602</v>
      </c>
      <c r="N37" s="344">
        <f t="shared" ca="1" si="8"/>
        <v>164.44030248610571</v>
      </c>
      <c r="O37" s="344">
        <f t="shared" ca="1" si="8"/>
        <v>334.44030248610568</v>
      </c>
      <c r="P37" s="344">
        <f t="shared" ca="1" si="8"/>
        <v>271.42995063261162</v>
      </c>
      <c r="Q37" s="344">
        <f t="shared" ca="1" si="8"/>
        <v>247.7046234628117</v>
      </c>
      <c r="R37" s="345">
        <f ca="1">SUMIF($B$7:$B$26,$B37,R$7:R$24)+L37</f>
        <v>1496.0772901885994</v>
      </c>
      <c r="U37" s="28">
        <f t="shared" ca="1" si="8"/>
        <v>895.33574894398566</v>
      </c>
      <c r="V37" s="6">
        <f t="shared" ca="1" si="9"/>
        <v>600.7415412446137</v>
      </c>
    </row>
    <row r="38" spans="2:26">
      <c r="B38"/>
      <c r="M38" s="342"/>
      <c r="N38" s="342"/>
      <c r="O38" s="342"/>
      <c r="P38" s="342"/>
      <c r="Q38" s="342"/>
      <c r="U38" s="98">
        <v>1200</v>
      </c>
      <c r="V38" s="6">
        <f t="shared" si="9"/>
        <v>-1200</v>
      </c>
    </row>
    <row r="39" spans="2:26">
      <c r="L39" s="28">
        <f t="shared" ref="L39:R39" ca="1" si="10">SUM(L33:L37)</f>
        <v>2100</v>
      </c>
      <c r="M39" s="344">
        <f t="shared" ca="1" si="10"/>
        <v>1629.6829599506766</v>
      </c>
      <c r="N39" s="344">
        <f t="shared" ca="1" si="10"/>
        <v>2465.0095421372766</v>
      </c>
      <c r="O39" s="344">
        <f t="shared" ca="1" si="10"/>
        <v>2750.0095421372766</v>
      </c>
      <c r="P39" s="344">
        <f ca="1">SUM(P33:P37)</f>
        <v>2206.7957154788305</v>
      </c>
      <c r="Q39" s="344">
        <f t="shared" ca="1" si="10"/>
        <v>847.90016011322712</v>
      </c>
      <c r="R39" s="28">
        <f t="shared" ca="1" si="10"/>
        <v>11999.397919817287</v>
      </c>
      <c r="U39" s="28">
        <f ca="1">SUM(U33:U38)</f>
        <v>8916.8440841378197</v>
      </c>
      <c r="V39" s="28">
        <f t="shared" ca="1" si="9"/>
        <v>3082.5538356794677</v>
      </c>
    </row>
    <row r="40" spans="2:26">
      <c r="Y40">
        <v>0</v>
      </c>
    </row>
    <row r="42" spans="2:26">
      <c r="K42" s="364"/>
      <c r="L42" s="364"/>
      <c r="M42" s="364"/>
      <c r="N42" s="364"/>
      <c r="O42" s="364"/>
      <c r="P42" s="364"/>
      <c r="Q42" s="364"/>
      <c r="R42" s="364"/>
      <c r="S42" s="364"/>
      <c r="T42" s="364"/>
      <c r="U42" s="364"/>
      <c r="V42" s="364"/>
    </row>
    <row r="43" spans="2:26">
      <c r="K43" s="365"/>
      <c r="L43" s="365"/>
      <c r="M43" s="365"/>
      <c r="N43" s="365"/>
      <c r="O43" s="365"/>
      <c r="P43" s="365"/>
      <c r="Q43" s="365"/>
      <c r="R43" s="365"/>
      <c r="S43" s="365"/>
      <c r="T43" s="365"/>
      <c r="U43" s="365"/>
      <c r="V43" s="365"/>
      <c r="W43" s="365"/>
      <c r="X43" s="364"/>
    </row>
    <row r="44" spans="2:26">
      <c r="K44" s="365"/>
      <c r="L44" s="365"/>
      <c r="M44" s="366" t="s">
        <v>678</v>
      </c>
      <c r="N44" s="366" t="s">
        <v>679</v>
      </c>
      <c r="O44" s="366" t="s">
        <v>680</v>
      </c>
      <c r="P44" s="366" t="s">
        <v>681</v>
      </c>
      <c r="Q44" s="366" t="s">
        <v>735</v>
      </c>
      <c r="U44" s="365" t="s">
        <v>737</v>
      </c>
      <c r="V44" s="365"/>
      <c r="W44" s="364"/>
      <c r="Y44" t="s">
        <v>692</v>
      </c>
      <c r="Z44" s="4">
        <v>-7129</v>
      </c>
    </row>
    <row r="45" spans="2:26">
      <c r="K45" s="366" t="s">
        <v>589</v>
      </c>
      <c r="L45" s="367"/>
      <c r="M45" s="6">
        <f ca="1">M39</f>
        <v>1629.6829599506766</v>
      </c>
      <c r="N45" s="6">
        <f ca="1">N39</f>
        <v>2465.0095421372766</v>
      </c>
      <c r="O45" s="6">
        <f ca="1">O39</f>
        <v>2750.0095421372766</v>
      </c>
      <c r="P45" s="6">
        <f ca="1">P39</f>
        <v>2206.7957154788305</v>
      </c>
      <c r="Q45" s="6">
        <f ca="1">Q39</f>
        <v>847.90016011322712</v>
      </c>
      <c r="R45" s="368">
        <f ca="1">SUM(M45:Q45)</f>
        <v>9899.3979198172892</v>
      </c>
      <c r="S45" s="368"/>
      <c r="T45" s="368"/>
      <c r="U45" s="368">
        <v>7128.5733197780455</v>
      </c>
      <c r="V45" s="369"/>
      <c r="W45" s="364"/>
    </row>
    <row r="46" spans="2:26">
      <c r="K46" s="366"/>
      <c r="L46" s="367"/>
      <c r="N46" s="370"/>
      <c r="O46" s="370"/>
      <c r="P46" s="370"/>
      <c r="Q46" s="370"/>
      <c r="R46" s="370"/>
      <c r="S46" s="370"/>
      <c r="T46" s="370"/>
      <c r="U46" s="370"/>
      <c r="V46" s="369"/>
      <c r="W46" s="364"/>
      <c r="Y46" t="s">
        <v>690</v>
      </c>
      <c r="Z46" s="2">
        <v>4000</v>
      </c>
    </row>
    <row r="47" spans="2:26">
      <c r="K47" s="366" t="s">
        <v>682</v>
      </c>
      <c r="L47" s="370">
        <v>-400</v>
      </c>
      <c r="O47" s="370"/>
      <c r="P47" s="370"/>
      <c r="Q47" s="370"/>
      <c r="R47" s="370"/>
      <c r="S47" s="370"/>
      <c r="T47" s="370"/>
      <c r="U47" s="370">
        <v>-400</v>
      </c>
      <c r="V47" s="369"/>
      <c r="W47" s="364"/>
      <c r="Y47" t="s">
        <v>691</v>
      </c>
      <c r="Z47" s="2">
        <v>2200</v>
      </c>
    </row>
    <row r="48" spans="2:26">
      <c r="K48" s="365" t="s">
        <v>683</v>
      </c>
      <c r="L48" s="365">
        <v>-1700</v>
      </c>
      <c r="N48" s="370"/>
      <c r="O48" s="370"/>
      <c r="P48" s="370"/>
      <c r="Q48" s="370">
        <v>-50</v>
      </c>
      <c r="R48" s="370">
        <f>SUM(M48:Q48)</f>
        <v>-50</v>
      </c>
      <c r="S48" s="370"/>
      <c r="T48" s="370"/>
      <c r="U48" s="370">
        <v>-1750</v>
      </c>
      <c r="V48" s="369"/>
      <c r="W48" s="364"/>
      <c r="Y48" t="s">
        <v>693</v>
      </c>
      <c r="Z48" s="160">
        <v>929</v>
      </c>
    </row>
    <row r="49" spans="10:35">
      <c r="K49" s="366" t="s">
        <v>684</v>
      </c>
      <c r="L49" s="368">
        <f t="shared" ref="L49:Q49" si="11">SUM(L47:L48)</f>
        <v>-2100</v>
      </c>
      <c r="M49" s="368">
        <f t="shared" si="11"/>
        <v>0</v>
      </c>
      <c r="N49" s="368">
        <f t="shared" si="11"/>
        <v>0</v>
      </c>
      <c r="O49" s="368">
        <f t="shared" si="11"/>
        <v>0</v>
      </c>
      <c r="P49" s="368">
        <f t="shared" si="11"/>
        <v>0</v>
      </c>
      <c r="Q49" s="368">
        <f t="shared" si="11"/>
        <v>-50</v>
      </c>
      <c r="R49" s="368">
        <f>SUM(M49:Q49)</f>
        <v>-50</v>
      </c>
      <c r="S49" s="368"/>
      <c r="T49" s="368"/>
      <c r="U49" s="371"/>
      <c r="V49" s="369"/>
      <c r="W49" s="364"/>
      <c r="Z49" s="4">
        <f>SUM(Z46:Z48)</f>
        <v>7129</v>
      </c>
    </row>
    <row r="50" spans="10:35">
      <c r="K50" s="366"/>
      <c r="L50" s="370"/>
      <c r="N50" s="370"/>
      <c r="O50" s="370"/>
      <c r="P50" s="370"/>
      <c r="Q50" s="370"/>
      <c r="R50" s="370"/>
      <c r="S50" s="370"/>
      <c r="T50" s="370"/>
      <c r="U50" s="371"/>
      <c r="V50" s="369"/>
      <c r="W50" s="364"/>
    </row>
    <row r="51" spans="10:35">
      <c r="K51" s="366" t="s">
        <v>685</v>
      </c>
      <c r="L51" s="365"/>
      <c r="M51" s="368">
        <f ca="1">M45+M49</f>
        <v>1629.6829599506766</v>
      </c>
      <c r="N51" s="368">
        <f ca="1">N45+N49</f>
        <v>2465.0095421372766</v>
      </c>
      <c r="O51" s="368">
        <f ca="1">O45+O49</f>
        <v>2750.0095421372766</v>
      </c>
      <c r="P51" s="368">
        <f ca="1">P45+P49</f>
        <v>2206.7957154788305</v>
      </c>
      <c r="Q51" s="368">
        <f ca="1">Q45+Q49</f>
        <v>797.90016011322712</v>
      </c>
      <c r="R51" s="368">
        <f ca="1">SUM(M51:Q51)</f>
        <v>9849.3979198172892</v>
      </c>
      <c r="S51" s="368"/>
      <c r="T51" s="368"/>
      <c r="U51" s="368">
        <v>4978.5733197780455</v>
      </c>
      <c r="V51" s="369"/>
      <c r="W51" s="364"/>
    </row>
    <row r="52" spans="10:35">
      <c r="K52" s="365"/>
      <c r="L52" s="365"/>
      <c r="N52" s="368"/>
      <c r="O52" s="368"/>
      <c r="P52" s="368"/>
      <c r="Q52" s="368"/>
      <c r="R52" s="368"/>
      <c r="S52" s="368"/>
      <c r="T52" s="368"/>
      <c r="U52" s="368"/>
      <c r="V52" s="369"/>
      <c r="W52" s="364"/>
      <c r="AB52" s="2">
        <v>1459</v>
      </c>
    </row>
    <row r="53" spans="10:35">
      <c r="J53" s="366" t="s">
        <v>686</v>
      </c>
      <c r="K53" s="385" t="s">
        <v>741</v>
      </c>
      <c r="L53" s="365"/>
      <c r="M53" s="378">
        <f>-M15</f>
        <v>-799.59999999999991</v>
      </c>
      <c r="N53" s="378">
        <f>-N15</f>
        <v>-688.19999999999993</v>
      </c>
      <c r="O53" s="378">
        <f>-O15</f>
        <v>-688.19999999999993</v>
      </c>
      <c r="P53" s="378">
        <f>-P15</f>
        <v>-520</v>
      </c>
      <c r="Q53" s="378">
        <f>-Q15</f>
        <v>-184.51612903225805</v>
      </c>
      <c r="R53" s="378">
        <f>SUM(M53:Q53)</f>
        <v>-2880.5161290322576</v>
      </c>
      <c r="U53" s="371">
        <v>-1798.1999999999996</v>
      </c>
      <c r="V53" s="369"/>
      <c r="W53" s="364"/>
      <c r="AB53" s="2">
        <v>-175</v>
      </c>
    </row>
    <row r="54" spans="10:35">
      <c r="J54" s="365"/>
      <c r="K54" s="379" t="s">
        <v>739</v>
      </c>
      <c r="L54" s="365"/>
      <c r="M54" s="378">
        <f>400+480</f>
        <v>880</v>
      </c>
      <c r="N54" s="378">
        <v>600</v>
      </c>
      <c r="O54" s="378">
        <v>600</v>
      </c>
      <c r="P54" s="378">
        <v>480</v>
      </c>
      <c r="Q54" s="378">
        <v>178</v>
      </c>
      <c r="R54" s="378">
        <f>SUM(M54:Q54)</f>
        <v>2738</v>
      </c>
      <c r="U54" s="371">
        <v>1777</v>
      </c>
      <c r="V54" s="369"/>
      <c r="W54" s="364"/>
      <c r="X54">
        <v>0</v>
      </c>
      <c r="AA54" t="s">
        <v>725</v>
      </c>
      <c r="AB54" s="28">
        <v>1284</v>
      </c>
      <c r="AC54" s="4" t="s">
        <v>694</v>
      </c>
      <c r="AD54">
        <v>30</v>
      </c>
    </row>
    <row r="55" spans="10:35">
      <c r="J55" s="365"/>
      <c r="K55" s="372" t="s">
        <v>740</v>
      </c>
      <c r="L55" s="371">
        <v>1200</v>
      </c>
      <c r="M55" s="371">
        <v>-160</v>
      </c>
      <c r="N55" s="371">
        <v>-480</v>
      </c>
      <c r="O55" s="371">
        <v>-480</v>
      </c>
      <c r="P55" s="371">
        <v>-80</v>
      </c>
      <c r="Q55" s="371"/>
      <c r="R55" s="371">
        <f>SUM(L55:Q55)</f>
        <v>0</v>
      </c>
      <c r="U55" s="371"/>
      <c r="V55" s="369"/>
      <c r="W55" s="364"/>
    </row>
    <row r="56" spans="10:35">
      <c r="J56" s="365"/>
      <c r="K56" s="372" t="s">
        <v>695</v>
      </c>
      <c r="L56" s="371">
        <v>480</v>
      </c>
      <c r="M56" s="371"/>
      <c r="N56" s="371"/>
      <c r="O56" s="371"/>
      <c r="P56" s="371"/>
      <c r="Q56" s="371">
        <v>-480</v>
      </c>
      <c r="R56" s="371">
        <f>SUM(L56:Q56)</f>
        <v>0</v>
      </c>
      <c r="S56" s="371"/>
      <c r="T56" s="371"/>
      <c r="U56" s="371"/>
      <c r="V56" s="369"/>
      <c r="W56" s="364"/>
      <c r="AB56" s="4" t="s">
        <v>726</v>
      </c>
      <c r="AC56" s="4" t="s">
        <v>251</v>
      </c>
      <c r="AD56" s="4" t="s">
        <v>252</v>
      </c>
      <c r="AE56" s="4" t="s">
        <v>670</v>
      </c>
      <c r="AF56" s="4" t="s">
        <v>275</v>
      </c>
      <c r="AG56" s="4" t="s">
        <v>735</v>
      </c>
      <c r="AI56">
        <f>8500/25</f>
        <v>340</v>
      </c>
    </row>
    <row r="57" spans="10:35">
      <c r="J57" s="380"/>
      <c r="K57" s="381" t="s">
        <v>687</v>
      </c>
      <c r="L57" s="381">
        <v>1000</v>
      </c>
      <c r="M57" s="382"/>
      <c r="N57" s="382"/>
      <c r="O57" s="382"/>
      <c r="P57" s="382">
        <v>-1000</v>
      </c>
      <c r="Q57" s="383"/>
      <c r="R57" s="371">
        <f>SUM(L57:Q57)</f>
        <v>0</v>
      </c>
      <c r="S57" s="384"/>
      <c r="U57" s="370">
        <v>-1000</v>
      </c>
      <c r="V57" s="369"/>
      <c r="W57" s="364"/>
      <c r="Z57" t="s">
        <v>727</v>
      </c>
      <c r="AA57" s="191" t="s">
        <v>695</v>
      </c>
      <c r="AB57" s="191">
        <v>12</v>
      </c>
      <c r="AH57" s="191">
        <f>SUM(AB57:AG57)</f>
        <v>12</v>
      </c>
    </row>
    <row r="58" spans="10:35">
      <c r="J58" s="365" t="s">
        <v>742</v>
      </c>
      <c r="K58" s="372" t="s">
        <v>688</v>
      </c>
      <c r="M58" s="371"/>
      <c r="N58" s="371">
        <v>-268</v>
      </c>
      <c r="O58" s="371"/>
      <c r="P58" s="371"/>
      <c r="Q58" s="371"/>
      <c r="R58" s="371">
        <f>SUM(M58:Q58)</f>
        <v>-268</v>
      </c>
      <c r="S58" t="s">
        <v>745</v>
      </c>
      <c r="U58" s="370"/>
      <c r="V58" s="369"/>
      <c r="W58" s="364"/>
      <c r="Z58" t="s">
        <v>727</v>
      </c>
      <c r="AA58" s="191" t="s">
        <v>695</v>
      </c>
      <c r="AB58" s="191"/>
      <c r="AE58" s="2"/>
      <c r="AF58" s="191"/>
      <c r="AG58" s="191">
        <v>-12</v>
      </c>
      <c r="AH58" s="191">
        <f>SUM(AB58:AG58)</f>
        <v>-12</v>
      </c>
    </row>
    <row r="59" spans="10:35">
      <c r="J59" s="365" t="s">
        <v>743</v>
      </c>
      <c r="K59" s="372" t="s">
        <v>688</v>
      </c>
      <c r="M59" s="371"/>
      <c r="N59" s="371"/>
      <c r="O59" s="371">
        <v>-520</v>
      </c>
      <c r="P59" s="371"/>
      <c r="Q59" s="371"/>
      <c r="R59" s="371">
        <f>SUM(M59:Q59)</f>
        <v>-520</v>
      </c>
      <c r="S59" t="s">
        <v>745</v>
      </c>
      <c r="U59" s="375">
        <v>0</v>
      </c>
      <c r="V59" s="369"/>
      <c r="W59" s="364"/>
      <c r="Z59" t="s">
        <v>727</v>
      </c>
      <c r="AA59" s="4" t="s">
        <v>549</v>
      </c>
      <c r="AC59" s="346">
        <v>4</v>
      </c>
      <c r="AD59" s="346">
        <v>12</v>
      </c>
      <c r="AE59" s="346">
        <v>12</v>
      </c>
      <c r="AF59" s="346">
        <v>2</v>
      </c>
      <c r="AG59" s="346"/>
      <c r="AH59" s="346">
        <f>SUM(AB59:AG59)</f>
        <v>30</v>
      </c>
    </row>
    <row r="60" spans="10:35">
      <c r="J60" s="365" t="s">
        <v>744</v>
      </c>
      <c r="K60" s="372" t="s">
        <v>688</v>
      </c>
      <c r="M60" s="371"/>
      <c r="N60" s="371"/>
      <c r="O60" s="371">
        <v>820</v>
      </c>
      <c r="P60" s="371"/>
      <c r="Q60" s="371"/>
      <c r="R60" s="371">
        <f>SUM(M60:Q60)</f>
        <v>820</v>
      </c>
      <c r="S60" t="s">
        <v>746</v>
      </c>
      <c r="V60" s="369"/>
      <c r="W60" s="364"/>
      <c r="AA60" t="s">
        <v>801</v>
      </c>
      <c r="AE60" s="436" t="s">
        <v>803</v>
      </c>
      <c r="AF60" s="191">
        <v>-2</v>
      </c>
    </row>
    <row r="61" spans="10:35">
      <c r="J61" s="365"/>
      <c r="K61" s="372"/>
      <c r="M61" s="371"/>
      <c r="N61" s="371"/>
      <c r="O61" s="371"/>
      <c r="P61" s="371"/>
      <c r="Q61" s="371"/>
      <c r="R61" s="371"/>
      <c r="V61" s="369"/>
      <c r="W61" s="364"/>
    </row>
    <row r="62" spans="10:35">
      <c r="J62" s="365"/>
      <c r="K62" s="372"/>
      <c r="M62" s="371"/>
      <c r="N62" s="371"/>
      <c r="O62" s="371"/>
      <c r="P62" s="371"/>
      <c r="Q62" s="371"/>
      <c r="R62" s="371"/>
      <c r="V62" s="369"/>
      <c r="W62" s="364"/>
    </row>
    <row r="63" spans="10:35">
      <c r="K63" s="373"/>
      <c r="M63" s="374"/>
      <c r="N63" s="375"/>
      <c r="O63" s="375"/>
      <c r="P63" s="376"/>
      <c r="Q63" s="376"/>
      <c r="R63" s="376"/>
      <c r="S63" s="376"/>
      <c r="T63" s="376"/>
      <c r="U63" s="375"/>
      <c r="V63" s="369"/>
      <c r="W63" s="364"/>
    </row>
    <row r="64" spans="10:35">
      <c r="K64" s="366" t="s">
        <v>689</v>
      </c>
      <c r="L64" s="368"/>
      <c r="M64" s="368">
        <f ca="1">SUM(M51:M59)</f>
        <v>1550.0829599506767</v>
      </c>
      <c r="N64" s="368">
        <f ca="1">SUM(N51:N59)</f>
        <v>1628.8095421372768</v>
      </c>
      <c r="O64" s="368">
        <f ca="1">SUM(O51:O59)</f>
        <v>1661.8095421372768</v>
      </c>
      <c r="P64" s="368">
        <f ca="1">SUM(P51:P59)</f>
        <v>1086.7957154788305</v>
      </c>
      <c r="Q64" s="368">
        <f ca="1">SUM(Q51:Q59)</f>
        <v>311.38403108096907</v>
      </c>
      <c r="R64" s="378">
        <f ca="1">SUM(M64:Q64)</f>
        <v>6238.8817907850307</v>
      </c>
      <c r="U64" s="368">
        <v>-1021.1999999999996</v>
      </c>
      <c r="W64" s="364"/>
      <c r="Z64" t="s">
        <v>728</v>
      </c>
      <c r="AB64" s="2"/>
      <c r="AC64" s="2"/>
      <c r="AD64" s="2">
        <v>6.7</v>
      </c>
      <c r="AE64" s="2"/>
      <c r="AF64" s="2"/>
      <c r="AG64" s="2"/>
      <c r="AH64" s="346">
        <f>SUM(AB64:AG64)</f>
        <v>6.7</v>
      </c>
    </row>
    <row r="65" spans="11:35">
      <c r="W65" s="364"/>
      <c r="Z65" t="s">
        <v>728</v>
      </c>
      <c r="AB65" s="2"/>
      <c r="AC65" s="2"/>
      <c r="AD65" s="2"/>
      <c r="AE65" s="2">
        <v>13</v>
      </c>
      <c r="AF65" s="2"/>
      <c r="AG65" s="2"/>
      <c r="AH65" s="346">
        <f>SUM(AB65:AG65)</f>
        <v>13</v>
      </c>
    </row>
    <row r="66" spans="11:35">
      <c r="K66" s="365"/>
      <c r="L66" s="365"/>
      <c r="M66" s="365"/>
      <c r="N66" s="370"/>
      <c r="O66" s="370"/>
      <c r="P66" s="370"/>
      <c r="Q66" s="370"/>
      <c r="R66" s="370"/>
      <c r="S66" s="370"/>
      <c r="T66" s="370"/>
      <c r="U66" s="366" t="s">
        <v>749</v>
      </c>
      <c r="V66" s="366" t="s">
        <v>9</v>
      </c>
      <c r="W66" s="364"/>
      <c r="Z66" t="s">
        <v>799</v>
      </c>
      <c r="AE66" s="2">
        <v>-19.7</v>
      </c>
      <c r="AF66" s="2"/>
      <c r="AG66" s="2"/>
      <c r="AH66" s="346">
        <f>SUM(AB66:AG66)</f>
        <v>-19.7</v>
      </c>
      <c r="AI66" t="s">
        <v>789</v>
      </c>
    </row>
    <row r="67" spans="11:35">
      <c r="K67" s="364"/>
      <c r="L67" s="364"/>
      <c r="M67" s="364"/>
      <c r="N67" s="364"/>
      <c r="O67" s="364"/>
      <c r="P67" s="364"/>
      <c r="Q67" s="364"/>
      <c r="R67" s="365" t="s">
        <v>549</v>
      </c>
      <c r="S67" s="386">
        <v>-400</v>
      </c>
      <c r="T67" t="s">
        <v>689</v>
      </c>
      <c r="V67" s="368">
        <f>-S67</f>
        <v>400</v>
      </c>
      <c r="W67" s="364"/>
      <c r="AE67" t="s">
        <v>802</v>
      </c>
      <c r="AF67" s="2"/>
      <c r="AG67" s="2"/>
      <c r="AH67" s="346"/>
    </row>
    <row r="68" spans="11:35">
      <c r="R68" s="365" t="s">
        <v>742</v>
      </c>
      <c r="S68" s="387">
        <v>-268</v>
      </c>
      <c r="T68" s="9" t="s">
        <v>745</v>
      </c>
      <c r="U68" s="393">
        <v>6200</v>
      </c>
      <c r="V68" s="395" t="s">
        <v>751</v>
      </c>
      <c r="AF68" s="2"/>
      <c r="AG68" s="2"/>
      <c r="AH68" s="346"/>
    </row>
    <row r="69" spans="11:35">
      <c r="R69" s="365" t="s">
        <v>743</v>
      </c>
      <c r="S69" s="388">
        <v>-520</v>
      </c>
      <c r="T69" s="9" t="s">
        <v>745</v>
      </c>
      <c r="U69" s="394">
        <v>13000</v>
      </c>
      <c r="V69" s="392">
        <f>+SUM(U68:U69)/25.2</f>
        <v>761.90476190476193</v>
      </c>
      <c r="W69" s="94" t="s">
        <v>748</v>
      </c>
      <c r="X69" t="s">
        <v>750</v>
      </c>
      <c r="AF69" s="2"/>
      <c r="AG69" s="2"/>
      <c r="AH69" s="346"/>
    </row>
    <row r="70" spans="11:35">
      <c r="R70" s="365" t="s">
        <v>744</v>
      </c>
      <c r="S70" s="388">
        <v>-820</v>
      </c>
      <c r="T70" s="9" t="s">
        <v>746</v>
      </c>
      <c r="U70" s="4">
        <f>-S70*25.2</f>
        <v>20664</v>
      </c>
      <c r="V70" s="391">
        <f>U70/25.2</f>
        <v>820</v>
      </c>
    </row>
    <row r="71" spans="11:35">
      <c r="S71" s="388">
        <v>-2000</v>
      </c>
      <c r="T71" t="s">
        <v>747</v>
      </c>
      <c r="V71" s="368">
        <f>-S71</f>
        <v>2000</v>
      </c>
      <c r="W71" s="94" t="s">
        <v>748</v>
      </c>
      <c r="AB71" s="2">
        <f t="shared" ref="AB71:AH71" si="12">SUM(AB57:AB70)</f>
        <v>12</v>
      </c>
      <c r="AC71" s="2">
        <f t="shared" si="12"/>
        <v>4</v>
      </c>
      <c r="AD71" s="2">
        <f t="shared" si="12"/>
        <v>18.7</v>
      </c>
      <c r="AE71" s="2">
        <f t="shared" si="12"/>
        <v>5.3000000000000007</v>
      </c>
      <c r="AF71" s="2">
        <f t="shared" si="12"/>
        <v>0</v>
      </c>
      <c r="AG71" s="2">
        <f t="shared" si="12"/>
        <v>-12</v>
      </c>
      <c r="AH71" s="2">
        <f t="shared" si="12"/>
        <v>30.000000000000004</v>
      </c>
    </row>
    <row r="72" spans="11:35">
      <c r="S72" s="389"/>
    </row>
    <row r="73" spans="11:35">
      <c r="S73" s="390"/>
      <c r="Z73" t="s">
        <v>727</v>
      </c>
      <c r="AA73" s="4" t="s">
        <v>514</v>
      </c>
      <c r="AD73" s="346"/>
      <c r="AF73" s="346">
        <v>12</v>
      </c>
      <c r="AG73" s="346">
        <v>3.6</v>
      </c>
      <c r="AH73" s="346">
        <f>SUM(AB73:AG73)</f>
        <v>15.6</v>
      </c>
      <c r="AI73" t="s">
        <v>811</v>
      </c>
    </row>
    <row r="74" spans="11:35" ht="15" thickBot="1">
      <c r="AG74" s="346">
        <v>1.296</v>
      </c>
      <c r="AH74" s="346">
        <f>SUM(AB74:AG74)</f>
        <v>1.296</v>
      </c>
      <c r="AI74" t="s">
        <v>811</v>
      </c>
    </row>
    <row r="75" spans="11:35">
      <c r="Q75" s="246"/>
      <c r="R75" s="410"/>
      <c r="S75" s="410"/>
      <c r="T75" s="410"/>
      <c r="U75" s="247"/>
      <c r="Z75" t="s">
        <v>810</v>
      </c>
      <c r="AF75" s="118">
        <v>8.86</v>
      </c>
      <c r="AI75" t="s">
        <v>811</v>
      </c>
    </row>
    <row r="76" spans="11:35">
      <c r="Q76" s="250"/>
      <c r="R76" s="364" t="s">
        <v>742</v>
      </c>
      <c r="S76" s="366">
        <v>6700</v>
      </c>
      <c r="T76" s="364"/>
      <c r="U76" s="411"/>
      <c r="AF76" s="4">
        <v>-8.86</v>
      </c>
      <c r="AI76" t="s">
        <v>811</v>
      </c>
    </row>
    <row r="77" spans="11:35">
      <c r="Q77" s="250"/>
      <c r="R77" s="364" t="s">
        <v>768</v>
      </c>
      <c r="S77" s="366">
        <v>13000</v>
      </c>
      <c r="T77" s="364"/>
      <c r="U77" s="411"/>
      <c r="Z77" t="s">
        <v>848</v>
      </c>
      <c r="AF77" s="118">
        <v>7</v>
      </c>
    </row>
    <row r="78" spans="11:35">
      <c r="Q78" s="250"/>
      <c r="R78" s="364" t="s">
        <v>770</v>
      </c>
      <c r="S78" s="366">
        <f>SUM(S76:S77)</f>
        <v>19700</v>
      </c>
      <c r="T78" s="364"/>
      <c r="U78" s="411"/>
      <c r="Z78" t="s">
        <v>849</v>
      </c>
      <c r="AG78" s="2">
        <v>2.5</v>
      </c>
    </row>
    <row r="79" spans="11:35">
      <c r="Q79" s="250"/>
      <c r="R79" s="364"/>
      <c r="S79" s="366"/>
      <c r="T79" s="364"/>
      <c r="U79" s="411"/>
      <c r="Z79" s="9" t="s">
        <v>800</v>
      </c>
      <c r="AG79" s="4">
        <v>-25</v>
      </c>
      <c r="AI79" t="s">
        <v>812</v>
      </c>
    </row>
    <row r="80" spans="11:35">
      <c r="Q80" s="250"/>
      <c r="R80" s="425" t="s">
        <v>773</v>
      </c>
      <c r="S80" s="366">
        <v>17739</v>
      </c>
      <c r="T80" s="364" t="s">
        <v>781</v>
      </c>
      <c r="U80" s="411"/>
      <c r="V80" t="s">
        <v>766</v>
      </c>
    </row>
    <row r="81" spans="17:21">
      <c r="Q81" s="250"/>
      <c r="R81" s="364"/>
      <c r="S81" s="412">
        <f>$S$83*S76/$S$78</f>
        <v>666.93908629441626</v>
      </c>
      <c r="T81" s="364" t="s">
        <v>771</v>
      </c>
      <c r="U81" s="411"/>
    </row>
    <row r="82" spans="17:21">
      <c r="Q82" s="250"/>
      <c r="R82" s="364"/>
      <c r="S82" s="412">
        <f>$S$83*S77/$S$78</f>
        <v>1294.0609137055837</v>
      </c>
      <c r="T82" s="364" t="s">
        <v>771</v>
      </c>
      <c r="U82" s="411"/>
    </row>
    <row r="83" spans="17:21">
      <c r="Q83" s="250"/>
      <c r="R83" s="415" t="s">
        <v>772</v>
      </c>
      <c r="S83" s="366">
        <v>1961</v>
      </c>
      <c r="T83" s="364" t="s">
        <v>769</v>
      </c>
      <c r="U83" s="411"/>
    </row>
    <row r="84" spans="17:21" ht="15" thickBot="1">
      <c r="Q84" s="258"/>
      <c r="R84" s="413"/>
      <c r="S84" s="259">
        <f>S80+S83</f>
        <v>19700</v>
      </c>
      <c r="T84" s="413"/>
      <c r="U84" s="41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dimension ref="A1:FF187"/>
  <sheetViews>
    <sheetView showZeros="0" topLeftCell="A6" zoomScale="85" zoomScaleNormal="85" workbookViewId="0">
      <pane xSplit="4" ySplit="6" topLeftCell="CM93" activePane="bottomRight" state="frozen"/>
      <selection activeCell="A6" sqref="A6"/>
      <selection pane="topRight" activeCell="E6" sqref="E6"/>
      <selection pane="bottomLeft" activeCell="A12" sqref="A12"/>
      <selection pane="bottomRight" activeCell="EK110" sqref="EK110:EL110"/>
    </sheetView>
  </sheetViews>
  <sheetFormatPr baseColWidth="10" defaultRowHeight="14.4" outlineLevelRow="2" outlineLevelCol="1"/>
  <cols>
    <col min="1" max="1" width="9.109375" customWidth="1"/>
    <col min="3" max="3" width="17.6640625" bestFit="1" customWidth="1"/>
    <col min="4" max="4" width="1.5546875" customWidth="1"/>
    <col min="5" max="5" width="10.33203125" style="2" hidden="1" customWidth="1" outlineLevel="1"/>
    <col min="6" max="6" width="9.44140625" style="2" hidden="1" customWidth="1" outlineLevel="1"/>
    <col min="7" max="10" width="8" style="2" hidden="1" customWidth="1" outlineLevel="1"/>
    <col min="11" max="11" width="7.44140625" style="2" hidden="1" customWidth="1" outlineLevel="1"/>
    <col min="12" max="12" width="9.109375" style="2" hidden="1" customWidth="1" outlineLevel="1"/>
    <col min="13" max="13" width="8.109375" style="2" hidden="1" customWidth="1" outlineLevel="1"/>
    <col min="14" max="14" width="9.6640625" style="2" hidden="1" customWidth="1" outlineLevel="1"/>
    <col min="15" max="15" width="9.109375" style="2" customWidth="1" collapsed="1"/>
    <col min="16" max="17" width="8" style="2" customWidth="1"/>
    <col min="18" max="18" width="10.6640625" style="2" customWidth="1"/>
    <col min="19" max="19" width="8.6640625" style="2" customWidth="1" collapsed="1"/>
    <col min="20" max="21" width="8.6640625" style="2" customWidth="1"/>
    <col min="22" max="23" width="8.6640625" style="2" customWidth="1" collapsed="1"/>
    <col min="24" max="24" width="8.109375" style="2" customWidth="1" collapsed="1"/>
    <col min="25" max="25" width="8.109375" style="2" customWidth="1"/>
    <col min="26" max="26" width="8.109375" style="2" customWidth="1" collapsed="1"/>
    <col min="27" max="28" width="8.109375" style="2" customWidth="1"/>
    <col min="29" max="29" width="8.109375" style="2" customWidth="1" collapsed="1"/>
    <col min="30" max="31" width="8.109375" style="2" customWidth="1"/>
    <col min="32" max="32" width="8.109375" style="2" customWidth="1" collapsed="1"/>
    <col min="33" max="52" width="8.109375" style="2" customWidth="1"/>
    <col min="53" max="53" width="8.109375" style="2" customWidth="1" collapsed="1"/>
    <col min="54" max="62" width="8.109375" style="2" customWidth="1"/>
    <col min="63" max="63" width="8.109375" style="2" customWidth="1" collapsed="1"/>
    <col min="64" max="92" width="8.109375" style="2" customWidth="1"/>
    <col min="93" max="93" width="9" style="2" customWidth="1"/>
    <col min="94" max="94" width="8.109375" style="2" customWidth="1"/>
    <col min="95" max="103" width="8.109375" style="2" hidden="1" customWidth="1" outlineLevel="1"/>
    <col min="104" max="104" width="8.109375" style="2" hidden="1" customWidth="1" outlineLevel="1" collapsed="1"/>
    <col min="105" max="105" width="8.109375" style="11" customWidth="1" collapsed="1"/>
    <col min="106" max="106" width="2.109375" style="177" customWidth="1"/>
    <col min="107" max="107" width="11.5546875" style="4"/>
    <col min="108" max="108" width="9" style="2" customWidth="1"/>
    <col min="109" max="109" width="0.33203125" customWidth="1"/>
    <col min="110" max="116" width="0.33203125" style="2" customWidth="1"/>
    <col min="117" max="117" width="0.33203125" customWidth="1"/>
    <col min="118" max="136" width="0.33203125" hidden="1" customWidth="1" outlineLevel="1"/>
    <col min="137" max="137" width="0.33203125" hidden="1" customWidth="1" collapsed="1"/>
    <col min="138" max="138" width="0.33203125" hidden="1" customWidth="1"/>
    <col min="139" max="139" width="15.6640625" customWidth="1"/>
    <col min="144" max="147" width="11.5546875" hidden="1" customWidth="1" outlineLevel="1"/>
    <col min="148" max="148" width="1.88671875" customWidth="1" collapsed="1"/>
    <col min="149" max="149" width="11.5546875" style="2"/>
    <col min="150" max="150" width="6.6640625" customWidth="1"/>
    <col min="151" max="151" width="10.33203125" customWidth="1"/>
    <col min="156" max="156" width="5.6640625" customWidth="1"/>
  </cols>
  <sheetData>
    <row r="1" spans="1:153" outlineLevel="1">
      <c r="F1" s="274">
        <v>1</v>
      </c>
      <c r="G1" s="253">
        <v>2</v>
      </c>
      <c r="H1" s="253">
        <v>3</v>
      </c>
      <c r="I1" s="253">
        <v>4</v>
      </c>
      <c r="J1" s="253">
        <v>5</v>
      </c>
      <c r="K1" s="253">
        <v>6</v>
      </c>
      <c r="L1" s="275">
        <v>7</v>
      </c>
      <c r="M1"/>
    </row>
    <row r="2" spans="1:153" ht="15" outlineLevel="1" thickBot="1">
      <c r="F2" s="251" t="s">
        <v>289</v>
      </c>
      <c r="G2" s="276" t="s">
        <v>85</v>
      </c>
      <c r="H2" s="276" t="s">
        <v>86</v>
      </c>
      <c r="I2" s="276" t="s">
        <v>87</v>
      </c>
      <c r="J2" s="276" t="s">
        <v>88</v>
      </c>
      <c r="K2" s="276" t="s">
        <v>89</v>
      </c>
      <c r="L2" s="277" t="s">
        <v>90</v>
      </c>
      <c r="M2"/>
    </row>
    <row r="3" spans="1:153" outlineLevel="1"/>
    <row r="4" spans="1:153" outlineLevel="1"/>
    <row r="5" spans="1:153" outlineLevel="1"/>
    <row r="6" spans="1:153">
      <c r="C6" s="2" t="s">
        <v>566</v>
      </c>
      <c r="E6" s="2">
        <v>25.7</v>
      </c>
      <c r="F6" s="2">
        <v>25.7</v>
      </c>
      <c r="G6" s="2">
        <f>F6</f>
        <v>25.7</v>
      </c>
      <c r="H6" s="2">
        <f t="shared" ref="H6:AX6" si="0">G6</f>
        <v>25.7</v>
      </c>
      <c r="I6" s="2">
        <f t="shared" si="0"/>
        <v>25.7</v>
      </c>
      <c r="J6" s="2">
        <f t="shared" si="0"/>
        <v>25.7</v>
      </c>
      <c r="K6" s="2">
        <f t="shared" si="0"/>
        <v>25.7</v>
      </c>
      <c r="L6" s="2">
        <f t="shared" si="0"/>
        <v>25.7</v>
      </c>
      <c r="M6" s="2">
        <f t="shared" si="0"/>
        <v>25.7</v>
      </c>
      <c r="N6" s="2">
        <f t="shared" si="0"/>
        <v>25.7</v>
      </c>
      <c r="O6" s="2">
        <f t="shared" si="0"/>
        <v>25.7</v>
      </c>
      <c r="P6" s="2">
        <f t="shared" si="0"/>
        <v>25.7</v>
      </c>
      <c r="Q6" s="2">
        <f t="shared" si="0"/>
        <v>25.7</v>
      </c>
      <c r="R6" s="2">
        <f t="shared" si="0"/>
        <v>25.7</v>
      </c>
      <c r="S6" s="2">
        <f t="shared" si="0"/>
        <v>25.7</v>
      </c>
      <c r="T6" s="2">
        <f t="shared" si="0"/>
        <v>25.7</v>
      </c>
      <c r="U6" s="2">
        <f t="shared" si="0"/>
        <v>25.7</v>
      </c>
      <c r="V6" s="2">
        <f t="shared" si="0"/>
        <v>25.7</v>
      </c>
      <c r="W6" s="2">
        <f t="shared" si="0"/>
        <v>25.7</v>
      </c>
      <c r="X6" s="2">
        <f t="shared" si="0"/>
        <v>25.7</v>
      </c>
      <c r="Y6" s="2">
        <f t="shared" si="0"/>
        <v>25.7</v>
      </c>
      <c r="Z6" s="2">
        <f t="shared" si="0"/>
        <v>25.7</v>
      </c>
      <c r="AA6" s="2">
        <f t="shared" si="0"/>
        <v>25.7</v>
      </c>
      <c r="AB6" s="2">
        <f t="shared" si="0"/>
        <v>25.7</v>
      </c>
      <c r="AC6" s="2">
        <f t="shared" si="0"/>
        <v>25.7</v>
      </c>
      <c r="AD6" s="2">
        <f t="shared" si="0"/>
        <v>25.7</v>
      </c>
      <c r="AE6" s="2">
        <f t="shared" si="0"/>
        <v>25.7</v>
      </c>
      <c r="AF6" s="2">
        <f t="shared" si="0"/>
        <v>25.7</v>
      </c>
      <c r="AG6" s="2">
        <f t="shared" si="0"/>
        <v>25.7</v>
      </c>
      <c r="AH6" s="2">
        <f t="shared" si="0"/>
        <v>25.7</v>
      </c>
      <c r="AI6" s="2">
        <f t="shared" si="0"/>
        <v>25.7</v>
      </c>
      <c r="AJ6" s="2">
        <f t="shared" si="0"/>
        <v>25.7</v>
      </c>
      <c r="AK6" s="2">
        <v>25.08</v>
      </c>
      <c r="AL6" s="2">
        <f t="shared" si="0"/>
        <v>25.08</v>
      </c>
      <c r="AM6" s="2">
        <f t="shared" si="0"/>
        <v>25.08</v>
      </c>
      <c r="AN6" s="2">
        <f t="shared" si="0"/>
        <v>25.08</v>
      </c>
      <c r="AO6" s="2">
        <f t="shared" si="0"/>
        <v>25.08</v>
      </c>
      <c r="AP6" s="2">
        <f t="shared" si="0"/>
        <v>25.08</v>
      </c>
      <c r="AQ6" s="2">
        <f t="shared" si="0"/>
        <v>25.08</v>
      </c>
      <c r="AR6" s="2">
        <f t="shared" si="0"/>
        <v>25.08</v>
      </c>
      <c r="AS6" s="2">
        <f t="shared" si="0"/>
        <v>25.08</v>
      </c>
      <c r="AT6" s="2">
        <f t="shared" si="0"/>
        <v>25.08</v>
      </c>
      <c r="AU6" s="2">
        <f t="shared" si="0"/>
        <v>25.08</v>
      </c>
      <c r="AV6" s="2">
        <f t="shared" si="0"/>
        <v>25.08</v>
      </c>
      <c r="AW6" s="2">
        <f t="shared" si="0"/>
        <v>25.08</v>
      </c>
      <c r="AX6" s="2">
        <f t="shared" si="0"/>
        <v>25.08</v>
      </c>
      <c r="AY6" s="2">
        <v>25.6</v>
      </c>
      <c r="AZ6" s="2">
        <f t="shared" ref="AZ6:BL6" si="1">AY6</f>
        <v>25.6</v>
      </c>
      <c r="BA6" s="2">
        <f t="shared" si="1"/>
        <v>25.6</v>
      </c>
      <c r="BB6" s="2">
        <f t="shared" si="1"/>
        <v>25.6</v>
      </c>
      <c r="BC6" s="2">
        <f t="shared" si="1"/>
        <v>25.6</v>
      </c>
      <c r="BD6" s="2">
        <f t="shared" si="1"/>
        <v>25.6</v>
      </c>
      <c r="BE6" s="2">
        <f t="shared" si="1"/>
        <v>25.6</v>
      </c>
      <c r="BF6" s="2">
        <f t="shared" si="1"/>
        <v>25.6</v>
      </c>
      <c r="BG6" s="2">
        <f t="shared" si="1"/>
        <v>25.6</v>
      </c>
      <c r="BH6" s="2">
        <f t="shared" si="1"/>
        <v>25.6</v>
      </c>
      <c r="BI6" s="2">
        <f t="shared" si="1"/>
        <v>25.6</v>
      </c>
      <c r="BJ6" s="2">
        <f t="shared" si="1"/>
        <v>25.6</v>
      </c>
      <c r="BK6" s="2">
        <f t="shared" si="1"/>
        <v>25.6</v>
      </c>
      <c r="BL6" s="2">
        <f t="shared" si="1"/>
        <v>25.6</v>
      </c>
      <c r="BM6" s="2">
        <v>25.07</v>
      </c>
      <c r="BN6" s="2">
        <f t="shared" ref="BN6:CZ6" si="2">BM6</f>
        <v>25.07</v>
      </c>
      <c r="BO6" s="2">
        <f t="shared" si="2"/>
        <v>25.07</v>
      </c>
      <c r="BP6" s="2">
        <f t="shared" si="2"/>
        <v>25.07</v>
      </c>
      <c r="BQ6" s="2">
        <f t="shared" si="2"/>
        <v>25.07</v>
      </c>
      <c r="BR6" s="2">
        <f t="shared" si="2"/>
        <v>25.07</v>
      </c>
      <c r="BS6" s="2">
        <f t="shared" si="2"/>
        <v>25.07</v>
      </c>
      <c r="BT6" s="2">
        <f t="shared" si="2"/>
        <v>25.07</v>
      </c>
      <c r="BU6" s="2">
        <f t="shared" si="2"/>
        <v>25.07</v>
      </c>
      <c r="BV6" s="2">
        <f t="shared" si="2"/>
        <v>25.07</v>
      </c>
      <c r="BW6" s="2">
        <f t="shared" si="2"/>
        <v>25.07</v>
      </c>
      <c r="BX6" s="2">
        <f t="shared" si="2"/>
        <v>25.07</v>
      </c>
      <c r="BY6" s="2">
        <f t="shared" si="2"/>
        <v>25.07</v>
      </c>
      <c r="BZ6" s="2">
        <f t="shared" si="2"/>
        <v>25.07</v>
      </c>
      <c r="CA6" s="2">
        <f t="shared" si="2"/>
        <v>25.07</v>
      </c>
      <c r="CB6" s="2">
        <f t="shared" si="2"/>
        <v>25.07</v>
      </c>
      <c r="CC6" s="2">
        <f t="shared" si="2"/>
        <v>25.07</v>
      </c>
      <c r="CD6" s="2">
        <f t="shared" si="2"/>
        <v>25.07</v>
      </c>
      <c r="CE6" s="2">
        <f t="shared" si="2"/>
        <v>25.07</v>
      </c>
      <c r="CF6" s="2">
        <f t="shared" si="2"/>
        <v>25.07</v>
      </c>
      <c r="CG6" s="2">
        <f t="shared" si="2"/>
        <v>25.07</v>
      </c>
      <c r="CH6" s="2">
        <f t="shared" si="2"/>
        <v>25.07</v>
      </c>
      <c r="CI6" s="2">
        <f t="shared" si="2"/>
        <v>25.07</v>
      </c>
      <c r="CJ6" s="2">
        <f t="shared" si="2"/>
        <v>25.07</v>
      </c>
      <c r="CK6" s="2">
        <f t="shared" si="2"/>
        <v>25.07</v>
      </c>
      <c r="CL6" s="2">
        <f t="shared" si="2"/>
        <v>25.07</v>
      </c>
      <c r="CM6" s="2">
        <f t="shared" si="2"/>
        <v>25.07</v>
      </c>
      <c r="CN6" s="2">
        <f t="shared" si="2"/>
        <v>25.07</v>
      </c>
      <c r="CO6" s="2">
        <f t="shared" si="2"/>
        <v>25.07</v>
      </c>
      <c r="CP6" s="2">
        <f t="shared" si="2"/>
        <v>25.07</v>
      </c>
      <c r="CQ6" s="2">
        <f t="shared" si="2"/>
        <v>25.07</v>
      </c>
      <c r="CR6" s="2">
        <f t="shared" si="2"/>
        <v>25.07</v>
      </c>
      <c r="CS6" s="2">
        <f t="shared" si="2"/>
        <v>25.07</v>
      </c>
      <c r="CT6" s="2">
        <f t="shared" si="2"/>
        <v>25.07</v>
      </c>
      <c r="CU6" s="2">
        <f t="shared" si="2"/>
        <v>25.07</v>
      </c>
      <c r="CV6" s="2">
        <f t="shared" si="2"/>
        <v>25.07</v>
      </c>
      <c r="CW6" s="2">
        <f t="shared" si="2"/>
        <v>25.07</v>
      </c>
      <c r="CX6" s="2">
        <f t="shared" si="2"/>
        <v>25.07</v>
      </c>
      <c r="CY6" s="2">
        <f t="shared" si="2"/>
        <v>25.07</v>
      </c>
      <c r="CZ6" s="2">
        <f t="shared" si="2"/>
        <v>25.07</v>
      </c>
      <c r="EM6">
        <v>15079</v>
      </c>
      <c r="EU6">
        <v>25</v>
      </c>
    </row>
    <row r="7" spans="1:153">
      <c r="E7" s="2" t="s">
        <v>253</v>
      </c>
      <c r="F7" s="2">
        <v>1</v>
      </c>
      <c r="G7" s="2">
        <v>2</v>
      </c>
      <c r="H7" s="2">
        <v>3</v>
      </c>
      <c r="I7" s="2">
        <v>4</v>
      </c>
      <c r="J7" s="2">
        <v>5</v>
      </c>
      <c r="K7" s="2">
        <v>6</v>
      </c>
      <c r="L7" s="2">
        <v>7</v>
      </c>
      <c r="M7" s="2">
        <v>8</v>
      </c>
      <c r="N7" s="2">
        <v>9</v>
      </c>
      <c r="O7" s="2">
        <v>10</v>
      </c>
      <c r="P7" s="2">
        <v>11</v>
      </c>
      <c r="Q7" s="2">
        <v>12</v>
      </c>
      <c r="R7" s="2">
        <v>13</v>
      </c>
      <c r="S7" s="2">
        <v>14</v>
      </c>
      <c r="T7" s="2">
        <v>15</v>
      </c>
      <c r="U7" s="2">
        <v>16</v>
      </c>
      <c r="V7" s="2">
        <v>17</v>
      </c>
      <c r="W7" s="2">
        <v>18</v>
      </c>
      <c r="X7" s="2">
        <v>19</v>
      </c>
      <c r="Y7" s="2">
        <v>20</v>
      </c>
      <c r="Z7" s="2">
        <v>21</v>
      </c>
      <c r="AA7" s="2">
        <v>22</v>
      </c>
      <c r="AB7" s="2">
        <v>23</v>
      </c>
      <c r="AC7" s="2">
        <v>24</v>
      </c>
      <c r="AD7" s="2">
        <v>25</v>
      </c>
      <c r="AE7" s="2">
        <v>26</v>
      </c>
      <c r="AF7" s="2">
        <v>27</v>
      </c>
      <c r="AG7" s="2">
        <v>28</v>
      </c>
      <c r="AH7" s="2">
        <v>29</v>
      </c>
      <c r="AI7" s="2">
        <v>30</v>
      </c>
      <c r="AJ7" s="2">
        <v>31</v>
      </c>
      <c r="AK7" s="2">
        <v>32</v>
      </c>
      <c r="AL7" s="2">
        <v>33</v>
      </c>
      <c r="AM7" s="2">
        <v>34</v>
      </c>
      <c r="AN7" s="2">
        <v>35</v>
      </c>
      <c r="AO7" s="2">
        <v>36</v>
      </c>
      <c r="AP7" s="2">
        <v>37</v>
      </c>
      <c r="AQ7" s="2">
        <v>38</v>
      </c>
      <c r="AR7" s="2">
        <v>39</v>
      </c>
      <c r="AS7" s="2">
        <v>40</v>
      </c>
      <c r="AT7" s="2">
        <v>41</v>
      </c>
      <c r="AU7" s="2">
        <v>42</v>
      </c>
      <c r="AV7" s="2">
        <v>43</v>
      </c>
      <c r="AW7" s="2">
        <v>44</v>
      </c>
      <c r="AX7" s="2">
        <v>45</v>
      </c>
      <c r="AY7" s="2">
        <v>46</v>
      </c>
      <c r="AZ7" s="2">
        <v>47</v>
      </c>
      <c r="BA7" s="2">
        <v>48</v>
      </c>
      <c r="BB7" s="2">
        <v>49</v>
      </c>
      <c r="BC7" s="2">
        <v>50</v>
      </c>
      <c r="BD7" s="2">
        <v>51</v>
      </c>
      <c r="BE7" s="2">
        <v>52</v>
      </c>
      <c r="BF7" s="2">
        <v>53</v>
      </c>
      <c r="BG7" s="2">
        <v>54</v>
      </c>
      <c r="BH7" s="2">
        <v>55</v>
      </c>
      <c r="BI7" s="2">
        <v>56</v>
      </c>
      <c r="BJ7" s="2">
        <v>57</v>
      </c>
      <c r="BK7" s="2">
        <v>58</v>
      </c>
      <c r="BL7" s="2">
        <v>59</v>
      </c>
      <c r="BM7" s="2">
        <v>60</v>
      </c>
      <c r="BN7" s="2">
        <v>61</v>
      </c>
      <c r="BO7" s="2">
        <v>62</v>
      </c>
      <c r="BP7" s="2">
        <v>63</v>
      </c>
      <c r="BQ7" s="2">
        <v>64</v>
      </c>
      <c r="BR7" s="2">
        <v>65</v>
      </c>
      <c r="BS7" s="2">
        <v>66</v>
      </c>
      <c r="BT7" s="2">
        <v>67</v>
      </c>
      <c r="BU7" s="2">
        <v>68</v>
      </c>
      <c r="BV7" s="2">
        <v>69</v>
      </c>
      <c r="BW7" s="2">
        <v>70</v>
      </c>
      <c r="BX7" s="2">
        <v>71</v>
      </c>
      <c r="BY7" s="2">
        <v>72</v>
      </c>
      <c r="BZ7" s="2">
        <v>73</v>
      </c>
      <c r="CA7" s="2">
        <v>74</v>
      </c>
      <c r="CB7" s="2">
        <v>75</v>
      </c>
      <c r="CC7" s="2">
        <v>76</v>
      </c>
      <c r="CD7" s="2">
        <v>77</v>
      </c>
      <c r="CE7" s="2">
        <v>78</v>
      </c>
      <c r="CF7" s="2">
        <v>79</v>
      </c>
      <c r="CG7" s="2">
        <v>80</v>
      </c>
      <c r="CH7" s="2">
        <v>81</v>
      </c>
      <c r="CI7" s="2">
        <v>82</v>
      </c>
      <c r="CJ7" s="2">
        <v>83</v>
      </c>
      <c r="CK7" s="2">
        <v>84</v>
      </c>
      <c r="CL7" s="2">
        <v>85</v>
      </c>
      <c r="CM7" s="2">
        <v>86</v>
      </c>
      <c r="CN7" s="2">
        <v>87</v>
      </c>
      <c r="CO7" s="2">
        <v>88</v>
      </c>
      <c r="CP7" s="2">
        <v>89</v>
      </c>
      <c r="CQ7" s="2">
        <v>90</v>
      </c>
      <c r="CR7" s="2">
        <v>91</v>
      </c>
      <c r="CS7" s="2">
        <v>92</v>
      </c>
      <c r="CT7" s="2">
        <v>93</v>
      </c>
      <c r="CU7" s="2">
        <v>94</v>
      </c>
      <c r="CV7" s="2">
        <v>95</v>
      </c>
      <c r="CW7" s="2">
        <v>96</v>
      </c>
      <c r="CX7" s="2">
        <v>97</v>
      </c>
      <c r="CY7" s="2">
        <v>98</v>
      </c>
      <c r="CZ7" s="2">
        <v>224</v>
      </c>
      <c r="DA7" s="11">
        <v>120</v>
      </c>
      <c r="DC7" s="2">
        <v>4897</v>
      </c>
      <c r="EM7" s="61">
        <f ca="1">ES110</f>
        <v>15013.774462900274</v>
      </c>
      <c r="EU7">
        <v>12</v>
      </c>
    </row>
    <row r="8" spans="1:153">
      <c r="E8" s="2" t="str">
        <f t="shared" ref="E8:BP8" si="3">HLOOKUP(WEEKDAY(E9,2),$F$1:$M$2,2)</f>
        <v>Jeu</v>
      </c>
      <c r="F8" s="2" t="str">
        <f t="shared" si="3"/>
        <v>Ven</v>
      </c>
      <c r="G8" s="2" t="str">
        <f t="shared" si="3"/>
        <v>Sam</v>
      </c>
      <c r="H8" s="2" t="str">
        <f t="shared" si="3"/>
        <v>Dim</v>
      </c>
      <c r="I8" s="2" t="str">
        <f t="shared" si="3"/>
        <v>Lundi</v>
      </c>
      <c r="J8" s="2" t="str">
        <f t="shared" si="3"/>
        <v>mardi</v>
      </c>
      <c r="K8" s="2" t="str">
        <f t="shared" si="3"/>
        <v>Mer</v>
      </c>
      <c r="L8" s="2" t="str">
        <f t="shared" si="3"/>
        <v>Jeu</v>
      </c>
      <c r="M8" s="2" t="str">
        <f t="shared" si="3"/>
        <v>Ven</v>
      </c>
      <c r="N8" s="2" t="str">
        <f t="shared" si="3"/>
        <v>Sam</v>
      </c>
      <c r="O8" s="2" t="str">
        <f t="shared" si="3"/>
        <v>Dim</v>
      </c>
      <c r="P8" s="2" t="str">
        <f t="shared" si="3"/>
        <v>Lundi</v>
      </c>
      <c r="Q8" s="2" t="str">
        <f t="shared" si="3"/>
        <v>mardi</v>
      </c>
      <c r="R8" s="2" t="str">
        <f t="shared" si="3"/>
        <v>Mer</v>
      </c>
      <c r="S8" s="2" t="str">
        <f t="shared" si="3"/>
        <v>Jeu</v>
      </c>
      <c r="T8" s="2" t="str">
        <f t="shared" si="3"/>
        <v>Ven</v>
      </c>
      <c r="U8" s="2" t="str">
        <f t="shared" si="3"/>
        <v>Sam</v>
      </c>
      <c r="V8" s="2" t="str">
        <f t="shared" si="3"/>
        <v>Dim</v>
      </c>
      <c r="W8" s="2" t="str">
        <f t="shared" si="3"/>
        <v>Lundi</v>
      </c>
      <c r="X8" s="2" t="str">
        <f t="shared" si="3"/>
        <v>mardi</v>
      </c>
      <c r="Y8" s="2" t="str">
        <f t="shared" si="3"/>
        <v>Mer</v>
      </c>
      <c r="Z8" s="2" t="str">
        <f t="shared" si="3"/>
        <v>Jeu</v>
      </c>
      <c r="AA8" s="2" t="str">
        <f t="shared" si="3"/>
        <v>Ven</v>
      </c>
      <c r="AB8" s="2" t="str">
        <f t="shared" si="3"/>
        <v>Sam</v>
      </c>
      <c r="AC8" s="2" t="str">
        <f t="shared" si="3"/>
        <v>Dim</v>
      </c>
      <c r="AD8" s="2" t="str">
        <f t="shared" si="3"/>
        <v>Lundi</v>
      </c>
      <c r="AE8" s="2" t="str">
        <f t="shared" si="3"/>
        <v>mardi</v>
      </c>
      <c r="AF8" s="2" t="str">
        <f t="shared" si="3"/>
        <v>Mer</v>
      </c>
      <c r="AG8" s="2" t="str">
        <f t="shared" si="3"/>
        <v>Jeu</v>
      </c>
      <c r="AH8" s="2" t="str">
        <f t="shared" si="3"/>
        <v>Ven</v>
      </c>
      <c r="AI8" s="2" t="str">
        <f t="shared" si="3"/>
        <v>Sam</v>
      </c>
      <c r="AJ8" s="2" t="str">
        <f t="shared" si="3"/>
        <v>Dim</v>
      </c>
      <c r="AK8" s="2" t="str">
        <f t="shared" si="3"/>
        <v>Lundi</v>
      </c>
      <c r="AL8" s="2" t="str">
        <f t="shared" si="3"/>
        <v>mardi</v>
      </c>
      <c r="AM8" s="2" t="str">
        <f t="shared" si="3"/>
        <v>Mer</v>
      </c>
      <c r="AN8" s="2" t="str">
        <f t="shared" si="3"/>
        <v>Jeu</v>
      </c>
      <c r="AO8" s="2" t="str">
        <f t="shared" si="3"/>
        <v>Ven</v>
      </c>
      <c r="AP8" s="2" t="str">
        <f t="shared" si="3"/>
        <v>Sam</v>
      </c>
      <c r="AQ8" s="2" t="str">
        <f t="shared" si="3"/>
        <v>Dim</v>
      </c>
      <c r="AR8" s="2" t="str">
        <f t="shared" si="3"/>
        <v>Lundi</v>
      </c>
      <c r="AS8" s="2" t="str">
        <f t="shared" si="3"/>
        <v>mardi</v>
      </c>
      <c r="AT8" s="2" t="str">
        <f t="shared" si="3"/>
        <v>Mer</v>
      </c>
      <c r="AU8" s="2" t="str">
        <f t="shared" si="3"/>
        <v>Jeu</v>
      </c>
      <c r="AV8" s="2" t="str">
        <f t="shared" si="3"/>
        <v>Ven</v>
      </c>
      <c r="AW8" s="2" t="str">
        <f t="shared" si="3"/>
        <v>Sam</v>
      </c>
      <c r="AX8" s="2" t="str">
        <f t="shared" si="3"/>
        <v>Dim</v>
      </c>
      <c r="AY8" s="2" t="str">
        <f t="shared" si="3"/>
        <v>Lundi</v>
      </c>
      <c r="AZ8" s="2" t="str">
        <f t="shared" si="3"/>
        <v>mardi</v>
      </c>
      <c r="BA8" s="2" t="str">
        <f t="shared" si="3"/>
        <v>Mer</v>
      </c>
      <c r="BB8" s="2" t="str">
        <f t="shared" si="3"/>
        <v>Jeu</v>
      </c>
      <c r="BC8" s="2" t="str">
        <f t="shared" si="3"/>
        <v>Ven</v>
      </c>
      <c r="BD8" s="2" t="str">
        <f t="shared" si="3"/>
        <v>Sam</v>
      </c>
      <c r="BE8" s="2" t="str">
        <f t="shared" si="3"/>
        <v>Dim</v>
      </c>
      <c r="BF8" s="2" t="str">
        <f t="shared" si="3"/>
        <v>Lundi</v>
      </c>
      <c r="BG8" s="2" t="str">
        <f t="shared" si="3"/>
        <v>mardi</v>
      </c>
      <c r="BH8" s="2" t="str">
        <f t="shared" si="3"/>
        <v>Mer</v>
      </c>
      <c r="BI8" s="2" t="str">
        <f t="shared" si="3"/>
        <v>Jeu</v>
      </c>
      <c r="BJ8" s="2" t="str">
        <f t="shared" si="3"/>
        <v>Ven</v>
      </c>
      <c r="BK8" s="2" t="str">
        <f t="shared" si="3"/>
        <v>Sam</v>
      </c>
      <c r="BL8" s="2" t="str">
        <f t="shared" si="3"/>
        <v>Dim</v>
      </c>
      <c r="BM8" s="2" t="str">
        <f t="shared" si="3"/>
        <v>Lundi</v>
      </c>
      <c r="BN8" s="2" t="str">
        <f t="shared" si="3"/>
        <v>mardi</v>
      </c>
      <c r="BO8" s="2" t="str">
        <f t="shared" si="3"/>
        <v>Mer</v>
      </c>
      <c r="BP8" s="2" t="str">
        <f t="shared" si="3"/>
        <v>Jeu</v>
      </c>
      <c r="BQ8" s="2" t="str">
        <f t="shared" ref="BQ8:DA8" si="4">HLOOKUP(WEEKDAY(BQ9,2),$F$1:$M$2,2)</f>
        <v>Ven</v>
      </c>
      <c r="BR8" s="2" t="str">
        <f t="shared" si="4"/>
        <v>Sam</v>
      </c>
      <c r="BS8" s="2" t="str">
        <f t="shared" si="4"/>
        <v>Dim</v>
      </c>
      <c r="BT8" s="2" t="str">
        <f t="shared" si="4"/>
        <v>Lundi</v>
      </c>
      <c r="BU8" s="2" t="str">
        <f t="shared" si="4"/>
        <v>mardi</v>
      </c>
      <c r="BV8" s="2" t="str">
        <f t="shared" si="4"/>
        <v>Mer</v>
      </c>
      <c r="BW8" s="2" t="str">
        <f t="shared" si="4"/>
        <v>Jeu</v>
      </c>
      <c r="BX8" s="2" t="str">
        <f t="shared" si="4"/>
        <v>Ven</v>
      </c>
      <c r="BY8" s="2" t="str">
        <f t="shared" si="4"/>
        <v>Sam</v>
      </c>
      <c r="BZ8" s="2" t="str">
        <f t="shared" si="4"/>
        <v>Dim</v>
      </c>
      <c r="CA8" s="2" t="str">
        <f t="shared" si="4"/>
        <v>Lundi</v>
      </c>
      <c r="CB8" s="2" t="str">
        <f t="shared" si="4"/>
        <v>mardi</v>
      </c>
      <c r="CC8" s="2" t="str">
        <f t="shared" si="4"/>
        <v>Mer</v>
      </c>
      <c r="CD8" s="2" t="str">
        <f t="shared" si="4"/>
        <v>Jeu</v>
      </c>
      <c r="CE8" s="2" t="str">
        <f t="shared" si="4"/>
        <v>Ven</v>
      </c>
      <c r="CF8" s="2" t="str">
        <f t="shared" si="4"/>
        <v>Sam</v>
      </c>
      <c r="CG8" s="2" t="str">
        <f t="shared" si="4"/>
        <v>Dim</v>
      </c>
      <c r="CH8" s="2" t="str">
        <f t="shared" si="4"/>
        <v>Lundi</v>
      </c>
      <c r="CI8" s="2" t="str">
        <f t="shared" si="4"/>
        <v>mardi</v>
      </c>
      <c r="CJ8" s="2" t="str">
        <f t="shared" si="4"/>
        <v>Mer</v>
      </c>
      <c r="CK8" s="2" t="str">
        <f t="shared" si="4"/>
        <v>Jeu</v>
      </c>
      <c r="CL8" s="2" t="str">
        <f t="shared" si="4"/>
        <v>Ven</v>
      </c>
      <c r="CM8" s="2" t="str">
        <f t="shared" si="4"/>
        <v>Sam</v>
      </c>
      <c r="CN8" s="2" t="str">
        <f t="shared" si="4"/>
        <v>Dim</v>
      </c>
      <c r="CO8" s="2" t="str">
        <f t="shared" si="4"/>
        <v>Lundi</v>
      </c>
      <c r="CP8" s="2" t="str">
        <f t="shared" si="4"/>
        <v>mardi</v>
      </c>
      <c r="CQ8" s="2" t="str">
        <f t="shared" si="4"/>
        <v>Mer</v>
      </c>
      <c r="CR8" s="2" t="str">
        <f t="shared" si="4"/>
        <v>Jeu</v>
      </c>
      <c r="CS8" s="2" t="str">
        <f t="shared" si="4"/>
        <v>Ven</v>
      </c>
      <c r="CT8" s="2" t="str">
        <f t="shared" si="4"/>
        <v>Sam</v>
      </c>
      <c r="CU8" s="2" t="str">
        <f t="shared" si="4"/>
        <v>Dim</v>
      </c>
      <c r="CV8" s="2" t="str">
        <f t="shared" si="4"/>
        <v>Lundi</v>
      </c>
      <c r="CW8" s="2" t="str">
        <f t="shared" si="4"/>
        <v>mardi</v>
      </c>
      <c r="CX8" s="2" t="str">
        <f t="shared" si="4"/>
        <v>Mer</v>
      </c>
      <c r="CY8" s="2" t="str">
        <f t="shared" si="4"/>
        <v>Jeu</v>
      </c>
      <c r="CZ8" s="2" t="str">
        <f t="shared" si="4"/>
        <v>Ven</v>
      </c>
      <c r="DA8" s="11" t="str">
        <f t="shared" si="4"/>
        <v>Ven</v>
      </c>
      <c r="DC8" s="2"/>
      <c r="EM8" s="61">
        <f ca="1">EM6-EM7</f>
        <v>65.225537099726353</v>
      </c>
      <c r="EQ8" t="s">
        <v>305</v>
      </c>
    </row>
    <row r="9" spans="1:153" s="10" customFormat="1">
      <c r="E9" s="34">
        <v>44637</v>
      </c>
      <c r="F9" s="34">
        <f>E9+1</f>
        <v>44638</v>
      </c>
      <c r="G9" s="34">
        <f t="shared" ref="G9:BR9" si="5">F9+1</f>
        <v>44639</v>
      </c>
      <c r="H9" s="34">
        <f t="shared" si="5"/>
        <v>44640</v>
      </c>
      <c r="I9" s="34">
        <f t="shared" si="5"/>
        <v>44641</v>
      </c>
      <c r="J9" s="34">
        <f t="shared" si="5"/>
        <v>44642</v>
      </c>
      <c r="K9" s="34">
        <f t="shared" si="5"/>
        <v>44643</v>
      </c>
      <c r="L9" s="34">
        <f t="shared" si="5"/>
        <v>44644</v>
      </c>
      <c r="M9" s="34">
        <f t="shared" si="5"/>
        <v>44645</v>
      </c>
      <c r="N9" s="34">
        <f t="shared" si="5"/>
        <v>44646</v>
      </c>
      <c r="O9" s="34">
        <f t="shared" si="5"/>
        <v>44647</v>
      </c>
      <c r="P9" s="34">
        <f t="shared" si="5"/>
        <v>44648</v>
      </c>
      <c r="Q9" s="34">
        <f t="shared" si="5"/>
        <v>44649</v>
      </c>
      <c r="R9" s="34">
        <f t="shared" si="5"/>
        <v>44650</v>
      </c>
      <c r="S9" s="34">
        <f t="shared" si="5"/>
        <v>44651</v>
      </c>
      <c r="T9" s="34">
        <f t="shared" si="5"/>
        <v>44652</v>
      </c>
      <c r="U9" s="34">
        <f t="shared" si="5"/>
        <v>44653</v>
      </c>
      <c r="V9" s="34">
        <f t="shared" si="5"/>
        <v>44654</v>
      </c>
      <c r="W9" s="34">
        <f t="shared" si="5"/>
        <v>44655</v>
      </c>
      <c r="X9" s="34">
        <f t="shared" si="5"/>
        <v>44656</v>
      </c>
      <c r="Y9" s="34">
        <f t="shared" si="5"/>
        <v>44657</v>
      </c>
      <c r="Z9" s="34">
        <f t="shared" si="5"/>
        <v>44658</v>
      </c>
      <c r="AA9" s="34">
        <f t="shared" si="5"/>
        <v>44659</v>
      </c>
      <c r="AB9" s="34">
        <f t="shared" si="5"/>
        <v>44660</v>
      </c>
      <c r="AC9" s="34">
        <f t="shared" si="5"/>
        <v>44661</v>
      </c>
      <c r="AD9" s="34">
        <f t="shared" si="5"/>
        <v>44662</v>
      </c>
      <c r="AE9" s="34">
        <f t="shared" si="5"/>
        <v>44663</v>
      </c>
      <c r="AF9" s="34">
        <f t="shared" si="5"/>
        <v>44664</v>
      </c>
      <c r="AG9" s="34">
        <f t="shared" si="5"/>
        <v>44665</v>
      </c>
      <c r="AH9" s="34">
        <f t="shared" si="5"/>
        <v>44666</v>
      </c>
      <c r="AI9" s="34">
        <f t="shared" si="5"/>
        <v>44667</v>
      </c>
      <c r="AJ9" s="34">
        <f t="shared" si="5"/>
        <v>44668</v>
      </c>
      <c r="AK9" s="34">
        <f t="shared" si="5"/>
        <v>44669</v>
      </c>
      <c r="AL9" s="34">
        <f t="shared" si="5"/>
        <v>44670</v>
      </c>
      <c r="AM9" s="34">
        <f t="shared" si="5"/>
        <v>44671</v>
      </c>
      <c r="AN9" s="34">
        <f t="shared" si="5"/>
        <v>44672</v>
      </c>
      <c r="AO9" s="34">
        <f t="shared" si="5"/>
        <v>44673</v>
      </c>
      <c r="AP9" s="34">
        <f t="shared" si="5"/>
        <v>44674</v>
      </c>
      <c r="AQ9" s="34">
        <f t="shared" si="5"/>
        <v>44675</v>
      </c>
      <c r="AR9" s="34">
        <f t="shared" si="5"/>
        <v>44676</v>
      </c>
      <c r="AS9" s="34">
        <f t="shared" si="5"/>
        <v>44677</v>
      </c>
      <c r="AT9" s="34">
        <f t="shared" si="5"/>
        <v>44678</v>
      </c>
      <c r="AU9" s="34">
        <f t="shared" si="5"/>
        <v>44679</v>
      </c>
      <c r="AV9" s="34">
        <f t="shared" si="5"/>
        <v>44680</v>
      </c>
      <c r="AW9" s="34">
        <f t="shared" si="5"/>
        <v>44681</v>
      </c>
      <c r="AX9" s="34">
        <f t="shared" si="5"/>
        <v>44682</v>
      </c>
      <c r="AY9" s="34">
        <f t="shared" si="5"/>
        <v>44683</v>
      </c>
      <c r="AZ9" s="34">
        <f t="shared" si="5"/>
        <v>44684</v>
      </c>
      <c r="BA9" s="34">
        <f t="shared" si="5"/>
        <v>44685</v>
      </c>
      <c r="BB9" s="34">
        <f t="shared" si="5"/>
        <v>44686</v>
      </c>
      <c r="BC9" s="34">
        <f t="shared" si="5"/>
        <v>44687</v>
      </c>
      <c r="BD9" s="34">
        <f t="shared" si="5"/>
        <v>44688</v>
      </c>
      <c r="BE9" s="34">
        <f t="shared" si="5"/>
        <v>44689</v>
      </c>
      <c r="BF9" s="34">
        <f t="shared" si="5"/>
        <v>44690</v>
      </c>
      <c r="BG9" s="34">
        <f t="shared" si="5"/>
        <v>44691</v>
      </c>
      <c r="BH9" s="34">
        <f t="shared" si="5"/>
        <v>44692</v>
      </c>
      <c r="BI9" s="34">
        <f t="shared" si="5"/>
        <v>44693</v>
      </c>
      <c r="BJ9" s="34">
        <f t="shared" si="5"/>
        <v>44694</v>
      </c>
      <c r="BK9" s="34">
        <f t="shared" si="5"/>
        <v>44695</v>
      </c>
      <c r="BL9" s="34">
        <f t="shared" si="5"/>
        <v>44696</v>
      </c>
      <c r="BM9" s="34">
        <f t="shared" si="5"/>
        <v>44697</v>
      </c>
      <c r="BN9" s="34">
        <f t="shared" si="5"/>
        <v>44698</v>
      </c>
      <c r="BO9" s="34">
        <f t="shared" si="5"/>
        <v>44699</v>
      </c>
      <c r="BP9" s="34">
        <f t="shared" si="5"/>
        <v>44700</v>
      </c>
      <c r="BQ9" s="34">
        <f t="shared" si="5"/>
        <v>44701</v>
      </c>
      <c r="BR9" s="34">
        <f t="shared" si="5"/>
        <v>44702</v>
      </c>
      <c r="BS9" s="34">
        <f t="shared" ref="BS9:CZ9" si="6">BR9+1</f>
        <v>44703</v>
      </c>
      <c r="BT9" s="34">
        <f t="shared" si="6"/>
        <v>44704</v>
      </c>
      <c r="BU9" s="34">
        <f t="shared" si="6"/>
        <v>44705</v>
      </c>
      <c r="BV9" s="34">
        <f t="shared" si="6"/>
        <v>44706</v>
      </c>
      <c r="BW9" s="34">
        <f t="shared" si="6"/>
        <v>44707</v>
      </c>
      <c r="BX9" s="34">
        <f t="shared" si="6"/>
        <v>44708</v>
      </c>
      <c r="BY9" s="34">
        <f t="shared" si="6"/>
        <v>44709</v>
      </c>
      <c r="BZ9" s="34">
        <f t="shared" si="6"/>
        <v>44710</v>
      </c>
      <c r="CA9" s="34">
        <f t="shared" si="6"/>
        <v>44711</v>
      </c>
      <c r="CB9" s="34">
        <f t="shared" si="6"/>
        <v>44712</v>
      </c>
      <c r="CC9" s="34">
        <f t="shared" si="6"/>
        <v>44713</v>
      </c>
      <c r="CD9" s="34">
        <f t="shared" si="6"/>
        <v>44714</v>
      </c>
      <c r="CE9" s="34">
        <f t="shared" si="6"/>
        <v>44715</v>
      </c>
      <c r="CF9" s="34">
        <f t="shared" si="6"/>
        <v>44716</v>
      </c>
      <c r="CG9" s="34">
        <f t="shared" si="6"/>
        <v>44717</v>
      </c>
      <c r="CH9" s="34">
        <f t="shared" si="6"/>
        <v>44718</v>
      </c>
      <c r="CI9" s="34">
        <f t="shared" si="6"/>
        <v>44719</v>
      </c>
      <c r="CJ9" s="34">
        <f t="shared" si="6"/>
        <v>44720</v>
      </c>
      <c r="CK9" s="34">
        <f t="shared" si="6"/>
        <v>44721</v>
      </c>
      <c r="CL9" s="34">
        <f t="shared" si="6"/>
        <v>44722</v>
      </c>
      <c r="CM9" s="34">
        <f t="shared" si="6"/>
        <v>44723</v>
      </c>
      <c r="CN9" s="34">
        <f t="shared" si="6"/>
        <v>44724</v>
      </c>
      <c r="CO9" s="34">
        <f t="shared" si="6"/>
        <v>44725</v>
      </c>
      <c r="CP9" s="34">
        <f t="shared" si="6"/>
        <v>44726</v>
      </c>
      <c r="CQ9" s="34">
        <f t="shared" si="6"/>
        <v>44727</v>
      </c>
      <c r="CR9" s="34">
        <f t="shared" si="6"/>
        <v>44728</v>
      </c>
      <c r="CS9" s="34">
        <f t="shared" si="6"/>
        <v>44729</v>
      </c>
      <c r="CT9" s="34">
        <f t="shared" si="6"/>
        <v>44730</v>
      </c>
      <c r="CU9" s="34">
        <f t="shared" si="6"/>
        <v>44731</v>
      </c>
      <c r="CV9" s="34">
        <f t="shared" si="6"/>
        <v>44732</v>
      </c>
      <c r="CW9" s="34">
        <f t="shared" si="6"/>
        <v>44733</v>
      </c>
      <c r="CX9" s="34">
        <f t="shared" si="6"/>
        <v>44734</v>
      </c>
      <c r="CY9" s="34">
        <f t="shared" si="6"/>
        <v>44735</v>
      </c>
      <c r="CZ9" s="34">
        <f t="shared" si="6"/>
        <v>44736</v>
      </c>
      <c r="DA9" s="192">
        <v>44008</v>
      </c>
      <c r="DB9" s="178"/>
      <c r="DC9" s="12"/>
      <c r="DD9" s="2"/>
      <c r="DF9" s="1"/>
      <c r="DG9" s="1"/>
      <c r="DH9" s="1"/>
      <c r="DI9" s="1"/>
      <c r="DJ9" s="1"/>
      <c r="DK9" s="1"/>
      <c r="DL9" s="1"/>
      <c r="DM9"/>
      <c r="DN9"/>
      <c r="DO9"/>
      <c r="DP9"/>
      <c r="DQ9"/>
      <c r="DR9"/>
      <c r="DS9"/>
      <c r="DT9"/>
      <c r="DU9"/>
      <c r="DV9"/>
      <c r="DW9"/>
      <c r="DX9"/>
      <c r="DY9"/>
      <c r="DZ9"/>
      <c r="EA9"/>
      <c r="EB9"/>
      <c r="EC9"/>
      <c r="ED9"/>
      <c r="EE9"/>
      <c r="EF9"/>
      <c r="EG9"/>
      <c r="EJ9" s="118" t="s">
        <v>286</v>
      </c>
      <c r="EK9" s="118" t="s">
        <v>346</v>
      </c>
      <c r="EL9" s="118" t="s">
        <v>374</v>
      </c>
      <c r="EM9" s="118" t="s">
        <v>403</v>
      </c>
      <c r="EN9" s="118"/>
      <c r="EO9" s="118"/>
      <c r="EP9" s="118"/>
      <c r="EQ9" s="242"/>
      <c r="ES9" s="1"/>
    </row>
    <row r="10" spans="1:153">
      <c r="C10" s="75" t="s">
        <v>158</v>
      </c>
      <c r="D10" s="2" t="s">
        <v>12</v>
      </c>
      <c r="E10" s="2" t="s">
        <v>557</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80" t="s">
        <v>569</v>
      </c>
      <c r="U10" s="280" t="s">
        <v>569</v>
      </c>
      <c r="V10" s="280" t="s">
        <v>569</v>
      </c>
      <c r="W10" s="2" t="s">
        <v>52</v>
      </c>
      <c r="X10" s="2" t="s">
        <v>52</v>
      </c>
      <c r="Y10" s="2" t="s">
        <v>52</v>
      </c>
      <c r="Z10" s="2" t="s">
        <v>288</v>
      </c>
      <c r="AA10" s="2" t="s">
        <v>52</v>
      </c>
      <c r="AB10" s="2" t="s">
        <v>52</v>
      </c>
      <c r="AC10" s="2" t="s">
        <v>52</v>
      </c>
      <c r="AD10" s="2" t="s">
        <v>52</v>
      </c>
      <c r="AE10" s="2" t="s">
        <v>576</v>
      </c>
      <c r="AF10" s="2" t="s">
        <v>576</v>
      </c>
      <c r="AG10" s="2" t="s">
        <v>576</v>
      </c>
      <c r="AH10" s="2" t="s">
        <v>52</v>
      </c>
      <c r="AI10" s="2" t="s">
        <v>52</v>
      </c>
      <c r="AJ10" s="2" t="s">
        <v>575</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594</v>
      </c>
      <c r="AZ10" s="2" t="s">
        <v>594</v>
      </c>
      <c r="BA10" s="2" t="s">
        <v>594</v>
      </c>
      <c r="BB10" s="2" t="s">
        <v>594</v>
      </c>
      <c r="BC10" s="2" t="s">
        <v>594</v>
      </c>
      <c r="BD10" s="2" t="s">
        <v>52</v>
      </c>
      <c r="BE10" s="2" t="s">
        <v>52</v>
      </c>
      <c r="BF10" s="2" t="s">
        <v>52</v>
      </c>
      <c r="BG10" s="2" t="s">
        <v>52</v>
      </c>
      <c r="BH10" s="2" t="s">
        <v>52</v>
      </c>
      <c r="BI10" s="2" t="s">
        <v>52</v>
      </c>
      <c r="BJ10" s="2" t="s">
        <v>52</v>
      </c>
      <c r="BK10" s="2" t="s">
        <v>52</v>
      </c>
      <c r="BL10" s="2" t="s">
        <v>52</v>
      </c>
      <c r="BM10" s="2" t="s">
        <v>52</v>
      </c>
      <c r="BN10" s="2" t="s">
        <v>52</v>
      </c>
      <c r="BO10" s="2" t="s">
        <v>52</v>
      </c>
      <c r="BP10" s="2" t="s">
        <v>52</v>
      </c>
      <c r="BQ10" s="2" t="s">
        <v>52</v>
      </c>
      <c r="BR10" s="2" t="s">
        <v>52</v>
      </c>
      <c r="BS10" s="2" t="s">
        <v>52</v>
      </c>
      <c r="BT10" s="2" t="s">
        <v>52</v>
      </c>
      <c r="BU10" s="2" t="s">
        <v>52</v>
      </c>
      <c r="BV10" s="2" t="s">
        <v>52</v>
      </c>
      <c r="BW10" s="2" t="s">
        <v>52</v>
      </c>
      <c r="BX10" s="2" t="s">
        <v>52</v>
      </c>
      <c r="BY10" s="2" t="s">
        <v>52</v>
      </c>
      <c r="BZ10" s="2" t="s">
        <v>52</v>
      </c>
      <c r="CA10" s="2" t="s">
        <v>52</v>
      </c>
      <c r="CB10" s="2" t="s">
        <v>52</v>
      </c>
      <c r="CC10" s="2" t="s">
        <v>52</v>
      </c>
      <c r="CD10" s="2" t="s">
        <v>610</v>
      </c>
      <c r="CE10" s="2" t="s">
        <v>52</v>
      </c>
      <c r="CF10" s="2" t="s">
        <v>52</v>
      </c>
      <c r="CG10" s="2" t="s">
        <v>52</v>
      </c>
      <c r="CH10" s="2" t="s">
        <v>52</v>
      </c>
      <c r="CI10" s="2" t="s">
        <v>52</v>
      </c>
      <c r="CJ10" s="2" t="s">
        <v>52</v>
      </c>
      <c r="CK10" s="2" t="s">
        <v>52</v>
      </c>
      <c r="CL10" s="2" t="s">
        <v>52</v>
      </c>
      <c r="CM10" s="2" t="s">
        <v>52</v>
      </c>
      <c r="CN10" s="2" t="s">
        <v>52</v>
      </c>
      <c r="CO10" s="2" t="s">
        <v>52</v>
      </c>
      <c r="CP10" s="2" t="s">
        <v>52</v>
      </c>
      <c r="CQ10" s="2" t="s">
        <v>52</v>
      </c>
      <c r="CR10" s="2" t="s">
        <v>52</v>
      </c>
      <c r="CS10" s="2" t="s">
        <v>52</v>
      </c>
      <c r="CT10" s="2" t="s">
        <v>52</v>
      </c>
      <c r="CU10" s="2" t="s">
        <v>52</v>
      </c>
      <c r="CV10" s="2" t="s">
        <v>52</v>
      </c>
      <c r="CW10" s="2" t="s">
        <v>52</v>
      </c>
      <c r="CX10" s="2" t="s">
        <v>52</v>
      </c>
      <c r="CY10" s="2" t="s">
        <v>52</v>
      </c>
      <c r="CZ10" s="2" t="s">
        <v>52</v>
      </c>
      <c r="DA10" s="11" t="s">
        <v>52</v>
      </c>
      <c r="EJ10" s="118" t="s">
        <v>345</v>
      </c>
      <c r="EK10" s="118" t="s">
        <v>373</v>
      </c>
      <c r="EL10" s="118" t="s">
        <v>402</v>
      </c>
      <c r="EM10" s="118" t="s">
        <v>310</v>
      </c>
      <c r="EN10" s="118"/>
      <c r="EO10" s="118"/>
      <c r="EP10" s="242"/>
      <c r="EQ10" s="118"/>
    </row>
    <row r="11" spans="1:153" ht="15" outlineLevel="1" thickBot="1">
      <c r="D11" s="11" t="s">
        <v>17</v>
      </c>
      <c r="E11" s="2" t="s">
        <v>16</v>
      </c>
      <c r="F11" s="2" t="s">
        <v>16</v>
      </c>
      <c r="G11" s="2" t="s">
        <v>16</v>
      </c>
      <c r="AY11" s="2" t="s">
        <v>592</v>
      </c>
      <c r="AZ11" s="2" t="s">
        <v>592</v>
      </c>
      <c r="BA11" s="2" t="s">
        <v>593</v>
      </c>
      <c r="BB11" s="2" t="s">
        <v>592</v>
      </c>
      <c r="BC11" s="2" t="s">
        <v>592</v>
      </c>
      <c r="DC11" s="4" t="s">
        <v>13</v>
      </c>
      <c r="EJ11" s="4" t="s">
        <v>284</v>
      </c>
      <c r="EK11" s="4" t="s">
        <v>287</v>
      </c>
      <c r="EL11" s="4" t="s">
        <v>294</v>
      </c>
      <c r="EM11" s="4" t="s">
        <v>312</v>
      </c>
      <c r="EN11" s="4" t="s">
        <v>320</v>
      </c>
      <c r="EO11" s="4" t="s">
        <v>516</v>
      </c>
      <c r="EP11" s="4" t="s">
        <v>517</v>
      </c>
      <c r="EQ11" s="4" t="s">
        <v>518</v>
      </c>
    </row>
    <row r="12" spans="1:153" outlineLevel="1">
      <c r="A12" t="s">
        <v>70</v>
      </c>
      <c r="B12" t="s">
        <v>328</v>
      </c>
      <c r="C12" s="72" t="s">
        <v>205</v>
      </c>
      <c r="D12" s="11"/>
      <c r="F12" s="2">
        <v>185</v>
      </c>
      <c r="H12" s="2">
        <v>166</v>
      </c>
      <c r="I12" s="2">
        <f>20+50</f>
        <v>70</v>
      </c>
      <c r="K12" s="2">
        <f>15+40</f>
        <v>55</v>
      </c>
      <c r="L12" s="2">
        <v>135</v>
      </c>
      <c r="M12">
        <v>120</v>
      </c>
      <c r="N12"/>
      <c r="O12">
        <v>100</v>
      </c>
      <c r="P12"/>
      <c r="Q12">
        <f>30+150</f>
        <v>180</v>
      </c>
      <c r="R12">
        <v>30</v>
      </c>
      <c r="S12"/>
      <c r="T12"/>
      <c r="U12" s="281">
        <v>244.40700000000001</v>
      </c>
      <c r="V12" s="281">
        <v>131.07</v>
      </c>
      <c r="W12" s="281">
        <v>179.643</v>
      </c>
      <c r="X12" s="2">
        <f>227+50+20</f>
        <v>297</v>
      </c>
      <c r="Y12"/>
      <c r="Z12" s="142">
        <v>44</v>
      </c>
      <c r="AA12" s="2">
        <v>80</v>
      </c>
      <c r="AB12" s="2">
        <f>400+50</f>
        <v>450</v>
      </c>
      <c r="AC12" s="2">
        <v>140</v>
      </c>
      <c r="AD12" s="2">
        <v>40</v>
      </c>
      <c r="AG12" s="2">
        <v>26</v>
      </c>
      <c r="AH12" s="2">
        <v>60</v>
      </c>
      <c r="AI12" s="2">
        <v>60</v>
      </c>
      <c r="AJ12" s="2">
        <v>39</v>
      </c>
      <c r="AL12" s="2">
        <v>120</v>
      </c>
      <c r="AM12" s="2">
        <v>3</v>
      </c>
      <c r="AN12" s="2">
        <v>80</v>
      </c>
      <c r="AO12" s="2">
        <v>36</v>
      </c>
      <c r="AP12" s="2">
        <v>45</v>
      </c>
      <c r="AQ12" s="2">
        <v>315</v>
      </c>
      <c r="AR12"/>
      <c r="AS12" s="2">
        <v>20</v>
      </c>
      <c r="AT12" s="2">
        <v>150</v>
      </c>
      <c r="AU12" s="2">
        <v>110</v>
      </c>
      <c r="AV12" s="2">
        <v>20</v>
      </c>
      <c r="AW12"/>
      <c r="AY12" s="2">
        <v>260</v>
      </c>
      <c r="AZ12" s="306">
        <v>181.36335209505941</v>
      </c>
      <c r="BA12" s="306">
        <v>126.95434646654159</v>
      </c>
      <c r="BB12" s="306">
        <v>155.97248280175111</v>
      </c>
      <c r="BC12" s="306">
        <v>101.56347717323328</v>
      </c>
      <c r="BD12" s="306">
        <v>0</v>
      </c>
      <c r="BE12" s="2">
        <v>55</v>
      </c>
      <c r="BF12" s="2">
        <v>125</v>
      </c>
      <c r="BG12" s="2">
        <v>85</v>
      </c>
      <c r="BH12" s="2">
        <v>450</v>
      </c>
      <c r="BI12" s="2">
        <f>48+36</f>
        <v>84</v>
      </c>
      <c r="BJ12" s="2">
        <v>535</v>
      </c>
      <c r="BK12" s="2">
        <f>35+75+80+70+250</f>
        <v>510</v>
      </c>
      <c r="BL12"/>
      <c r="BM12">
        <v>85</v>
      </c>
      <c r="BN12"/>
      <c r="BO12" s="2">
        <f>40+25+90+100</f>
        <v>255</v>
      </c>
      <c r="BP12">
        <v>220</v>
      </c>
      <c r="BQ12">
        <f>50+160+50+100+100</f>
        <v>460</v>
      </c>
      <c r="BR12">
        <v>70</v>
      </c>
      <c r="BS12">
        <v>230</v>
      </c>
      <c r="BT12">
        <v>380</v>
      </c>
      <c r="BU12">
        <v>100</v>
      </c>
      <c r="BV12"/>
      <c r="BW12">
        <v>130</v>
      </c>
      <c r="BX12"/>
      <c r="BY12">
        <f>130+50</f>
        <v>180</v>
      </c>
      <c r="BZ12"/>
      <c r="CA12">
        <v>50</v>
      </c>
      <c r="CB12"/>
      <c r="CC12"/>
      <c r="CD12"/>
      <c r="CE12">
        <v>155</v>
      </c>
      <c r="CF12"/>
      <c r="CG12">
        <v>25</v>
      </c>
      <c r="CH12"/>
      <c r="CI12"/>
      <c r="CJ12"/>
      <c r="CK12">
        <f>14+40+20+80</f>
        <v>154</v>
      </c>
      <c r="CL12">
        <v>25</v>
      </c>
      <c r="CM12"/>
      <c r="CN12" t="s">
        <v>621</v>
      </c>
      <c r="CO12">
        <f>100+100</f>
        <v>200</v>
      </c>
      <c r="CP12"/>
      <c r="CQ12"/>
      <c r="CR12"/>
      <c r="CS12"/>
      <c r="CT12"/>
      <c r="CU12"/>
      <c r="CV12"/>
      <c r="CW12"/>
      <c r="CX12"/>
      <c r="CY12"/>
      <c r="DB12" s="179"/>
      <c r="DC12" s="29">
        <f t="shared" ref="DC12:DC29" si="7">SUM(E12:DB12)</f>
        <v>9119.9736585365863</v>
      </c>
      <c r="DD12" s="6">
        <f t="shared" ref="DD12:DD31" si="8">DC12/TAUXmoyen</f>
        <v>359.63132089961363</v>
      </c>
      <c r="DE12" s="27"/>
      <c r="DF12" s="27"/>
      <c r="EI12" s="72" t="s">
        <v>205</v>
      </c>
      <c r="EJ12" s="142">
        <f ca="1">SUM((INDIRECT(EJ$9&amp;ROW()):(INDIRECT(EJ$10&amp;ROW()))))</f>
        <v>1041</v>
      </c>
      <c r="EK12" s="142">
        <f ca="1">SUM((INDIRECT(EK$9&amp;ROW()):(INDIRECT(EK$10&amp;ROW()))))</f>
        <v>2690.12</v>
      </c>
      <c r="EL12" s="142">
        <f ca="1">SUM((INDIRECT(EL$9&amp;ROW()):(INDIRECT(EL$10&amp;ROW()))))</f>
        <v>4829.8536585365855</v>
      </c>
      <c r="EM12" s="142">
        <f ca="1">SUM((INDIRECT(EM$9&amp;ROW()):(INDIRECT(EM$10&amp;ROW()))))</f>
        <v>559</v>
      </c>
      <c r="EN12" s="142" t="e">
        <f ca="1">SUM((INDIRECT(EN$9&amp;ROW()):(INDIRECT(EN$10&amp;ROW()))))</f>
        <v>#REF!</v>
      </c>
      <c r="EO12" s="142" t="e">
        <f ca="1">SUM((INDIRECT(EO$9&amp;ROW()):(INDIRECT(EO$10&amp;ROW()))))</f>
        <v>#REF!</v>
      </c>
      <c r="EP12" s="142" t="e">
        <f ca="1">SUM((INDIRECT(EP$9&amp;ROW()):(INDIRECT(EP$10&amp;ROW()))))</f>
        <v>#REF!</v>
      </c>
      <c r="EQ12" s="142" t="e">
        <f ca="1">SUM((INDIRECT(EQ$9&amp;ROW()):(INDIRECT(EQ$10&amp;ROW()))))</f>
        <v>#REF!</v>
      </c>
      <c r="ES12" s="6">
        <v>9120</v>
      </c>
      <c r="EU12" s="61">
        <f t="shared" ref="EU12:EU17" si="9">ES12-DC12</f>
        <v>2.6341463413700694E-2</v>
      </c>
      <c r="EW12" s="6">
        <v>358.79199767985682</v>
      </c>
    </row>
    <row r="13" spans="1:153" outlineLevel="1">
      <c r="A13" t="s">
        <v>70</v>
      </c>
      <c r="B13" t="s">
        <v>328</v>
      </c>
      <c r="C13" s="73" t="s">
        <v>203</v>
      </c>
      <c r="D13" s="11"/>
      <c r="G13" s="2">
        <v>85</v>
      </c>
      <c r="H13" s="2">
        <v>100</v>
      </c>
      <c r="I13" s="2">
        <v>340</v>
      </c>
      <c r="J13" s="2">
        <v>75</v>
      </c>
      <c r="L13" s="2">
        <v>200</v>
      </c>
      <c r="M13"/>
      <c r="N13"/>
      <c r="O13">
        <v>145</v>
      </c>
      <c r="P13" s="2">
        <v>50</v>
      </c>
      <c r="Q13">
        <v>130</v>
      </c>
      <c r="R13">
        <v>260</v>
      </c>
      <c r="S13">
        <v>130</v>
      </c>
      <c r="T13">
        <v>140</v>
      </c>
      <c r="U13" s="281">
        <v>98.944999999999993</v>
      </c>
      <c r="V13" s="281">
        <v>161.74825174825176</v>
      </c>
      <c r="W13" s="281">
        <v>77.099999999999994</v>
      </c>
      <c r="X13" s="142">
        <v>130</v>
      </c>
      <c r="Y13" s="142">
        <v>65</v>
      </c>
      <c r="AA13" s="2">
        <v>330</v>
      </c>
      <c r="AB13" s="2">
        <v>200</v>
      </c>
      <c r="AD13" s="2">
        <v>80</v>
      </c>
      <c r="AE13" s="2">
        <v>125</v>
      </c>
      <c r="AF13" s="2">
        <v>275</v>
      </c>
      <c r="AG13" s="2">
        <v>271</v>
      </c>
      <c r="AH13" s="2">
        <v>120</v>
      </c>
      <c r="AK13" s="2">
        <v>30</v>
      </c>
      <c r="AL13" s="2">
        <v>75</v>
      </c>
      <c r="AM13" s="2">
        <v>40</v>
      </c>
      <c r="AN13" s="2">
        <v>45</v>
      </c>
      <c r="AO13" s="2">
        <v>55</v>
      </c>
      <c r="AQ13" s="2">
        <v>550</v>
      </c>
      <c r="AR13">
        <f>60+50+60</f>
        <v>170</v>
      </c>
      <c r="AS13" s="2">
        <v>170</v>
      </c>
      <c r="AT13" s="2">
        <v>340</v>
      </c>
      <c r="AU13" s="2">
        <v>85</v>
      </c>
      <c r="AV13"/>
      <c r="AW13" s="2">
        <v>100</v>
      </c>
      <c r="AX13" s="2">
        <v>440</v>
      </c>
      <c r="AY13" s="306">
        <v>0</v>
      </c>
      <c r="AZ13" s="306">
        <v>47.154471544715449</v>
      </c>
      <c r="BA13" s="306">
        <v>72.545340838023762</v>
      </c>
      <c r="BB13" s="306">
        <v>72.545340838023762</v>
      </c>
      <c r="BC13" s="306">
        <v>101.56347717323328</v>
      </c>
      <c r="BD13" s="306">
        <v>116.07254534083803</v>
      </c>
      <c r="BE13" s="2">
        <v>80</v>
      </c>
      <c r="BF13" s="2">
        <v>240</v>
      </c>
      <c r="BG13" s="2">
        <f>25+25+60</f>
        <v>110</v>
      </c>
      <c r="BI13" s="2">
        <v>450</v>
      </c>
      <c r="BL13" s="2">
        <v>260</v>
      </c>
      <c r="BN13" s="100">
        <v>400</v>
      </c>
      <c r="BO13" s="2">
        <v>985</v>
      </c>
      <c r="BP13"/>
      <c r="BQ13"/>
      <c r="BR13">
        <v>120</v>
      </c>
      <c r="BS13"/>
      <c r="BT13">
        <v>500</v>
      </c>
      <c r="BU13">
        <v>60</v>
      </c>
      <c r="BV13">
        <v>140</v>
      </c>
      <c r="BW13"/>
      <c r="BX13">
        <f>40+60+80+50</f>
        <v>230</v>
      </c>
      <c r="BY13">
        <v>460</v>
      </c>
      <c r="BZ13">
        <f>160+60+30+40+40+25</f>
        <v>355</v>
      </c>
      <c r="CA13" s="2">
        <v>200</v>
      </c>
      <c r="CB13">
        <v>150</v>
      </c>
      <c r="CC13">
        <v>130</v>
      </c>
      <c r="CD13" s="2">
        <v>1375</v>
      </c>
      <c r="CE13">
        <v>180</v>
      </c>
      <c r="CF13">
        <v>370</v>
      </c>
      <c r="CG13"/>
      <c r="CH13">
        <v>480</v>
      </c>
      <c r="CI13">
        <v>200</v>
      </c>
      <c r="CJ13">
        <v>1380</v>
      </c>
      <c r="CK13">
        <v>290</v>
      </c>
      <c r="CL13">
        <v>160</v>
      </c>
      <c r="CM13">
        <v>310</v>
      </c>
      <c r="CN13">
        <v>250</v>
      </c>
      <c r="CO13">
        <v>250</v>
      </c>
      <c r="CP13"/>
      <c r="CQ13"/>
      <c r="CR13"/>
      <c r="CS13"/>
      <c r="CT13"/>
      <c r="CU13"/>
      <c r="CV13"/>
      <c r="CW13"/>
      <c r="CX13"/>
      <c r="CY13"/>
      <c r="DC13" s="29">
        <f t="shared" si="7"/>
        <v>16213.674427483085</v>
      </c>
      <c r="DD13" s="6">
        <f t="shared" si="8"/>
        <v>639.35986761695062</v>
      </c>
      <c r="DE13" s="27"/>
      <c r="DF13" s="27"/>
      <c r="EI13" s="73" t="s">
        <v>203</v>
      </c>
      <c r="EJ13" s="142">
        <f ca="1">SUM((INDIRECT(EJ$9&amp;ROW()):(INDIRECT(EJ$10&amp;ROW()))))</f>
        <v>1515</v>
      </c>
      <c r="EK13" s="142">
        <f ca="1">SUM((INDIRECT(EK$9&amp;ROW()):(INDIRECT(EK$10&amp;ROW()))))</f>
        <v>3733.7932517482518</v>
      </c>
      <c r="EL13" s="142">
        <f ca="1">SUM((INDIRECT(EL$9&amp;ROW()):(INDIRECT(EL$10&amp;ROW()))))</f>
        <v>5589.881175734834</v>
      </c>
      <c r="EM13" s="142">
        <f ca="1">SUM((INDIRECT(EM$9&amp;ROW()):(INDIRECT(EM$10&amp;ROW()))))</f>
        <v>5375</v>
      </c>
      <c r="EN13" s="142" t="e">
        <f ca="1">SUM((INDIRECT(EN$9&amp;ROW()):(INDIRECT(EN$10&amp;ROW()))))</f>
        <v>#REF!</v>
      </c>
      <c r="EO13" s="142" t="e">
        <f ca="1">SUM((INDIRECT(EO$9&amp;ROW()):(INDIRECT(EO$10&amp;ROW()))))</f>
        <v>#REF!</v>
      </c>
      <c r="EP13" s="142" t="e">
        <f ca="1">SUM((INDIRECT(EP$9&amp;ROW()):(INDIRECT(EP$10&amp;ROW()))))</f>
        <v>#REF!</v>
      </c>
      <c r="EQ13" s="142" t="e">
        <f ca="1">SUM((INDIRECT(EQ$9&amp;ROW()):(INDIRECT(EQ$10&amp;ROW()))))</f>
        <v>#REF!</v>
      </c>
      <c r="ES13" s="6">
        <v>16213.674427483085</v>
      </c>
      <c r="EU13" s="61">
        <f t="shared" si="9"/>
        <v>0</v>
      </c>
      <c r="EW13" s="6">
        <v>641.91365831306086</v>
      </c>
    </row>
    <row r="14" spans="1:153" outlineLevel="1">
      <c r="A14" t="s">
        <v>70</v>
      </c>
      <c r="B14" t="s">
        <v>328</v>
      </c>
      <c r="C14" s="73" t="s">
        <v>204</v>
      </c>
      <c r="D14" s="11"/>
      <c r="F14" s="2">
        <v>160</v>
      </c>
      <c r="G14" s="2">
        <v>450</v>
      </c>
      <c r="H14" s="2">
        <v>180</v>
      </c>
      <c r="J14" s="143">
        <v>55</v>
      </c>
      <c r="K14" s="2">
        <v>450</v>
      </c>
      <c r="M14" s="2">
        <v>860</v>
      </c>
      <c r="N14" s="2">
        <v>300</v>
      </c>
      <c r="O14" s="2">
        <v>125</v>
      </c>
      <c r="P14">
        <v>100</v>
      </c>
      <c r="Q14" s="2">
        <v>85</v>
      </c>
      <c r="R14"/>
      <c r="S14" s="2">
        <v>40</v>
      </c>
      <c r="T14" s="279">
        <v>449</v>
      </c>
      <c r="U14" s="281">
        <v>625.53800000000001</v>
      </c>
      <c r="V14" s="281">
        <v>197.69230769230768</v>
      </c>
      <c r="W14" s="142"/>
      <c r="X14"/>
      <c r="Y14">
        <v>350</v>
      </c>
      <c r="Z14" s="143">
        <v>95</v>
      </c>
      <c r="AA14" s="2">
        <v>100</v>
      </c>
      <c r="AB14" s="2">
        <v>100</v>
      </c>
      <c r="AC14" s="2">
        <v>151</v>
      </c>
      <c r="AD14" s="2">
        <v>370</v>
      </c>
      <c r="AE14" s="2">
        <v>50</v>
      </c>
      <c r="AF14" s="2">
        <v>150</v>
      </c>
      <c r="AG14" s="2">
        <v>425</v>
      </c>
      <c r="AI14" s="2">
        <v>50</v>
      </c>
      <c r="AK14" s="143">
        <v>95</v>
      </c>
      <c r="AL14" s="2">
        <v>340</v>
      </c>
      <c r="AM14" s="2">
        <v>120</v>
      </c>
      <c r="AN14" s="2">
        <v>36</v>
      </c>
      <c r="AO14" s="2">
        <v>110</v>
      </c>
      <c r="AP14" s="2">
        <v>155</v>
      </c>
      <c r="AQ14" s="2">
        <v>350</v>
      </c>
      <c r="AR14" s="143">
        <v>45</v>
      </c>
      <c r="AS14" s="2">
        <v>55</v>
      </c>
      <c r="AT14" s="143">
        <v>45</v>
      </c>
      <c r="AU14"/>
      <c r="AV14" s="143">
        <v>105</v>
      </c>
      <c r="AW14"/>
      <c r="AY14" s="306">
        <v>0</v>
      </c>
      <c r="AZ14" s="306">
        <v>0</v>
      </c>
      <c r="BA14" s="306">
        <v>0</v>
      </c>
      <c r="BB14" s="306">
        <v>0</v>
      </c>
      <c r="BC14" s="306">
        <v>123.3270794246404</v>
      </c>
      <c r="BD14" s="306">
        <v>0</v>
      </c>
      <c r="BE14" s="2">
        <f>250+125</f>
        <v>375</v>
      </c>
      <c r="BF14" s="2">
        <v>70</v>
      </c>
      <c r="BG14" s="2">
        <v>50</v>
      </c>
      <c r="BH14" s="2">
        <v>75</v>
      </c>
      <c r="BI14" s="2">
        <v>110</v>
      </c>
      <c r="BK14" s="2">
        <v>100</v>
      </c>
      <c r="BL14" s="2">
        <v>40</v>
      </c>
      <c r="BM14" s="2">
        <v>110</v>
      </c>
      <c r="BN14" s="100">
        <v>400</v>
      </c>
      <c r="BO14" s="2">
        <v>80</v>
      </c>
      <c r="BP14" s="2">
        <v>90</v>
      </c>
      <c r="BQ14" s="2">
        <v>100</v>
      </c>
      <c r="BR14" s="2">
        <v>100</v>
      </c>
      <c r="BS14"/>
      <c r="BT14"/>
      <c r="BU14" s="2">
        <v>100</v>
      </c>
      <c r="BV14" s="2">
        <v>80</v>
      </c>
      <c r="BW14"/>
      <c r="BX14" s="2">
        <v>140</v>
      </c>
      <c r="BY14" s="2">
        <v>195</v>
      </c>
      <c r="BZ14" s="2">
        <v>190</v>
      </c>
      <c r="CA14" s="2">
        <v>65</v>
      </c>
      <c r="CB14" s="2">
        <v>175</v>
      </c>
      <c r="CC14"/>
      <c r="CD14" s="2">
        <v>500</v>
      </c>
      <c r="CE14" s="2">
        <v>150</v>
      </c>
      <c r="CF14" s="2">
        <v>300</v>
      </c>
      <c r="CG14" s="2">
        <v>90</v>
      </c>
      <c r="CH14" s="2">
        <v>155</v>
      </c>
      <c r="CI14" s="2">
        <v>80</v>
      </c>
      <c r="CJ14" s="2">
        <v>105</v>
      </c>
      <c r="CK14" s="2">
        <v>300</v>
      </c>
      <c r="CL14"/>
      <c r="CM14"/>
      <c r="CN14" s="2">
        <v>340</v>
      </c>
      <c r="CO14" s="2">
        <v>400</v>
      </c>
      <c r="CP14"/>
      <c r="CQ14"/>
      <c r="CR14"/>
      <c r="CS14"/>
      <c r="CT14"/>
      <c r="CU14"/>
      <c r="CV14"/>
      <c r="CW14"/>
      <c r="CX14"/>
      <c r="CY14"/>
      <c r="DC14" s="29">
        <f t="shared" si="7"/>
        <v>12562.557387116947</v>
      </c>
      <c r="DD14" s="6">
        <f t="shared" si="8"/>
        <v>495.38400834931997</v>
      </c>
      <c r="DE14" s="27"/>
      <c r="DF14" s="27"/>
      <c r="EI14" s="73" t="s">
        <v>204</v>
      </c>
      <c r="EJ14" s="142">
        <f ca="1">SUM((INDIRECT(EJ$9&amp;ROW()):(INDIRECT(EJ$10&amp;ROW()))))</f>
        <v>2805</v>
      </c>
      <c r="EK14" s="142">
        <f ca="1">SUM((INDIRECT(EK$9&amp;ROW()):(INDIRECT(EK$10&amp;ROW()))))</f>
        <v>4569.2303076923072</v>
      </c>
      <c r="EL14" s="142">
        <f ca="1">SUM((INDIRECT(EL$9&amp;ROW()):(INDIRECT(EL$10&amp;ROW()))))</f>
        <v>2768.3270794246405</v>
      </c>
      <c r="EM14" s="142">
        <f ca="1">SUM((INDIRECT(EM$9&amp;ROW()):(INDIRECT(EM$10&amp;ROW()))))</f>
        <v>2420</v>
      </c>
      <c r="EN14" s="142" t="e">
        <f ca="1">SUM((INDIRECT(EN$9&amp;ROW()):(INDIRECT(EN$10&amp;ROW()))))</f>
        <v>#REF!</v>
      </c>
      <c r="EO14" s="142" t="e">
        <f ca="1">SUM((INDIRECT(EO$9&amp;ROW()):(INDIRECT(EO$10&amp;ROW()))))</f>
        <v>#REF!</v>
      </c>
      <c r="EP14" s="142" t="e">
        <f ca="1">SUM((INDIRECT(EP$9&amp;ROW()):(INDIRECT(EP$10&amp;ROW()))))</f>
        <v>#REF!</v>
      </c>
      <c r="EQ14" s="142" t="e">
        <f ca="1">SUM((INDIRECT(EQ$9&amp;ROW()):(INDIRECT(EQ$10&amp;ROW()))))</f>
        <v>#REF!</v>
      </c>
      <c r="ES14" s="6">
        <v>12562.557387116947</v>
      </c>
      <c r="EU14" s="61">
        <f t="shared" si="9"/>
        <v>0</v>
      </c>
      <c r="EW14" s="6">
        <v>494.51016295992395</v>
      </c>
    </row>
    <row r="15" spans="1:153" outlineLevel="1">
      <c r="A15" t="s">
        <v>70</v>
      </c>
      <c r="B15" t="s">
        <v>328</v>
      </c>
      <c r="C15" s="73" t="s">
        <v>146</v>
      </c>
      <c r="D15" s="11"/>
      <c r="F15" s="2">
        <v>76</v>
      </c>
      <c r="G15" s="2">
        <v>100</v>
      </c>
      <c r="H15" s="2">
        <f>45+50</f>
        <v>95</v>
      </c>
      <c r="I15" s="2">
        <v>50</v>
      </c>
      <c r="J15" s="2">
        <v>20</v>
      </c>
      <c r="K15" s="2">
        <v>50</v>
      </c>
      <c r="L15" s="2">
        <v>45</v>
      </c>
      <c r="M15" s="2">
        <v>40</v>
      </c>
      <c r="N15" s="2">
        <v>44</v>
      </c>
      <c r="O15" s="2">
        <v>30</v>
      </c>
      <c r="P15" s="2">
        <v>25</v>
      </c>
      <c r="Q15"/>
      <c r="R15" s="2">
        <v>30</v>
      </c>
      <c r="S15"/>
      <c r="T15"/>
      <c r="U15" s="142">
        <v>0</v>
      </c>
      <c r="V15" s="281">
        <v>107.83216783216784</v>
      </c>
      <c r="W15" s="142">
        <v>100</v>
      </c>
      <c r="X15">
        <v>85</v>
      </c>
      <c r="Y15">
        <v>30</v>
      </c>
      <c r="Z15" s="2">
        <v>15</v>
      </c>
      <c r="AA15" s="2">
        <v>210</v>
      </c>
      <c r="AB15" s="2">
        <v>50</v>
      </c>
      <c r="AC15" s="2">
        <v>55</v>
      </c>
      <c r="AD15" s="2">
        <v>70</v>
      </c>
      <c r="AE15" s="2">
        <v>330</v>
      </c>
      <c r="AF15" s="2">
        <v>40</v>
      </c>
      <c r="AG15" s="2">
        <f>65+90</f>
        <v>155</v>
      </c>
      <c r="AJ15" s="2">
        <v>50</v>
      </c>
      <c r="AK15" s="2">
        <v>150</v>
      </c>
      <c r="AL15" s="2">
        <v>45</v>
      </c>
      <c r="AM15" s="2">
        <v>95</v>
      </c>
      <c r="AN15" s="2">
        <v>105</v>
      </c>
      <c r="AO15" s="2">
        <v>50</v>
      </c>
      <c r="AP15" s="2">
        <v>125</v>
      </c>
      <c r="AQ15" s="2">
        <v>25</v>
      </c>
      <c r="AR15">
        <v>105</v>
      </c>
      <c r="AS15" s="2">
        <v>105</v>
      </c>
      <c r="AT15"/>
      <c r="AU15" s="2">
        <v>25</v>
      </c>
      <c r="AV15">
        <v>65</v>
      </c>
      <c r="AW15" s="2">
        <v>70</v>
      </c>
      <c r="AX15" s="2">
        <v>35</v>
      </c>
      <c r="AY15" s="306">
        <v>163.22701688555347</v>
      </c>
      <c r="AZ15" s="306">
        <v>97.936210131332089</v>
      </c>
      <c r="BA15" s="306">
        <v>0</v>
      </c>
      <c r="BB15" s="306">
        <v>50.78173858661664</v>
      </c>
      <c r="BC15" s="306">
        <v>50.78173858661664</v>
      </c>
      <c r="BD15" s="306">
        <v>94.308943089430898</v>
      </c>
      <c r="BE15" s="2">
        <v>50</v>
      </c>
      <c r="BF15" s="2">
        <v>130</v>
      </c>
      <c r="BI15" s="2">
        <v>55</v>
      </c>
      <c r="BJ15" s="2">
        <v>70</v>
      </c>
      <c r="BK15" s="2">
        <f>50+44</f>
        <v>94</v>
      </c>
      <c r="BL15">
        <v>25</v>
      </c>
      <c r="BM15" s="2">
        <v>25</v>
      </c>
      <c r="BN15" s="2">
        <v>25</v>
      </c>
      <c r="BO15" s="2">
        <v>45</v>
      </c>
      <c r="BP15"/>
      <c r="BQ15" s="2">
        <v>75</v>
      </c>
      <c r="BR15" s="2">
        <v>70</v>
      </c>
      <c r="BS15"/>
      <c r="BT15" s="2">
        <v>25</v>
      </c>
      <c r="BU15" s="2">
        <v>200</v>
      </c>
      <c r="BV15" s="2">
        <v>25</v>
      </c>
      <c r="BW15" s="2">
        <v>50</v>
      </c>
      <c r="BX15" s="2">
        <v>75</v>
      </c>
      <c r="BY15"/>
      <c r="BZ15">
        <f>90+60</f>
        <v>150</v>
      </c>
      <c r="CA15">
        <f>20+25+55+50</f>
        <v>150</v>
      </c>
      <c r="CB15">
        <f>50+25</f>
        <v>75</v>
      </c>
      <c r="CC15">
        <v>30</v>
      </c>
      <c r="CD15"/>
      <c r="CE15">
        <v>120</v>
      </c>
      <c r="CF15">
        <v>60</v>
      </c>
      <c r="CG15">
        <v>85</v>
      </c>
      <c r="CH15">
        <v>60</v>
      </c>
      <c r="CI15">
        <v>60</v>
      </c>
      <c r="CJ15">
        <v>60</v>
      </c>
      <c r="CK15">
        <v>25</v>
      </c>
      <c r="CL15"/>
      <c r="CM15">
        <v>134</v>
      </c>
      <c r="CN15">
        <v>82</v>
      </c>
      <c r="CO15">
        <v>60</v>
      </c>
      <c r="CP15"/>
      <c r="CQ15"/>
      <c r="CR15"/>
      <c r="CS15"/>
      <c r="CT15"/>
      <c r="CU15"/>
      <c r="CV15"/>
      <c r="CW15"/>
      <c r="CX15"/>
      <c r="CY15"/>
      <c r="DC15" s="29">
        <f t="shared" si="7"/>
        <v>5549.8678151117183</v>
      </c>
      <c r="DD15" s="6">
        <f t="shared" si="8"/>
        <v>218.8500063592451</v>
      </c>
      <c r="DE15" s="27"/>
      <c r="DF15" s="27"/>
      <c r="EI15" s="73" t="s">
        <v>146</v>
      </c>
      <c r="EJ15" s="142">
        <f ca="1">SUM((INDIRECT(EJ$9&amp;ROW()):(INDIRECT(EJ$10&amp;ROW()))))</f>
        <v>605</v>
      </c>
      <c r="EK15" s="142">
        <f ca="1">SUM((INDIRECT(EK$9&amp;ROW()):(INDIRECT(EK$10&amp;ROW()))))</f>
        <v>2262.8321678321681</v>
      </c>
      <c r="EL15" s="142">
        <f ca="1">SUM((INDIRECT(EL$9&amp;ROW()):(INDIRECT(EL$10&amp;ROW()))))</f>
        <v>1906.0356472795497</v>
      </c>
      <c r="EM15" s="142">
        <f ca="1">SUM((INDIRECT(EM$9&amp;ROW()):(INDIRECT(EM$10&amp;ROW()))))</f>
        <v>776</v>
      </c>
      <c r="EN15" s="142" t="e">
        <f ca="1">SUM((INDIRECT(EN$9&amp;ROW()):(INDIRECT(EN$10&amp;ROW()))))</f>
        <v>#REF!</v>
      </c>
      <c r="EO15" s="142" t="e">
        <f ca="1">SUM((INDIRECT(EO$9&amp;ROW()):(INDIRECT(EO$10&amp;ROW()))))</f>
        <v>#REF!</v>
      </c>
      <c r="EP15" s="142" t="e">
        <f ca="1">SUM((INDIRECT(EP$9&amp;ROW()):(INDIRECT(EP$10&amp;ROW()))))</f>
        <v>#REF!</v>
      </c>
      <c r="EQ15" s="142" t="e">
        <f ca="1">SUM((INDIRECT(EQ$9&amp;ROW()):(INDIRECT(EQ$10&amp;ROW()))))</f>
        <v>#REF!</v>
      </c>
      <c r="ES15" s="6">
        <v>5549.8678151117183</v>
      </c>
      <c r="EU15" s="61">
        <f t="shared" si="9"/>
        <v>0</v>
      </c>
      <c r="EW15" s="6">
        <v>218.77078570901671</v>
      </c>
    </row>
    <row r="16" spans="1:153" ht="15" outlineLevel="1" thickBot="1">
      <c r="A16" t="s">
        <v>70</v>
      </c>
      <c r="B16" t="s">
        <v>328</v>
      </c>
      <c r="C16" s="73" t="s">
        <v>630</v>
      </c>
      <c r="D16" s="11"/>
      <c r="E16" s="2">
        <v>0</v>
      </c>
      <c r="F16" s="2">
        <v>0</v>
      </c>
      <c r="G16" s="2">
        <v>0</v>
      </c>
      <c r="H16" s="2">
        <v>20</v>
      </c>
      <c r="I16" s="2">
        <v>30</v>
      </c>
      <c r="J16" s="2">
        <v>60</v>
      </c>
      <c r="K16" s="2">
        <v>15</v>
      </c>
      <c r="L16" s="2">
        <v>30</v>
      </c>
      <c r="M16" s="2">
        <v>110</v>
      </c>
      <c r="N16">
        <v>0</v>
      </c>
      <c r="O16">
        <v>0</v>
      </c>
      <c r="P16">
        <v>0</v>
      </c>
      <c r="Q16">
        <v>0</v>
      </c>
      <c r="R16">
        <v>0</v>
      </c>
      <c r="S16">
        <v>0</v>
      </c>
      <c r="T16" s="279">
        <v>144</v>
      </c>
      <c r="U16" s="281">
        <v>391.66800000000001</v>
      </c>
      <c r="V16" s="281">
        <v>179.72027972027973</v>
      </c>
      <c r="W16" s="142">
        <v>45</v>
      </c>
      <c r="X16">
        <v>60</v>
      </c>
      <c r="Y16">
        <v>87</v>
      </c>
      <c r="Z16" s="2">
        <v>0</v>
      </c>
      <c r="AA16" s="2">
        <v>0</v>
      </c>
      <c r="AB16" s="2">
        <v>0</v>
      </c>
      <c r="AC16" s="2">
        <v>45</v>
      </c>
      <c r="AD16" s="2">
        <v>15</v>
      </c>
      <c r="AE16" s="2">
        <v>0</v>
      </c>
      <c r="AF16" s="2">
        <v>20</v>
      </c>
      <c r="AG16" s="2">
        <v>0</v>
      </c>
      <c r="AH16" s="2">
        <v>0</v>
      </c>
      <c r="AI16" s="2">
        <v>180</v>
      </c>
      <c r="AJ16" s="2">
        <v>0</v>
      </c>
      <c r="AK16" s="2">
        <v>0</v>
      </c>
      <c r="AL16" s="2">
        <v>0</v>
      </c>
      <c r="AM16" s="2">
        <v>135</v>
      </c>
      <c r="AN16" s="2">
        <v>0</v>
      </c>
      <c r="AO16" s="2">
        <v>45</v>
      </c>
      <c r="AP16" s="2">
        <v>0</v>
      </c>
      <c r="AQ16" s="2">
        <v>0</v>
      </c>
      <c r="AR16">
        <v>0</v>
      </c>
      <c r="AS16">
        <v>0</v>
      </c>
      <c r="AT16">
        <v>0</v>
      </c>
      <c r="AU16">
        <v>0</v>
      </c>
      <c r="AV16">
        <v>0</v>
      </c>
      <c r="AW16">
        <v>295</v>
      </c>
      <c r="AX16" s="2">
        <v>0</v>
      </c>
      <c r="AY16" s="306">
        <v>428.01751094434024</v>
      </c>
      <c r="AZ16" s="306">
        <v>275.67229518449034</v>
      </c>
      <c r="BA16" s="306">
        <v>311.94496560350217</v>
      </c>
      <c r="BB16" s="306">
        <v>94.308943089430898</v>
      </c>
      <c r="BC16" s="306">
        <v>255.35959974984368</v>
      </c>
      <c r="BD16" s="306">
        <v>72.545340838023762</v>
      </c>
      <c r="BE16" s="2">
        <v>15</v>
      </c>
      <c r="BF16" s="2">
        <v>0</v>
      </c>
      <c r="BG16" s="2">
        <v>13</v>
      </c>
      <c r="BH16" s="2">
        <v>0</v>
      </c>
      <c r="BI16" s="2">
        <v>15</v>
      </c>
      <c r="BJ16" s="2">
        <v>105</v>
      </c>
      <c r="BK16" s="2">
        <v>118</v>
      </c>
      <c r="BL16">
        <v>15</v>
      </c>
      <c r="BM16">
        <v>0</v>
      </c>
      <c r="BN16">
        <v>73</v>
      </c>
      <c r="BO16">
        <v>15</v>
      </c>
      <c r="BP16">
        <v>250</v>
      </c>
      <c r="BQ16">
        <v>45</v>
      </c>
      <c r="BR16">
        <v>0</v>
      </c>
      <c r="BS16">
        <v>0</v>
      </c>
      <c r="BT16">
        <v>0</v>
      </c>
      <c r="BU16">
        <v>13</v>
      </c>
      <c r="BV16">
        <v>0</v>
      </c>
      <c r="BW16">
        <v>0</v>
      </c>
      <c r="BX16">
        <v>0</v>
      </c>
      <c r="BY16">
        <v>110</v>
      </c>
      <c r="BZ16">
        <v>75</v>
      </c>
      <c r="CA16">
        <v>60</v>
      </c>
      <c r="CB16">
        <v>0</v>
      </c>
      <c r="CC16">
        <v>15</v>
      </c>
      <c r="CD16">
        <v>0</v>
      </c>
      <c r="CE16">
        <v>195</v>
      </c>
      <c r="CF16">
        <v>15</v>
      </c>
      <c r="CG16">
        <v>60</v>
      </c>
      <c r="CH16">
        <v>195</v>
      </c>
      <c r="CI16">
        <v>0</v>
      </c>
      <c r="CJ16">
        <v>0</v>
      </c>
      <c r="CK16">
        <v>60</v>
      </c>
      <c r="CL16">
        <v>75</v>
      </c>
      <c r="CM16">
        <v>0</v>
      </c>
      <c r="CN16">
        <v>15</v>
      </c>
      <c r="CO16">
        <v>0</v>
      </c>
      <c r="CP16">
        <v>0</v>
      </c>
      <c r="CQ16"/>
      <c r="CR16"/>
      <c r="CS16"/>
      <c r="CT16"/>
      <c r="CU16"/>
      <c r="CV16"/>
      <c r="CW16"/>
      <c r="CX16"/>
      <c r="CY16"/>
      <c r="DC16" s="29">
        <f t="shared" si="7"/>
        <v>4897.2369351299112</v>
      </c>
      <c r="DD16" s="6">
        <f t="shared" si="8"/>
        <v>193.11456958985909</v>
      </c>
      <c r="DE16" s="27"/>
      <c r="DF16" s="27"/>
      <c r="EI16" s="73" t="s">
        <v>630</v>
      </c>
      <c r="EJ16" s="142">
        <f ca="1">SUM((INDIRECT(EJ$9&amp;ROW()):(INDIRECT(EJ$10&amp;ROW()))))</f>
        <v>265</v>
      </c>
      <c r="EK16" s="142">
        <f ca="1">SUM((INDIRECT(EK$9&amp;ROW()):(INDIRECT(EK$10&amp;ROW()))))</f>
        <v>1642.3882797202798</v>
      </c>
      <c r="EL16" s="142">
        <f ca="1">SUM((INDIRECT(EL$9&amp;ROW()):(INDIRECT(EL$10&amp;ROW()))))</f>
        <v>2359.8486554096312</v>
      </c>
      <c r="EM16" s="142">
        <f ca="1">SUM((INDIRECT(EM$9&amp;ROW()):(INDIRECT(EM$10&amp;ROW()))))</f>
        <v>630</v>
      </c>
      <c r="EN16" s="142" t="e">
        <f ca="1">SUM((INDIRECT(EN$9&amp;ROW()):(INDIRECT(EN$10&amp;ROW()))))</f>
        <v>#REF!</v>
      </c>
      <c r="EO16" s="142" t="e">
        <f ca="1">SUM((INDIRECT(EO$9&amp;ROW()):(INDIRECT(EO$10&amp;ROW()))))</f>
        <v>#REF!</v>
      </c>
      <c r="EP16" s="142" t="e">
        <f ca="1">SUM((INDIRECT(EP$9&amp;ROW()):(INDIRECT(EP$10&amp;ROW()))))</f>
        <v>#REF!</v>
      </c>
      <c r="EQ16" s="142" t="e">
        <f ca="1">SUM((INDIRECT(EQ$9&amp;ROW()):(INDIRECT(EQ$10&amp;ROW()))))</f>
        <v>#REF!</v>
      </c>
      <c r="ES16" s="6">
        <v>4101.3282421968279</v>
      </c>
      <c r="EU16" s="61">
        <f t="shared" si="9"/>
        <v>-795.90869293308333</v>
      </c>
      <c r="EW16" s="6">
        <v>192.51491753230798</v>
      </c>
    </row>
    <row r="17" spans="1:153" outlineLevel="1">
      <c r="A17" t="s">
        <v>70</v>
      </c>
      <c r="B17" t="s">
        <v>559</v>
      </c>
      <c r="C17" s="72" t="s">
        <v>149</v>
      </c>
      <c r="D17" s="11"/>
      <c r="H17" s="2">
        <v>100</v>
      </c>
      <c r="I17" s="2">
        <f>40+20</f>
        <v>60</v>
      </c>
      <c r="J17" s="2">
        <f>60+25+20</f>
        <v>105</v>
      </c>
      <c r="K17" s="2">
        <v>20</v>
      </c>
      <c r="L17" s="2">
        <v>20</v>
      </c>
      <c r="M17"/>
      <c r="N17">
        <v>90</v>
      </c>
      <c r="O17" s="2">
        <v>100</v>
      </c>
      <c r="P17" s="2">
        <v>120</v>
      </c>
      <c r="Q17" s="2">
        <v>40</v>
      </c>
      <c r="R17" s="2">
        <v>20</v>
      </c>
      <c r="S17" s="2">
        <v>90</v>
      </c>
      <c r="T17"/>
      <c r="U17" s="142">
        <v>0</v>
      </c>
      <c r="V17" s="142">
        <v>0</v>
      </c>
      <c r="W17" s="142">
        <v>0</v>
      </c>
      <c r="X17"/>
      <c r="Y17"/>
      <c r="Z17" s="142">
        <v>20</v>
      </c>
      <c r="AA17" s="2">
        <v>30</v>
      </c>
      <c r="AB17" s="2">
        <v>30</v>
      </c>
      <c r="AC17" s="2">
        <v>25</v>
      </c>
      <c r="AD17" s="2">
        <v>60</v>
      </c>
      <c r="AH17" s="2">
        <v>65</v>
      </c>
      <c r="AI17" s="2">
        <f>75+40</f>
        <v>115</v>
      </c>
      <c r="AJ17" s="2">
        <v>110</v>
      </c>
      <c r="AK17" s="2">
        <v>30</v>
      </c>
      <c r="AL17" s="2">
        <v>145</v>
      </c>
      <c r="AO17" s="2">
        <v>30</v>
      </c>
      <c r="AP17" s="2">
        <v>30</v>
      </c>
      <c r="AQ17" s="2">
        <v>30</v>
      </c>
      <c r="AR17" s="2">
        <v>60</v>
      </c>
      <c r="AS17" s="2">
        <v>25</v>
      </c>
      <c r="AT17"/>
      <c r="AU17"/>
      <c r="AV17" s="2">
        <v>30</v>
      </c>
      <c r="AW17"/>
      <c r="AX17" s="2">
        <v>40</v>
      </c>
      <c r="AY17" s="306">
        <v>0</v>
      </c>
      <c r="AZ17" s="306">
        <v>261.16322701688557</v>
      </c>
      <c r="BA17" s="306">
        <v>72.545340838023762</v>
      </c>
      <c r="BB17" s="306">
        <v>36.272670419011881</v>
      </c>
      <c r="BC17" s="306">
        <v>0</v>
      </c>
      <c r="BD17" s="306">
        <v>0</v>
      </c>
      <c r="BE17" s="2">
        <v>40</v>
      </c>
      <c r="BF17" s="2">
        <v>30</v>
      </c>
      <c r="BG17" s="2">
        <v>20</v>
      </c>
      <c r="BQ17" s="2">
        <v>170</v>
      </c>
      <c r="CE17" s="2">
        <v>600</v>
      </c>
      <c r="CJ17" s="2">
        <v>65</v>
      </c>
      <c r="DC17" s="29">
        <f t="shared" si="7"/>
        <v>2934.981238273921</v>
      </c>
      <c r="DD17" s="6">
        <f t="shared" si="8"/>
        <v>115.73620923214418</v>
      </c>
      <c r="DE17" s="27"/>
      <c r="DF17" s="27"/>
      <c r="EI17" s="72" t="s">
        <v>149</v>
      </c>
      <c r="EJ17" s="142">
        <f ca="1">SUM((INDIRECT(EJ$9&amp;ROW()):(INDIRECT(EJ$10&amp;ROW()))))</f>
        <v>765</v>
      </c>
      <c r="EK17" s="142">
        <f ca="1">SUM((INDIRECT(EK$9&amp;ROW()):(INDIRECT(EK$10&amp;ROW()))))</f>
        <v>835</v>
      </c>
      <c r="EL17" s="142">
        <f ca="1">SUM((INDIRECT(EL$9&amp;ROW()):(INDIRECT(EL$10&amp;ROW()))))</f>
        <v>669.98123827392124</v>
      </c>
      <c r="EM17" s="142">
        <f ca="1">SUM((INDIRECT(EM$9&amp;ROW()):(INDIRECT(EM$10&amp;ROW()))))</f>
        <v>665</v>
      </c>
      <c r="EN17" s="142" t="e">
        <f ca="1">SUM((INDIRECT(EN$9&amp;ROW()):(INDIRECT(EN$10&amp;ROW()))))</f>
        <v>#REF!</v>
      </c>
      <c r="EO17" s="142" t="e">
        <f ca="1">SUM((INDIRECT(EO$9&amp;ROW()):(INDIRECT(EO$10&amp;ROW()))))</f>
        <v>#REF!</v>
      </c>
      <c r="EP17" s="142" t="e">
        <f ca="1">SUM((INDIRECT(EP$9&amp;ROW()):(INDIRECT(EP$10&amp;ROW()))))</f>
        <v>#REF!</v>
      </c>
      <c r="EQ17" s="142" t="e">
        <f ca="1">SUM((INDIRECT(EQ$9&amp;ROW()):(INDIRECT(EQ$10&amp;ROW()))))</f>
        <v>#REF!</v>
      </c>
      <c r="ES17" s="6">
        <v>8170.8950450281427</v>
      </c>
      <c r="EU17" s="61">
        <f t="shared" si="9"/>
        <v>5235.9138067542217</v>
      </c>
      <c r="EW17" s="6">
        <v>115.49198684880159</v>
      </c>
    </row>
    <row r="18" spans="1:153" outlineLevel="1">
      <c r="A18" t="s">
        <v>70</v>
      </c>
      <c r="B18" t="s">
        <v>559</v>
      </c>
      <c r="C18" s="73" t="s">
        <v>632</v>
      </c>
      <c r="D18" s="11"/>
      <c r="F18" s="2">
        <v>350</v>
      </c>
      <c r="M18"/>
      <c r="N18"/>
      <c r="O18"/>
      <c r="P18"/>
      <c r="Q18">
        <v>200</v>
      </c>
      <c r="R18"/>
      <c r="S18"/>
      <c r="U18" s="281">
        <v>215.62300000000002</v>
      </c>
      <c r="V18" s="142">
        <v>0</v>
      </c>
      <c r="W18" s="142">
        <v>0</v>
      </c>
      <c r="X18"/>
      <c r="Y18"/>
      <c r="Z18" s="2">
        <v>34</v>
      </c>
      <c r="AA18" s="2">
        <v>80</v>
      </c>
      <c r="AD18" s="2">
        <v>100</v>
      </c>
      <c r="AE18" s="2">
        <v>20</v>
      </c>
      <c r="AF18" s="2">
        <v>20</v>
      </c>
      <c r="AI18" s="2">
        <v>20</v>
      </c>
      <c r="AJ18" s="2">
        <v>100</v>
      </c>
      <c r="AL18" s="2">
        <v>100</v>
      </c>
      <c r="AP18" s="2">
        <v>50</v>
      </c>
      <c r="AR18"/>
      <c r="AS18"/>
      <c r="AT18"/>
      <c r="AU18" s="2">
        <v>95</v>
      </c>
      <c r="AV18"/>
      <c r="AW18"/>
      <c r="AY18" s="306">
        <v>435.2720450281426</v>
      </c>
      <c r="AZ18" s="306">
        <v>0</v>
      </c>
      <c r="BA18" s="306">
        <v>0</v>
      </c>
      <c r="BB18" s="306">
        <v>0</v>
      </c>
      <c r="BC18" s="306">
        <v>0</v>
      </c>
      <c r="BD18"/>
      <c r="BE18" s="306">
        <v>0</v>
      </c>
      <c r="BF18" s="306">
        <v>0</v>
      </c>
      <c r="BH18" s="2">
        <v>0</v>
      </c>
      <c r="BI18" s="2">
        <v>100</v>
      </c>
      <c r="BJ18"/>
      <c r="BK18" s="2">
        <v>250</v>
      </c>
      <c r="BL18" s="2">
        <v>100</v>
      </c>
      <c r="BM18"/>
      <c r="BN18"/>
      <c r="BO18"/>
      <c r="BP18">
        <v>80</v>
      </c>
      <c r="BQ18" s="2">
        <v>60</v>
      </c>
      <c r="BR18"/>
      <c r="BS18"/>
      <c r="BT18"/>
      <c r="BU18"/>
      <c r="BV18"/>
      <c r="BW18"/>
      <c r="BX18"/>
      <c r="BY18" s="100">
        <v>500</v>
      </c>
      <c r="BZ18" s="100">
        <v>430</v>
      </c>
      <c r="CA18">
        <v>100</v>
      </c>
      <c r="CB18">
        <f>50+50</f>
        <v>100</v>
      </c>
      <c r="CC18"/>
      <c r="CD18"/>
      <c r="CE18"/>
      <c r="CF18"/>
      <c r="CG18">
        <v>100</v>
      </c>
      <c r="CH18"/>
      <c r="CI18">
        <v>50</v>
      </c>
      <c r="CJ18">
        <v>100</v>
      </c>
      <c r="CK18"/>
      <c r="CL18">
        <v>50</v>
      </c>
      <c r="CM18" s="100">
        <v>434</v>
      </c>
      <c r="CN18">
        <v>30</v>
      </c>
      <c r="CP18"/>
      <c r="CQ18"/>
      <c r="CR18"/>
      <c r="CS18"/>
      <c r="CT18"/>
      <c r="CU18"/>
      <c r="CV18"/>
      <c r="CW18"/>
      <c r="CX18"/>
      <c r="CY18"/>
      <c r="DC18" s="29">
        <f t="shared" si="7"/>
        <v>4303.8950450281427</v>
      </c>
      <c r="DD18" s="6">
        <f t="shared" si="8"/>
        <v>169.71709765937408</v>
      </c>
      <c r="DE18" s="27"/>
      <c r="DF18" s="27"/>
      <c r="DG18" s="2">
        <v>437.5</v>
      </c>
      <c r="DH18" s="2">
        <v>437.5</v>
      </c>
      <c r="DK18" s="2">
        <v>437.5</v>
      </c>
      <c r="DL18" s="2">
        <v>437.5</v>
      </c>
      <c r="EI18" s="73" t="s">
        <v>560</v>
      </c>
      <c r="EJ18" s="142">
        <f ca="1">SUM((INDIRECT(EJ$9&amp;ROW()):(INDIRECT(EJ$10&amp;ROW()))))</f>
        <v>550</v>
      </c>
      <c r="EK18" s="142">
        <f ca="1">SUM((INDIRECT(EK$9&amp;ROW()):(INDIRECT(EK$10&amp;ROW()))))</f>
        <v>834.62300000000005</v>
      </c>
      <c r="EL18" s="142">
        <f ca="1">SUM((INDIRECT(EL$9&amp;ROW()):(INDIRECT(EL$10&amp;ROW()))))</f>
        <v>2155.2720450281427</v>
      </c>
      <c r="EM18" s="142">
        <f ca="1">SUM((INDIRECT(EM$9&amp;ROW()):(INDIRECT(EM$10&amp;ROW()))))</f>
        <v>764</v>
      </c>
      <c r="EN18" s="142" t="e">
        <f ca="1">SUM((INDIRECT(EN$9&amp;ROW()):(INDIRECT(EN$10&amp;ROW()))))</f>
        <v>#REF!</v>
      </c>
      <c r="EO18" s="142" t="e">
        <f ca="1">SUM((INDIRECT(EO$9&amp;ROW()):(INDIRECT(EO$10&amp;ROW()))))</f>
        <v>#REF!</v>
      </c>
      <c r="EP18" s="142" t="e">
        <f ca="1">SUM((INDIRECT(EP$9&amp;ROW()):(INDIRECT(EP$10&amp;ROW()))))</f>
        <v>#REF!</v>
      </c>
      <c r="EQ18" s="142" t="e">
        <f ca="1">SUM((INDIRECT(EQ$9&amp;ROW()):(INDIRECT(EQ$10&amp;ROW()))))</f>
        <v>#REF!</v>
      </c>
      <c r="ES18" s="6"/>
      <c r="EU18" s="61">
        <f t="shared" ref="EU18:EU29" si="10">ES19-DC18</f>
        <v>26796.104954971859</v>
      </c>
      <c r="EW18" s="6">
        <v>169.82581476517802</v>
      </c>
    </row>
    <row r="19" spans="1:153" ht="15" outlineLevel="1" thickBot="1">
      <c r="A19" t="s">
        <v>70</v>
      </c>
      <c r="B19" t="s">
        <v>559</v>
      </c>
      <c r="C19" s="74" t="s">
        <v>629</v>
      </c>
      <c r="D19" s="11"/>
      <c r="F19" s="99">
        <v>500</v>
      </c>
      <c r="G19" s="140">
        <v>500</v>
      </c>
      <c r="H19" s="140">
        <v>500</v>
      </c>
      <c r="I19" s="140">
        <v>500</v>
      </c>
      <c r="J19" s="140">
        <v>500</v>
      </c>
      <c r="K19" s="140">
        <v>500</v>
      </c>
      <c r="L19" s="140">
        <v>500</v>
      </c>
      <c r="M19" s="140">
        <v>500</v>
      </c>
      <c r="N19" s="140">
        <v>500</v>
      </c>
      <c r="O19" s="140">
        <v>500</v>
      </c>
      <c r="P19" s="140">
        <v>500</v>
      </c>
      <c r="Q19" s="140">
        <v>500</v>
      </c>
      <c r="R19" s="140">
        <v>500</v>
      </c>
      <c r="S19" s="140">
        <v>500</v>
      </c>
      <c r="T19" s="141">
        <f>500+600</f>
        <v>1100</v>
      </c>
      <c r="U19" s="142">
        <v>0</v>
      </c>
      <c r="V19" s="142">
        <v>0</v>
      </c>
      <c r="W19" s="142">
        <v>338</v>
      </c>
      <c r="X19" s="142">
        <v>333</v>
      </c>
      <c r="Y19" s="142">
        <v>333</v>
      </c>
      <c r="Z19" s="142">
        <v>333</v>
      </c>
      <c r="AA19" s="142">
        <v>333</v>
      </c>
      <c r="AB19" s="142">
        <v>333</v>
      </c>
      <c r="AC19" s="142">
        <v>333</v>
      </c>
      <c r="AD19" s="142">
        <v>333</v>
      </c>
      <c r="AE19" s="142">
        <v>333</v>
      </c>
      <c r="AF19" s="142">
        <v>333</v>
      </c>
      <c r="AG19" s="142">
        <v>333</v>
      </c>
      <c r="AH19" s="142">
        <v>333</v>
      </c>
      <c r="AI19" s="142">
        <v>333</v>
      </c>
      <c r="AJ19" s="142">
        <v>333</v>
      </c>
      <c r="AK19" s="286">
        <v>333</v>
      </c>
      <c r="AL19" s="286">
        <v>333</v>
      </c>
      <c r="AM19" s="286">
        <v>333</v>
      </c>
      <c r="AN19" s="286">
        <v>333</v>
      </c>
      <c r="AO19" s="286">
        <v>333</v>
      </c>
      <c r="AP19" s="286">
        <v>333</v>
      </c>
      <c r="AQ19" s="286">
        <v>333</v>
      </c>
      <c r="AR19" s="286">
        <v>333</v>
      </c>
      <c r="AS19" s="286">
        <v>333</v>
      </c>
      <c r="AT19" s="286">
        <v>333</v>
      </c>
      <c r="AU19" s="286">
        <v>333</v>
      </c>
      <c r="AV19" s="286">
        <v>333</v>
      </c>
      <c r="AW19" s="286">
        <v>333</v>
      </c>
      <c r="AX19" s="286">
        <v>333</v>
      </c>
      <c r="AY19" s="161">
        <f>5000-SUM($AK19:AX19)</f>
        <v>338</v>
      </c>
      <c r="AZ19" s="286"/>
      <c r="BA19" s="286">
        <v>333</v>
      </c>
      <c r="BB19" s="286">
        <v>333</v>
      </c>
      <c r="BC19" s="286">
        <v>333</v>
      </c>
      <c r="BD19" s="331">
        <v>1533</v>
      </c>
      <c r="BE19" s="286">
        <v>333</v>
      </c>
      <c r="BF19" s="286">
        <v>333</v>
      </c>
      <c r="BG19" s="286">
        <v>333</v>
      </c>
      <c r="BH19" s="286">
        <v>333</v>
      </c>
      <c r="BI19" s="161">
        <f>3000-SUM($BA19:BH19)</f>
        <v>-864</v>
      </c>
      <c r="BJ19" s="331">
        <v>1333</v>
      </c>
      <c r="BK19" s="286">
        <v>333</v>
      </c>
      <c r="BL19" s="286">
        <v>333</v>
      </c>
      <c r="BM19" s="286">
        <v>333</v>
      </c>
      <c r="BN19" s="286">
        <v>333</v>
      </c>
      <c r="BO19" s="286">
        <v>333</v>
      </c>
      <c r="BP19" s="286">
        <v>333</v>
      </c>
      <c r="BQ19" s="286">
        <v>333</v>
      </c>
      <c r="BR19" s="286">
        <v>333</v>
      </c>
      <c r="BS19" s="286">
        <v>333</v>
      </c>
      <c r="BT19" s="286">
        <v>333</v>
      </c>
      <c r="BU19" s="286">
        <v>333</v>
      </c>
      <c r="BV19" s="286">
        <v>333</v>
      </c>
      <c r="BW19" s="286">
        <v>333</v>
      </c>
      <c r="BX19" s="161">
        <f>5000-SUM($BJ19:BW19)</f>
        <v>-662</v>
      </c>
      <c r="BY19" s="161"/>
      <c r="BZ19" s="286">
        <v>333</v>
      </c>
      <c r="CA19" s="286">
        <v>333</v>
      </c>
      <c r="CB19" s="286">
        <v>333</v>
      </c>
      <c r="CC19" s="286">
        <v>333</v>
      </c>
      <c r="CD19" s="286">
        <v>333</v>
      </c>
      <c r="CE19" s="286">
        <v>333</v>
      </c>
      <c r="CF19" s="286">
        <v>333</v>
      </c>
      <c r="CG19" s="286">
        <v>333</v>
      </c>
      <c r="CH19" s="286">
        <v>333</v>
      </c>
      <c r="CI19" s="286">
        <v>333</v>
      </c>
      <c r="CJ19" s="286">
        <v>333</v>
      </c>
      <c r="CK19" s="286">
        <v>333</v>
      </c>
      <c r="CL19" s="286">
        <v>333</v>
      </c>
      <c r="CM19" s="286">
        <v>333</v>
      </c>
      <c r="CN19" s="161">
        <f>5000-SUM($BZ19:CM19)</f>
        <v>338</v>
      </c>
      <c r="CO19" s="331">
        <v>2000</v>
      </c>
      <c r="CP19"/>
      <c r="CQ19"/>
      <c r="CR19"/>
      <c r="CS19"/>
      <c r="CT19"/>
      <c r="CU19"/>
      <c r="CV19"/>
      <c r="CW19"/>
      <c r="CX19"/>
      <c r="CY19"/>
      <c r="CZ19" s="14"/>
      <c r="DB19" s="186"/>
      <c r="DC19" s="29">
        <f t="shared" si="7"/>
        <v>32767</v>
      </c>
      <c r="DD19" s="6">
        <f t="shared" si="8"/>
        <v>1292.1133254466588</v>
      </c>
      <c r="DE19" s="27"/>
      <c r="DF19" s="27"/>
      <c r="EI19" s="74" t="s">
        <v>629</v>
      </c>
      <c r="EJ19" s="142">
        <f ca="1">SUM((INDIRECT(EJ$9&amp;ROW()):(INDIRECT(EJ$10&amp;ROW()))))</f>
        <v>7000</v>
      </c>
      <c r="EK19" s="142">
        <f ca="1">SUM((INDIRECT(EK$9&amp;ROW()):(INDIRECT(EK$10&amp;ROW()))))</f>
        <v>10096</v>
      </c>
      <c r="EL19" s="142">
        <f ca="1">SUM((INDIRECT(EL$9&amp;ROW()):(INDIRECT(EL$10&amp;ROW()))))</f>
        <v>9670</v>
      </c>
      <c r="EM19" s="142">
        <f ca="1">SUM((INDIRECT(EM$9&amp;ROW()):(INDIRECT(EM$10&amp;ROW()))))</f>
        <v>6001</v>
      </c>
      <c r="EN19" s="142" t="e">
        <f ca="1">SUM((INDIRECT(EN$9&amp;ROW()):(INDIRECT(EN$10&amp;ROW()))))</f>
        <v>#REF!</v>
      </c>
      <c r="EO19" s="142" t="e">
        <f ca="1">SUM((INDIRECT(EO$9&amp;ROW()):(INDIRECT(EO$10&amp;ROW()))))</f>
        <v>#REF!</v>
      </c>
      <c r="EP19" s="142" t="e">
        <f ca="1">SUM((INDIRECT(EP$9&amp;ROW()):(INDIRECT(EP$10&amp;ROW()))))</f>
        <v>#REF!</v>
      </c>
      <c r="EQ19" s="142" t="e">
        <f ca="1">SUM((INDIRECT(EQ$9&amp;ROW()):(INDIRECT(EQ$10&amp;ROW()))))</f>
        <v>#REF!</v>
      </c>
      <c r="ES19" s="6">
        <v>31100</v>
      </c>
      <c r="EU19" s="61">
        <f t="shared" si="10"/>
        <v>-29832.018761726078</v>
      </c>
      <c r="EW19" s="6">
        <v>1290.0551735361221</v>
      </c>
    </row>
    <row r="20" spans="1:153" outlineLevel="1">
      <c r="A20" t="s">
        <v>70</v>
      </c>
      <c r="B20" t="s">
        <v>23</v>
      </c>
      <c r="C20" s="72" t="s">
        <v>23</v>
      </c>
      <c r="D20" s="11"/>
      <c r="E20"/>
      <c r="F20"/>
      <c r="G20"/>
      <c r="H20"/>
      <c r="I20"/>
      <c r="J20"/>
      <c r="K20"/>
      <c r="L20"/>
      <c r="M20"/>
      <c r="N20">
        <v>1000</v>
      </c>
      <c r="O20"/>
      <c r="P20"/>
      <c r="Q20"/>
      <c r="R20"/>
      <c r="S20">
        <v>250</v>
      </c>
      <c r="T20"/>
      <c r="U20" s="142">
        <v>0</v>
      </c>
      <c r="V20" s="142">
        <v>0</v>
      </c>
      <c r="W20" s="142">
        <v>0</v>
      </c>
      <c r="X20"/>
      <c r="Y20"/>
      <c r="Z20" s="142">
        <f>1100+500</f>
        <v>1600</v>
      </c>
      <c r="AR20"/>
      <c r="AS20"/>
      <c r="AT20"/>
      <c r="AU20"/>
      <c r="AV20"/>
      <c r="AW20"/>
      <c r="AY20" s="306">
        <v>0</v>
      </c>
      <c r="AZ20" s="306">
        <v>0</v>
      </c>
      <c r="BA20" s="306">
        <v>0</v>
      </c>
      <c r="BB20" s="306">
        <v>0</v>
      </c>
      <c r="BC20" s="306">
        <v>0</v>
      </c>
      <c r="BD20" s="306">
        <v>0</v>
      </c>
      <c r="DB20" s="179"/>
      <c r="DC20" s="29">
        <f t="shared" si="7"/>
        <v>2850</v>
      </c>
      <c r="DD20" s="6">
        <f t="shared" si="8"/>
        <v>112.38511238511238</v>
      </c>
      <c r="DE20" s="27"/>
      <c r="DF20" s="27"/>
      <c r="EI20" s="72" t="s">
        <v>23</v>
      </c>
      <c r="EJ20" s="142">
        <f ca="1">SUM((INDIRECT(EJ$9&amp;ROW()):(INDIRECT(EJ$10&amp;ROW()))))</f>
        <v>1250</v>
      </c>
      <c r="EK20" s="142">
        <f ca="1">SUM((INDIRECT(EK$9&amp;ROW()):(INDIRECT(EK$10&amp;ROW()))))</f>
        <v>1600</v>
      </c>
      <c r="EL20" s="142">
        <f ca="1">SUM((INDIRECT(EL$9&amp;ROW()):(INDIRECT(EL$10&amp;ROW()))))</f>
        <v>0</v>
      </c>
      <c r="EM20" s="142">
        <f ca="1">SUM((INDIRECT(EM$9&amp;ROW()):(INDIRECT(EM$10&amp;ROW()))))</f>
        <v>0</v>
      </c>
      <c r="EN20" s="142" t="e">
        <f ca="1">SUM((INDIRECT(EN$9&amp;ROW()):(INDIRECT(EN$10&amp;ROW()))))</f>
        <v>#REF!</v>
      </c>
      <c r="EO20" s="142" t="e">
        <f ca="1">SUM((INDIRECT(EO$9&amp;ROW()):(INDIRECT(EO$10&amp;ROW()))))</f>
        <v>#REF!</v>
      </c>
      <c r="EP20" s="142" t="e">
        <f ca="1">SUM((INDIRECT(EP$9&amp;ROW()):(INDIRECT(EP$10&amp;ROW()))))</f>
        <v>#REF!</v>
      </c>
      <c r="EQ20" s="142" t="e">
        <f ca="1">SUM((INDIRECT(EQ$9&amp;ROW()):(INDIRECT(EQ$10&amp;ROW()))))</f>
        <v>#REF!</v>
      </c>
      <c r="ES20" s="6">
        <v>2934.981238273921</v>
      </c>
      <c r="EU20" s="61">
        <f t="shared" si="10"/>
        <v>0</v>
      </c>
    </row>
    <row r="21" spans="1:153" outlineLevel="1">
      <c r="A21" t="s">
        <v>70</v>
      </c>
      <c r="B21" t="s">
        <v>23</v>
      </c>
      <c r="C21" s="73" t="s">
        <v>151</v>
      </c>
      <c r="D21" s="11"/>
      <c r="E21"/>
      <c r="F21"/>
      <c r="G21"/>
      <c r="H21"/>
      <c r="I21"/>
      <c r="J21"/>
      <c r="K21"/>
      <c r="L21"/>
      <c r="M21"/>
      <c r="N21"/>
      <c r="O21"/>
      <c r="P21"/>
      <c r="Q21"/>
      <c r="R21"/>
      <c r="S21"/>
      <c r="T21"/>
      <c r="U21" s="142">
        <v>0</v>
      </c>
      <c r="V21" s="142">
        <v>0</v>
      </c>
      <c r="W21" s="142">
        <v>0</v>
      </c>
      <c r="X21"/>
      <c r="Y21"/>
      <c r="AI21" s="2">
        <v>350</v>
      </c>
      <c r="AR21"/>
      <c r="AS21"/>
      <c r="AT21"/>
      <c r="AU21"/>
      <c r="AV21"/>
      <c r="AW21"/>
      <c r="AY21" s="306">
        <v>0</v>
      </c>
      <c r="AZ21" s="306">
        <v>0</v>
      </c>
      <c r="BA21" s="306">
        <v>0</v>
      </c>
      <c r="BB21" s="306">
        <v>0</v>
      </c>
      <c r="BD21" s="306">
        <v>0</v>
      </c>
      <c r="CC21" s="2">
        <v>150</v>
      </c>
      <c r="CN21" s="2">
        <v>300</v>
      </c>
      <c r="DB21" s="179"/>
      <c r="DC21" s="29">
        <f t="shared" si="7"/>
        <v>800</v>
      </c>
      <c r="DD21" s="6">
        <f>DC21/TAUXmoyen</f>
        <v>31.546698213364881</v>
      </c>
      <c r="DE21" s="27"/>
      <c r="DF21" s="27"/>
      <c r="EI21" s="73" t="s">
        <v>151</v>
      </c>
      <c r="EJ21" s="142">
        <f ca="1">SUM((INDIRECT(EJ$9&amp;ROW()):(INDIRECT(EJ$10&amp;ROW()))))</f>
        <v>0</v>
      </c>
      <c r="EK21" s="142">
        <f ca="1">SUM((INDIRECT(EK$9&amp;ROW()):(INDIRECT(EK$10&amp;ROW()))))</f>
        <v>350</v>
      </c>
      <c r="EL21" s="142">
        <f ca="1">SUM((INDIRECT(EL$9&amp;ROW()):(INDIRECT(EL$10&amp;ROW()))))</f>
        <v>0</v>
      </c>
      <c r="EM21" s="142">
        <f ca="1">SUM((INDIRECT(EM$9&amp;ROW()):(INDIRECT(EM$10&amp;ROW()))))</f>
        <v>450</v>
      </c>
      <c r="EN21" s="142" t="e">
        <f ca="1">SUM((INDIRECT(EN$9&amp;ROW()):(INDIRECT(EN$10&amp;ROW()))))</f>
        <v>#REF!</v>
      </c>
      <c r="EO21" s="142" t="e">
        <f ca="1">SUM((INDIRECT(EO$9&amp;ROW()):(INDIRECT(EO$10&amp;ROW()))))</f>
        <v>#REF!</v>
      </c>
      <c r="EP21" s="142" t="e">
        <f ca="1">SUM((INDIRECT(EP$9&amp;ROW()):(INDIRECT(EP$10&amp;ROW()))))</f>
        <v>#REF!</v>
      </c>
      <c r="EQ21" s="142" t="e">
        <f ca="1">SUM((INDIRECT(EQ$9&amp;ROW()):(INDIRECT(EQ$10&amp;ROW()))))</f>
        <v>#REF!</v>
      </c>
      <c r="ES21" s="6">
        <v>2850</v>
      </c>
      <c r="EU21" s="61">
        <f t="shared" si="10"/>
        <v>0</v>
      </c>
    </row>
    <row r="22" spans="1:153" ht="15" outlineLevel="1" thickBot="1">
      <c r="A22" t="s">
        <v>70</v>
      </c>
      <c r="B22" t="s">
        <v>23</v>
      </c>
      <c r="C22" s="74" t="s">
        <v>8</v>
      </c>
      <c r="D22" s="11"/>
      <c r="E22"/>
      <c r="F22"/>
      <c r="G22"/>
      <c r="H22"/>
      <c r="I22"/>
      <c r="J22"/>
      <c r="K22"/>
      <c r="L22"/>
      <c r="M22"/>
      <c r="N22"/>
      <c r="O22"/>
      <c r="P22"/>
      <c r="Q22"/>
      <c r="R22"/>
      <c r="S22"/>
      <c r="T22"/>
      <c r="U22" s="142">
        <v>0</v>
      </c>
      <c r="V22" s="142">
        <v>0</v>
      </c>
      <c r="W22" s="142">
        <v>0</v>
      </c>
      <c r="X22"/>
      <c r="Y22"/>
      <c r="AE22" s="2">
        <v>995</v>
      </c>
      <c r="AF22" s="2">
        <v>995</v>
      </c>
      <c r="AG22" s="2">
        <v>995</v>
      </c>
      <c r="AR22"/>
      <c r="AS22"/>
      <c r="AT22"/>
      <c r="AU22"/>
      <c r="AV22"/>
      <c r="AW22"/>
      <c r="AY22" s="306">
        <v>0</v>
      </c>
      <c r="AZ22" s="306">
        <v>0</v>
      </c>
      <c r="BA22" s="306">
        <v>0</v>
      </c>
      <c r="BB22" s="306">
        <v>0</v>
      </c>
      <c r="BC22" s="306">
        <v>0</v>
      </c>
      <c r="BD22" s="306">
        <v>0</v>
      </c>
      <c r="CD22" s="2">
        <v>500</v>
      </c>
      <c r="DB22" s="179"/>
      <c r="DC22" s="29">
        <f t="shared" si="7"/>
        <v>3485</v>
      </c>
      <c r="DD22" s="6">
        <f t="shared" si="8"/>
        <v>137.42530409197076</v>
      </c>
      <c r="DE22" s="27"/>
      <c r="DF22" s="27"/>
      <c r="EI22" s="74" t="s">
        <v>8</v>
      </c>
      <c r="EJ22" s="142">
        <f ca="1">SUM((INDIRECT(EJ$9&amp;ROW()):(INDIRECT(EJ$10&amp;ROW()))))</f>
        <v>0</v>
      </c>
      <c r="EK22" s="142">
        <f ca="1">SUM((INDIRECT(EK$9&amp;ROW()):(INDIRECT(EK$10&amp;ROW()))))</f>
        <v>2985</v>
      </c>
      <c r="EL22" s="142">
        <f ca="1">SUM((INDIRECT(EL$9&amp;ROW()):(INDIRECT(EL$10&amp;ROW()))))</f>
        <v>0</v>
      </c>
      <c r="EM22" s="142">
        <f ca="1">SUM((INDIRECT(EM$9&amp;ROW()):(INDIRECT(EM$10&amp;ROW()))))</f>
        <v>500</v>
      </c>
      <c r="EN22" s="142" t="e">
        <f ca="1">SUM((INDIRECT(EN$9&amp;ROW()):(INDIRECT(EN$10&amp;ROW()))))</f>
        <v>#REF!</v>
      </c>
      <c r="EO22" s="142" t="e">
        <f ca="1">SUM((INDIRECT(EO$9&amp;ROW()):(INDIRECT(EO$10&amp;ROW()))))</f>
        <v>#REF!</v>
      </c>
      <c r="EP22" s="142" t="e">
        <f ca="1">SUM((INDIRECT(EP$9&amp;ROW()):(INDIRECT(EP$10&amp;ROW()))))</f>
        <v>#REF!</v>
      </c>
      <c r="EQ22" s="142" t="e">
        <f ca="1">SUM((INDIRECT(EQ$9&amp;ROW()):(INDIRECT(EQ$10&amp;ROW()))))</f>
        <v>#REF!</v>
      </c>
      <c r="ES22" s="6">
        <v>800</v>
      </c>
      <c r="EU22" s="61">
        <f t="shared" si="10"/>
        <v>0</v>
      </c>
    </row>
    <row r="23" spans="1:153" outlineLevel="1">
      <c r="A23" t="s">
        <v>70</v>
      </c>
      <c r="B23" t="s">
        <v>25</v>
      </c>
      <c r="C23" s="72" t="s">
        <v>150</v>
      </c>
      <c r="D23" s="11"/>
      <c r="E23"/>
      <c r="F23">
        <v>1578</v>
      </c>
      <c r="G23"/>
      <c r="H23"/>
      <c r="I23"/>
      <c r="J23"/>
      <c r="K23"/>
      <c r="L23"/>
      <c r="M23"/>
      <c r="N23"/>
      <c r="O23"/>
      <c r="P23"/>
      <c r="Q23"/>
      <c r="R23">
        <f>250+300</f>
        <v>550</v>
      </c>
      <c r="S23"/>
      <c r="T23" s="279">
        <f>683</f>
        <v>683</v>
      </c>
      <c r="U23" s="142">
        <v>0</v>
      </c>
      <c r="V23" s="281">
        <v>539.18600000000004</v>
      </c>
      <c r="X23"/>
      <c r="Y23"/>
      <c r="Z23" s="142">
        <v>950</v>
      </c>
      <c r="AE23" s="2">
        <f>250+110</f>
        <v>360</v>
      </c>
      <c r="AF23" s="2">
        <v>385</v>
      </c>
      <c r="AG23" s="2">
        <v>570</v>
      </c>
      <c r="AJ23" s="2">
        <v>220</v>
      </c>
      <c r="AR23"/>
      <c r="AS23"/>
      <c r="AT23"/>
      <c r="AU23"/>
      <c r="AV23"/>
      <c r="AW23"/>
      <c r="AY23" s="306">
        <v>547.7173233270795</v>
      </c>
      <c r="AZ23" s="306">
        <v>0</v>
      </c>
      <c r="BA23" s="306">
        <v>58.036272670419017</v>
      </c>
      <c r="BB23" s="306">
        <v>0</v>
      </c>
      <c r="BC23" s="306">
        <v>261.16322701688557</v>
      </c>
      <c r="BD23" s="306">
        <v>435.2720450281426</v>
      </c>
      <c r="CD23" s="2">
        <f>600+600</f>
        <v>1200</v>
      </c>
      <c r="DC23" s="29">
        <f t="shared" si="7"/>
        <v>8337.3748680425269</v>
      </c>
      <c r="DD23" s="6">
        <f t="shared" si="8"/>
        <v>328.77081106728804</v>
      </c>
      <c r="DE23" s="27"/>
      <c r="DF23" s="27"/>
      <c r="EI23" s="72" t="s">
        <v>150</v>
      </c>
      <c r="EJ23" s="142">
        <f ca="1">SUM((INDIRECT(EJ$9&amp;ROW()):(INDIRECT(EJ$10&amp;ROW()))))</f>
        <v>2128</v>
      </c>
      <c r="EK23" s="142">
        <f ca="1">SUM((INDIRECT(EK$9&amp;ROW()):(INDIRECT(EK$10&amp;ROW()))))</f>
        <v>3707.1860000000001</v>
      </c>
      <c r="EL23" s="142">
        <f ca="1">SUM((INDIRECT(EL$9&amp;ROW()):(INDIRECT(EL$10&amp;ROW()))))</f>
        <v>1302.1888680425268</v>
      </c>
      <c r="EM23" s="142">
        <f ca="1">SUM((INDIRECT(EM$9&amp;ROW()):(INDIRECT(EM$10&amp;ROW()))))</f>
        <v>1200</v>
      </c>
      <c r="EN23" s="142" t="e">
        <f ca="1">SUM((INDIRECT(EN$9&amp;ROW()):(INDIRECT(EN$10&amp;ROW()))))</f>
        <v>#REF!</v>
      </c>
      <c r="EO23" s="142" t="e">
        <f ca="1">SUM((INDIRECT(EO$9&amp;ROW()):(INDIRECT(EO$10&amp;ROW()))))</f>
        <v>#REF!</v>
      </c>
      <c r="EP23" s="142" t="e">
        <f ca="1">SUM((INDIRECT(EP$9&amp;ROW()):(INDIRECT(EP$10&amp;ROW()))))</f>
        <v>#REF!</v>
      </c>
      <c r="EQ23" s="142" t="e">
        <f ca="1">SUM((INDIRECT(EQ$9&amp;ROW()):(INDIRECT(EQ$10&amp;ROW()))))</f>
        <v>#REF!</v>
      </c>
      <c r="ES23" s="6">
        <v>3485</v>
      </c>
      <c r="EU23" s="61">
        <f t="shared" si="10"/>
        <v>0</v>
      </c>
    </row>
    <row r="24" spans="1:153" ht="15" outlineLevel="1" thickBot="1">
      <c r="A24" t="s">
        <v>70</v>
      </c>
      <c r="B24" t="s">
        <v>25</v>
      </c>
      <c r="C24" s="74" t="s">
        <v>144</v>
      </c>
      <c r="D24" s="11"/>
      <c r="E24"/>
      <c r="F24"/>
      <c r="G24"/>
      <c r="H24"/>
      <c r="I24"/>
      <c r="J24"/>
      <c r="K24"/>
      <c r="L24"/>
      <c r="M24"/>
      <c r="N24"/>
      <c r="O24"/>
      <c r="P24"/>
      <c r="Q24"/>
      <c r="R24"/>
      <c r="T24">
        <v>3000</v>
      </c>
      <c r="U24">
        <f>250</f>
        <v>250</v>
      </c>
      <c r="V24" s="281">
        <v>4097.6080000000002</v>
      </c>
      <c r="W24" s="142">
        <v>0</v>
      </c>
      <c r="X24"/>
      <c r="Y24"/>
      <c r="Z24"/>
      <c r="AE24" s="142">
        <v>3360</v>
      </c>
      <c r="AJ24" s="2">
        <f>120*2</f>
        <v>240</v>
      </c>
      <c r="AR24"/>
      <c r="AS24"/>
      <c r="AT24"/>
      <c r="AU24"/>
      <c r="AV24"/>
      <c r="AX24" s="2">
        <v>5000</v>
      </c>
      <c r="AY24" s="2">
        <v>250</v>
      </c>
      <c r="BA24" s="306">
        <v>87.054409005628514</v>
      </c>
      <c r="BB24" s="306">
        <v>0</v>
      </c>
      <c r="BC24" s="306">
        <v>87.054409005628514</v>
      </c>
      <c r="BD24" s="305">
        <v>0</v>
      </c>
      <c r="CO24" s="2">
        <v>2000</v>
      </c>
      <c r="DB24" s="179"/>
      <c r="DC24" s="29">
        <f t="shared" si="7"/>
        <v>18371.716818011257</v>
      </c>
      <c r="DD24" s="6">
        <f t="shared" si="8"/>
        <v>724.45875764900154</v>
      </c>
      <c r="DE24" s="27"/>
      <c r="DF24" s="27"/>
      <c r="EI24" s="74" t="s">
        <v>144</v>
      </c>
      <c r="EJ24" s="142">
        <f ca="1">SUM((INDIRECT(EJ$9&amp;ROW()):(INDIRECT(EJ$10&amp;ROW()))))</f>
        <v>0</v>
      </c>
      <c r="EK24" s="142">
        <f ca="1">SUM((INDIRECT(EK$9&amp;ROW()):(INDIRECT(EK$10&amp;ROW()))))</f>
        <v>10947.608</v>
      </c>
      <c r="EL24" s="142">
        <f ca="1">SUM((INDIRECT(EL$9&amp;ROW()):(INDIRECT(EL$10&amp;ROW()))))</f>
        <v>5424.1088180112565</v>
      </c>
      <c r="EM24" s="142">
        <f ca="1">SUM((INDIRECT(EM$9&amp;ROW()):(INDIRECT(EM$10&amp;ROW()))))</f>
        <v>2000</v>
      </c>
      <c r="EN24" s="142" t="e">
        <f ca="1">SUM((INDIRECT(EN$9&amp;ROW()):(INDIRECT(EN$10&amp;ROW()))))</f>
        <v>#REF!</v>
      </c>
      <c r="EO24" s="142" t="e">
        <f ca="1">SUM((INDIRECT(EO$9&amp;ROW()):(INDIRECT(EO$10&amp;ROW()))))</f>
        <v>#REF!</v>
      </c>
      <c r="EP24" s="142" t="e">
        <f ca="1">SUM((INDIRECT(EP$9&amp;ROW()):(INDIRECT(EP$10&amp;ROW()))))</f>
        <v>#REF!</v>
      </c>
      <c r="EQ24" s="142" t="e">
        <f ca="1">SUM((INDIRECT(EQ$9&amp;ROW()):(INDIRECT(EQ$10&amp;ROW()))))</f>
        <v>#REF!</v>
      </c>
      <c r="ES24" s="6">
        <v>8337.3748680425269</v>
      </c>
      <c r="EU24" s="61">
        <f t="shared" si="10"/>
        <v>0</v>
      </c>
    </row>
    <row r="25" spans="1:153" outlineLevel="1">
      <c r="A25" t="s">
        <v>70</v>
      </c>
      <c r="B25" t="s">
        <v>24</v>
      </c>
      <c r="C25" s="72" t="s">
        <v>145</v>
      </c>
      <c r="D25" s="11"/>
      <c r="E25"/>
      <c r="F25"/>
      <c r="G25"/>
      <c r="H25"/>
      <c r="I25">
        <v>450</v>
      </c>
      <c r="J25"/>
      <c r="K25"/>
      <c r="L25"/>
      <c r="M25"/>
      <c r="N25"/>
      <c r="O25"/>
      <c r="P25"/>
      <c r="Q25">
        <v>2000</v>
      </c>
      <c r="R25"/>
      <c r="S25"/>
      <c r="T25"/>
      <c r="U25"/>
      <c r="V25"/>
      <c r="W25"/>
      <c r="X25"/>
      <c r="Y25"/>
      <c r="Z25"/>
      <c r="AR25"/>
      <c r="AS25"/>
      <c r="AT25"/>
      <c r="AU25"/>
      <c r="AV25"/>
      <c r="AW25"/>
      <c r="AX25"/>
      <c r="AY25"/>
      <c r="AZ25" s="306">
        <v>689.18073796122576</v>
      </c>
      <c r="BA25"/>
      <c r="BB25"/>
      <c r="BC25"/>
      <c r="BD25"/>
      <c r="CJ25" s="2">
        <v>580</v>
      </c>
      <c r="CK25" s="2">
        <f>270+220</f>
        <v>490</v>
      </c>
      <c r="CN25" s="2">
        <f>1000+50</f>
        <v>1050</v>
      </c>
      <c r="DC25" s="29">
        <f t="shared" si="7"/>
        <v>5259.1807379612255</v>
      </c>
      <c r="DD25" s="6">
        <f t="shared" si="8"/>
        <v>207.38723448750548</v>
      </c>
      <c r="DE25" s="27"/>
      <c r="DF25" s="27"/>
      <c r="EI25" s="72" t="s">
        <v>145</v>
      </c>
      <c r="EJ25" s="142">
        <f ca="1">SUM((INDIRECT(EJ$9&amp;ROW()):(INDIRECT(EJ$10&amp;ROW()))))</f>
        <v>2450</v>
      </c>
      <c r="EK25" s="142">
        <f ca="1">SUM((INDIRECT(EK$9&amp;ROW()):(INDIRECT(EK$10&amp;ROW()))))</f>
        <v>0</v>
      </c>
      <c r="EL25" s="142">
        <f ca="1">SUM((INDIRECT(EL$9&amp;ROW()):(INDIRECT(EL$10&amp;ROW()))))</f>
        <v>689.18073796122576</v>
      </c>
      <c r="EM25" s="142">
        <f ca="1">SUM((INDIRECT(EM$9&amp;ROW()):(INDIRECT(EM$10&amp;ROW()))))</f>
        <v>2120</v>
      </c>
      <c r="EN25" s="142" t="e">
        <f ca="1">SUM((INDIRECT(EN$9&amp;ROW()):(INDIRECT(EN$10&amp;ROW()))))</f>
        <v>#REF!</v>
      </c>
      <c r="EO25" s="142" t="e">
        <f ca="1">SUM((INDIRECT(EO$9&amp;ROW()):(INDIRECT(EO$10&amp;ROW()))))</f>
        <v>#REF!</v>
      </c>
      <c r="EP25" s="142" t="e">
        <f ca="1">SUM((INDIRECT(EP$9&amp;ROW()):(INDIRECT(EP$10&amp;ROW()))))</f>
        <v>#REF!</v>
      </c>
      <c r="EQ25" s="142" t="e">
        <f ca="1">SUM((INDIRECT(EQ$9&amp;ROW()):(INDIRECT(EQ$10&amp;ROW()))))</f>
        <v>#REF!</v>
      </c>
      <c r="ES25" s="6">
        <v>18371.716818011257</v>
      </c>
      <c r="EU25" s="61">
        <f t="shared" si="10"/>
        <v>0</v>
      </c>
    </row>
    <row r="26" spans="1:153" outlineLevel="1">
      <c r="A26" t="s">
        <v>70</v>
      </c>
      <c r="B26" t="s">
        <v>24</v>
      </c>
      <c r="C26" s="73" t="s">
        <v>206</v>
      </c>
      <c r="D26" s="11"/>
      <c r="E26"/>
      <c r="F26"/>
      <c r="G26"/>
      <c r="H26"/>
      <c r="I26">
        <v>350</v>
      </c>
      <c r="J26"/>
      <c r="K26"/>
      <c r="L26"/>
      <c r="M26"/>
      <c r="N26"/>
      <c r="O26"/>
      <c r="P26"/>
      <c r="Q26"/>
      <c r="R26"/>
      <c r="S26"/>
      <c r="T26"/>
      <c r="U26"/>
      <c r="V26"/>
      <c r="W26"/>
      <c r="X26"/>
      <c r="Y26"/>
      <c r="Z26"/>
      <c r="AR26"/>
      <c r="AS26"/>
      <c r="AT26"/>
      <c r="AU26"/>
      <c r="AV26"/>
      <c r="AW26"/>
      <c r="AX26"/>
      <c r="AY26"/>
      <c r="AZ26"/>
      <c r="BA26"/>
      <c r="BB26"/>
      <c r="BC26" s="306">
        <v>1024.3402126328958</v>
      </c>
      <c r="BD26"/>
      <c r="BK26" s="2">
        <v>300</v>
      </c>
      <c r="CC26" s="2">
        <v>450</v>
      </c>
      <c r="CF26" s="2">
        <v>1200</v>
      </c>
      <c r="CL26" s="2">
        <f>220+300</f>
        <v>520</v>
      </c>
      <c r="DB26" s="179"/>
      <c r="DC26" s="29">
        <f t="shared" si="7"/>
        <v>3844.3402126328956</v>
      </c>
      <c r="DD26" s="6">
        <f t="shared" si="8"/>
        <v>151.59530064679115</v>
      </c>
      <c r="DE26" s="27"/>
      <c r="DF26" s="27"/>
      <c r="EI26" s="73" t="s">
        <v>206</v>
      </c>
      <c r="EJ26" s="142">
        <f ca="1">SUM((INDIRECT(EJ$9&amp;ROW()):(INDIRECT(EJ$10&amp;ROW()))))</f>
        <v>350</v>
      </c>
      <c r="EK26" s="142">
        <f ca="1">SUM((INDIRECT(EK$9&amp;ROW()):(INDIRECT(EK$10&amp;ROW()))))</f>
        <v>0</v>
      </c>
      <c r="EL26" s="142">
        <f ca="1">SUM((INDIRECT(EL$9&amp;ROW()):(INDIRECT(EL$10&amp;ROW()))))</f>
        <v>1324.3402126328958</v>
      </c>
      <c r="EM26" s="142">
        <f ca="1">SUM((INDIRECT(EM$9&amp;ROW()):(INDIRECT(EM$10&amp;ROW()))))</f>
        <v>2170</v>
      </c>
      <c r="EN26" s="142" t="e">
        <f ca="1">SUM((INDIRECT(EN$9&amp;ROW()):(INDIRECT(EN$10&amp;ROW()))))</f>
        <v>#REF!</v>
      </c>
      <c r="EO26" s="142" t="e">
        <f ca="1">SUM((INDIRECT(EO$9&amp;ROW()):(INDIRECT(EO$10&amp;ROW()))))</f>
        <v>#REF!</v>
      </c>
      <c r="EP26" s="142" t="e">
        <f ca="1">SUM((INDIRECT(EP$9&amp;ROW()):(INDIRECT(EP$10&amp;ROW()))))</f>
        <v>#REF!</v>
      </c>
      <c r="EQ26" s="142" t="e">
        <f ca="1">SUM((INDIRECT(EQ$9&amp;ROW()):(INDIRECT(EQ$10&amp;ROW()))))</f>
        <v>#REF!</v>
      </c>
      <c r="ES26" s="6">
        <v>5259.1807379612255</v>
      </c>
      <c r="EU26" s="61">
        <f t="shared" si="10"/>
        <v>0</v>
      </c>
    </row>
    <row r="27" spans="1:153" ht="15" outlineLevel="1" thickBot="1">
      <c r="A27" t="s">
        <v>70</v>
      </c>
      <c r="B27" t="s">
        <v>24</v>
      </c>
      <c r="C27" s="74" t="s">
        <v>136</v>
      </c>
      <c r="D27" s="11"/>
      <c r="E27"/>
      <c r="F27"/>
      <c r="G27"/>
      <c r="H27"/>
      <c r="I27"/>
      <c r="J27"/>
      <c r="K27"/>
      <c r="L27"/>
      <c r="M27"/>
      <c r="N27"/>
      <c r="O27"/>
      <c r="P27"/>
      <c r="Q27"/>
      <c r="R27"/>
      <c r="S27"/>
      <c r="T27"/>
      <c r="U27"/>
      <c r="V27"/>
      <c r="W27"/>
      <c r="X27"/>
      <c r="Y27"/>
      <c r="Z27"/>
      <c r="AJ27" s="2">
        <v>2160</v>
      </c>
      <c r="AR27"/>
      <c r="AS27"/>
      <c r="AT27"/>
      <c r="AU27"/>
      <c r="AV27"/>
      <c r="AW27"/>
      <c r="AX27"/>
      <c r="AY27"/>
      <c r="AZ27"/>
      <c r="BA27"/>
      <c r="BB27"/>
      <c r="BC27"/>
      <c r="BD27"/>
      <c r="CH27" s="2">
        <v>120</v>
      </c>
      <c r="CJ27" s="100">
        <v>1000</v>
      </c>
      <c r="CK27" s="2">
        <f>1000+200</f>
        <v>1200</v>
      </c>
      <c r="CL27" s="2">
        <f>350+250+350</f>
        <v>950</v>
      </c>
      <c r="CM27" s="2">
        <f>250+300+550+110+100+150</f>
        <v>1460</v>
      </c>
      <c r="CN27" s="2">
        <f>300</f>
        <v>300</v>
      </c>
      <c r="CO27" s="2">
        <v>650</v>
      </c>
      <c r="DA27" s="193"/>
      <c r="DB27" s="55"/>
      <c r="DC27" s="29">
        <f t="shared" si="7"/>
        <v>7840</v>
      </c>
      <c r="DD27" s="6">
        <f t="shared" si="8"/>
        <v>309.15764249097583</v>
      </c>
      <c r="DE27" s="27"/>
      <c r="DF27" s="27"/>
      <c r="EI27" s="74" t="s">
        <v>136</v>
      </c>
      <c r="EJ27" s="142">
        <f ca="1">SUM((INDIRECT(EJ$9&amp;ROW()):(INDIRECT(EJ$10&amp;ROW()))))</f>
        <v>0</v>
      </c>
      <c r="EK27" s="142">
        <f ca="1">SUM((INDIRECT(EK$9&amp;ROW()):(INDIRECT(EK$10&amp;ROW()))))</f>
        <v>2160</v>
      </c>
      <c r="EL27" s="142">
        <f ca="1">SUM((INDIRECT(EL$9&amp;ROW()):(INDIRECT(EL$10&amp;ROW()))))</f>
        <v>0</v>
      </c>
      <c r="EM27" s="142">
        <f ca="1">SUM((INDIRECT(EM$9&amp;ROW()):(INDIRECT(EM$10&amp;ROW()))))</f>
        <v>5680</v>
      </c>
      <c r="EN27" s="142" t="e">
        <f ca="1">SUM((INDIRECT(EN$9&amp;ROW()):(INDIRECT(EN$10&amp;ROW()))))</f>
        <v>#REF!</v>
      </c>
      <c r="EO27" s="142" t="e">
        <f ca="1">SUM((INDIRECT(EO$9&amp;ROW()):(INDIRECT(EO$10&amp;ROW()))))</f>
        <v>#REF!</v>
      </c>
      <c r="EP27" s="142" t="e">
        <f ca="1">SUM((INDIRECT(EP$9&amp;ROW()):(INDIRECT(EP$10&amp;ROW()))))</f>
        <v>#REF!</v>
      </c>
      <c r="EQ27" s="142" t="e">
        <f ca="1">SUM((INDIRECT(EQ$9&amp;ROW()):(INDIRECT(EQ$10&amp;ROW()))))</f>
        <v>#REF!</v>
      </c>
      <c r="ES27" s="2">
        <v>3844.3402126328956</v>
      </c>
      <c r="EU27" s="61">
        <f t="shared" si="10"/>
        <v>0</v>
      </c>
    </row>
    <row r="28" spans="1:153" ht="15" outlineLevel="1" thickBot="1">
      <c r="A28" t="s">
        <v>70</v>
      </c>
      <c r="B28" t="s">
        <v>558</v>
      </c>
      <c r="C28" s="74" t="s">
        <v>564</v>
      </c>
      <c r="D28" s="2"/>
      <c r="E28"/>
      <c r="F28">
        <v>60000</v>
      </c>
      <c r="G28"/>
      <c r="H28"/>
      <c r="I28"/>
      <c r="J28"/>
      <c r="K28"/>
      <c r="L28"/>
      <c r="M28"/>
      <c r="N28"/>
      <c r="O28"/>
      <c r="P28"/>
      <c r="Q28"/>
      <c r="R28"/>
      <c r="S28"/>
      <c r="T28"/>
      <c r="U28"/>
      <c r="V28"/>
      <c r="W28"/>
      <c r="X28"/>
      <c r="Y28"/>
      <c r="Z28"/>
      <c r="AR28"/>
      <c r="AS28"/>
      <c r="AT28"/>
      <c r="AU28"/>
      <c r="AV28"/>
      <c r="AW28"/>
      <c r="AX28"/>
      <c r="AY28"/>
      <c r="AZ28"/>
      <c r="BA28"/>
      <c r="BB28"/>
      <c r="BC28"/>
      <c r="BD28"/>
      <c r="CO28" s="2">
        <v>43120</v>
      </c>
      <c r="DA28" s="193"/>
      <c r="DB28" s="55"/>
      <c r="DC28" s="29">
        <f t="shared" si="7"/>
        <v>103120</v>
      </c>
      <c r="DD28" s="6">
        <f t="shared" si="8"/>
        <v>4066.3693997027331</v>
      </c>
      <c r="DE28" s="27"/>
      <c r="EI28" s="74" t="s">
        <v>564</v>
      </c>
      <c r="EJ28" s="142">
        <f ca="1">SUM((INDIRECT(EJ$9&amp;ROW()):(INDIRECT(EJ$10&amp;ROW()))))</f>
        <v>60000</v>
      </c>
      <c r="EK28" s="142">
        <f ca="1">SUM((INDIRECT(EK$9&amp;ROW()):(INDIRECT(EK$10&amp;ROW()))))</f>
        <v>0</v>
      </c>
      <c r="EL28" s="142">
        <f ca="1">SUM((INDIRECT(EL$9&amp;ROW()):(INDIRECT(EL$10&amp;ROW()))))</f>
        <v>0</v>
      </c>
      <c r="EM28" s="142">
        <f ca="1">SUM((INDIRECT(EM$9&amp;ROW()):(INDIRECT(EM$10&amp;ROW()))))</f>
        <v>43120</v>
      </c>
      <c r="EN28" s="142" t="e">
        <f ca="1">SUM((INDIRECT(EN$9&amp;ROW()):(INDIRECT(EN$10&amp;ROW()))))</f>
        <v>#REF!</v>
      </c>
      <c r="EO28" s="142" t="e">
        <f ca="1">SUM((INDIRECT(EO$9&amp;ROW()):(INDIRECT(EO$10&amp;ROW()))))</f>
        <v>#REF!</v>
      </c>
      <c r="EP28" s="142" t="e">
        <f ca="1">SUM((INDIRECT(EP$9&amp;ROW()):(INDIRECT(EP$10&amp;ROW()))))</f>
        <v>#REF!</v>
      </c>
      <c r="EQ28" s="142" t="e">
        <f ca="1">SUM((INDIRECT(EQ$9&amp;ROW()):(INDIRECT(EQ$10&amp;ROW()))))</f>
        <v>#REF!</v>
      </c>
      <c r="ES28" s="2">
        <v>7840</v>
      </c>
      <c r="EU28" s="61">
        <f t="shared" si="10"/>
        <v>0</v>
      </c>
    </row>
    <row r="29" spans="1:153" ht="15" outlineLevel="1" thickBot="1">
      <c r="A29" t="s">
        <v>70</v>
      </c>
      <c r="B29" t="s">
        <v>558</v>
      </c>
      <c r="C29" s="74" t="s">
        <v>549</v>
      </c>
      <c r="D29" s="2"/>
      <c r="E29"/>
      <c r="F29"/>
      <c r="G29"/>
      <c r="H29"/>
      <c r="I29"/>
      <c r="J29"/>
      <c r="K29"/>
      <c r="L29"/>
      <c r="M29"/>
      <c r="N29"/>
      <c r="O29"/>
      <c r="P29"/>
      <c r="Q29">
        <v>12000</v>
      </c>
      <c r="R29"/>
      <c r="S29"/>
      <c r="T29"/>
      <c r="U29"/>
      <c r="V29"/>
      <c r="W29"/>
      <c r="X29"/>
      <c r="Y29"/>
      <c r="Z29"/>
      <c r="AR29"/>
      <c r="AS29"/>
      <c r="AT29"/>
      <c r="AU29"/>
      <c r="AV29"/>
      <c r="AX29">
        <v>10240</v>
      </c>
      <c r="AY29"/>
      <c r="AZ29"/>
      <c r="BA29"/>
      <c r="BB29"/>
      <c r="BC29"/>
      <c r="BD29"/>
      <c r="CC29" s="2">
        <v>11480</v>
      </c>
      <c r="CO29" s="2">
        <v>50140</v>
      </c>
      <c r="DA29" s="193"/>
      <c r="DB29" s="55"/>
      <c r="DC29" s="29">
        <f t="shared" si="7"/>
        <v>83860</v>
      </c>
      <c r="DD29" s="6">
        <f t="shared" si="8"/>
        <v>3306.8826402159734</v>
      </c>
      <c r="DE29" s="27"/>
      <c r="EI29" s="74" t="s">
        <v>549</v>
      </c>
      <c r="EJ29" s="142">
        <f ca="1">SUM((INDIRECT(EJ$9&amp;ROW()):(INDIRECT(EJ$10&amp;ROW()))))</f>
        <v>12000</v>
      </c>
      <c r="EK29" s="142">
        <f ca="1">SUM((INDIRECT(EK$9&amp;ROW()):(INDIRECT(EK$10&amp;ROW()))))</f>
        <v>0</v>
      </c>
      <c r="EL29" s="142">
        <f ca="1">SUM((INDIRECT(EL$9&amp;ROW()):(INDIRECT(EL$10&amp;ROW()))))</f>
        <v>10240</v>
      </c>
      <c r="EM29" s="142">
        <f ca="1">SUM((INDIRECT(EM$9&amp;ROW()):(INDIRECT(EM$10&amp;ROW()))))</f>
        <v>61620</v>
      </c>
      <c r="EN29" s="142" t="e">
        <f ca="1">SUM((INDIRECT(EN$9&amp;ROW()):(INDIRECT(EN$10&amp;ROW()))))</f>
        <v>#REF!</v>
      </c>
      <c r="EO29" s="142" t="e">
        <f ca="1">SUM((INDIRECT(EO$9&amp;ROW()):(INDIRECT(EO$10&amp;ROW()))))</f>
        <v>#REF!</v>
      </c>
      <c r="EP29" s="142" t="e">
        <f ca="1">SUM((INDIRECT(EP$9&amp;ROW()):(INDIRECT(EP$10&amp;ROW()))))</f>
        <v>#REF!</v>
      </c>
      <c r="EQ29" s="142" t="e">
        <f ca="1">SUM((INDIRECT(EQ$9&amp;ROW()):(INDIRECT(EQ$10&amp;ROW()))))</f>
        <v>#REF!</v>
      </c>
      <c r="ES29" s="2">
        <v>103120</v>
      </c>
      <c r="EU29" s="61">
        <f t="shared" si="10"/>
        <v>0</v>
      </c>
    </row>
    <row r="30" spans="1:153" outlineLevel="1">
      <c r="C30" s="2"/>
      <c r="D30" s="2"/>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s="27"/>
      <c r="DA30" s="193"/>
      <c r="DB30" s="55"/>
      <c r="DC30" s="6">
        <f>SUM(DC12:DC29)</f>
        <v>326116.79914332821</v>
      </c>
      <c r="DD30" s="6"/>
      <c r="DE30" s="27"/>
      <c r="ES30" s="2">
        <v>83860</v>
      </c>
    </row>
    <row r="31" spans="1:153" outlineLevel="1">
      <c r="C31" s="9" t="s">
        <v>14</v>
      </c>
      <c r="E31" s="29">
        <f t="shared" ref="E31:AJ31" si="11">SUM(E12:E29)</f>
        <v>0</v>
      </c>
      <c r="F31" s="29">
        <f t="shared" si="11"/>
        <v>62849</v>
      </c>
      <c r="G31" s="29">
        <f t="shared" si="11"/>
        <v>1135</v>
      </c>
      <c r="H31" s="29">
        <f t="shared" si="11"/>
        <v>1161</v>
      </c>
      <c r="I31" s="29">
        <f t="shared" si="11"/>
        <v>1850</v>
      </c>
      <c r="J31" s="29">
        <f t="shared" si="11"/>
        <v>815</v>
      </c>
      <c r="K31" s="29">
        <f t="shared" si="11"/>
        <v>1090</v>
      </c>
      <c r="L31" s="29">
        <f t="shared" si="11"/>
        <v>930</v>
      </c>
      <c r="M31" s="29">
        <f t="shared" si="11"/>
        <v>1630</v>
      </c>
      <c r="N31" s="29">
        <f t="shared" si="11"/>
        <v>1934</v>
      </c>
      <c r="O31" s="29">
        <f t="shared" si="11"/>
        <v>1000</v>
      </c>
      <c r="P31" s="29">
        <f t="shared" si="11"/>
        <v>795</v>
      </c>
      <c r="Q31" s="29">
        <f t="shared" si="11"/>
        <v>15135</v>
      </c>
      <c r="R31" s="29">
        <f t="shared" si="11"/>
        <v>1390</v>
      </c>
      <c r="S31" s="29">
        <f t="shared" si="11"/>
        <v>1010</v>
      </c>
      <c r="T31" s="29">
        <f t="shared" si="11"/>
        <v>5516</v>
      </c>
      <c r="U31" s="29">
        <f t="shared" si="11"/>
        <v>1826.181</v>
      </c>
      <c r="V31" s="29">
        <f t="shared" si="11"/>
        <v>5414.8570069930074</v>
      </c>
      <c r="W31" s="29">
        <f t="shared" si="11"/>
        <v>739.74299999999994</v>
      </c>
      <c r="X31" s="29">
        <f t="shared" si="11"/>
        <v>905</v>
      </c>
      <c r="Y31" s="29">
        <f t="shared" si="11"/>
        <v>865</v>
      </c>
      <c r="Z31" s="29">
        <f t="shared" si="11"/>
        <v>3091</v>
      </c>
      <c r="AA31" s="29">
        <f t="shared" si="11"/>
        <v>1163</v>
      </c>
      <c r="AB31" s="29">
        <f t="shared" si="11"/>
        <v>1163</v>
      </c>
      <c r="AC31" s="29">
        <f t="shared" si="11"/>
        <v>749</v>
      </c>
      <c r="AD31" s="29">
        <f t="shared" si="11"/>
        <v>1068</v>
      </c>
      <c r="AE31" s="29">
        <f t="shared" si="11"/>
        <v>5573</v>
      </c>
      <c r="AF31" s="29">
        <f t="shared" si="11"/>
        <v>2218</v>
      </c>
      <c r="AG31" s="29">
        <f t="shared" si="11"/>
        <v>2775</v>
      </c>
      <c r="AH31" s="29">
        <f t="shared" si="11"/>
        <v>578</v>
      </c>
      <c r="AI31" s="29">
        <f t="shared" si="11"/>
        <v>1108</v>
      </c>
      <c r="AJ31" s="29">
        <f t="shared" si="11"/>
        <v>3252</v>
      </c>
      <c r="AK31" s="29">
        <f t="shared" ref="AK31:BP31" si="12">SUM(AK12:AK29)</f>
        <v>638</v>
      </c>
      <c r="AL31" s="29">
        <f t="shared" si="12"/>
        <v>1158</v>
      </c>
      <c r="AM31" s="29">
        <f t="shared" si="12"/>
        <v>726</v>
      </c>
      <c r="AN31" s="29">
        <f t="shared" si="12"/>
        <v>599</v>
      </c>
      <c r="AO31" s="29">
        <f t="shared" si="12"/>
        <v>659</v>
      </c>
      <c r="AP31" s="29">
        <f t="shared" si="12"/>
        <v>738</v>
      </c>
      <c r="AQ31" s="29">
        <f t="shared" si="12"/>
        <v>1603</v>
      </c>
      <c r="AR31" s="29">
        <f t="shared" si="12"/>
        <v>713</v>
      </c>
      <c r="AS31" s="29">
        <f t="shared" si="12"/>
        <v>708</v>
      </c>
      <c r="AT31" s="29">
        <f t="shared" si="12"/>
        <v>868</v>
      </c>
      <c r="AU31" s="29">
        <f t="shared" si="12"/>
        <v>648</v>
      </c>
      <c r="AV31" s="29">
        <f t="shared" si="12"/>
        <v>553</v>
      </c>
      <c r="AW31" s="29">
        <f t="shared" si="12"/>
        <v>798</v>
      </c>
      <c r="AX31" s="307">
        <f t="shared" si="12"/>
        <v>16088</v>
      </c>
      <c r="AY31" s="29">
        <f t="shared" si="12"/>
        <v>2422.233896185116</v>
      </c>
      <c r="AZ31" s="29">
        <f t="shared" si="12"/>
        <v>1552.4702939337085</v>
      </c>
      <c r="BA31" s="29">
        <f t="shared" si="12"/>
        <v>1062.0806754221389</v>
      </c>
      <c r="BB31" s="29">
        <f t="shared" si="12"/>
        <v>742.8811757348343</v>
      </c>
      <c r="BC31" s="29">
        <f t="shared" si="12"/>
        <v>2338.1532207629771</v>
      </c>
      <c r="BD31" s="29">
        <f t="shared" si="12"/>
        <v>2251.1988742964354</v>
      </c>
      <c r="BE31" s="29">
        <f t="shared" si="12"/>
        <v>948</v>
      </c>
      <c r="BF31" s="29">
        <f t="shared" si="12"/>
        <v>928</v>
      </c>
      <c r="BG31" s="29">
        <f t="shared" si="12"/>
        <v>611</v>
      </c>
      <c r="BH31" s="29">
        <f t="shared" si="12"/>
        <v>858</v>
      </c>
      <c r="BI31" s="29">
        <f t="shared" si="12"/>
        <v>-50</v>
      </c>
      <c r="BJ31" s="29">
        <f t="shared" si="12"/>
        <v>2043</v>
      </c>
      <c r="BK31" s="29">
        <f t="shared" si="12"/>
        <v>1705</v>
      </c>
      <c r="BL31" s="29">
        <f t="shared" si="12"/>
        <v>773</v>
      </c>
      <c r="BM31" s="29">
        <f t="shared" si="12"/>
        <v>553</v>
      </c>
      <c r="BN31" s="29">
        <f t="shared" si="12"/>
        <v>1231</v>
      </c>
      <c r="BO31" s="29">
        <f t="shared" si="12"/>
        <v>1713</v>
      </c>
      <c r="BP31" s="29">
        <f t="shared" si="12"/>
        <v>973</v>
      </c>
      <c r="BQ31" s="29">
        <f t="shared" ref="BQ31:CY31" si="13">SUM(BQ12:BQ29)</f>
        <v>1243</v>
      </c>
      <c r="BR31" s="29">
        <f t="shared" si="13"/>
        <v>693</v>
      </c>
      <c r="BS31" s="29">
        <f t="shared" si="13"/>
        <v>563</v>
      </c>
      <c r="BT31" s="29">
        <f t="shared" si="13"/>
        <v>1238</v>
      </c>
      <c r="BU31" s="29">
        <f t="shared" si="13"/>
        <v>806</v>
      </c>
      <c r="BV31" s="29">
        <f t="shared" si="13"/>
        <v>578</v>
      </c>
      <c r="BW31" s="29">
        <f t="shared" si="13"/>
        <v>513</v>
      </c>
      <c r="BX31" s="29">
        <f t="shared" si="13"/>
        <v>-217</v>
      </c>
      <c r="BY31" s="29">
        <f t="shared" si="13"/>
        <v>1445</v>
      </c>
      <c r="BZ31" s="29">
        <f t="shared" si="13"/>
        <v>1533</v>
      </c>
      <c r="CA31" s="29">
        <f t="shared" si="13"/>
        <v>958</v>
      </c>
      <c r="CB31" s="29">
        <f t="shared" si="13"/>
        <v>833</v>
      </c>
      <c r="CC31" s="29">
        <f t="shared" si="13"/>
        <v>12588</v>
      </c>
      <c r="CD31" s="29">
        <f t="shared" si="13"/>
        <v>3908</v>
      </c>
      <c r="CE31" s="29">
        <f t="shared" si="13"/>
        <v>1733</v>
      </c>
      <c r="CF31" s="29">
        <f t="shared" si="13"/>
        <v>2278</v>
      </c>
      <c r="CG31" s="29">
        <f t="shared" si="13"/>
        <v>693</v>
      </c>
      <c r="CH31" s="29">
        <f t="shared" si="13"/>
        <v>1343</v>
      </c>
      <c r="CI31" s="29">
        <f t="shared" si="13"/>
        <v>723</v>
      </c>
      <c r="CJ31" s="29">
        <f t="shared" si="13"/>
        <v>3623</v>
      </c>
      <c r="CK31" s="29">
        <f t="shared" si="13"/>
        <v>2852</v>
      </c>
      <c r="CL31" s="29">
        <f t="shared" si="13"/>
        <v>2113</v>
      </c>
      <c r="CM31" s="29">
        <f t="shared" si="13"/>
        <v>2671</v>
      </c>
      <c r="CN31" s="29">
        <f t="shared" si="13"/>
        <v>2705</v>
      </c>
      <c r="CO31" s="29">
        <f t="shared" si="13"/>
        <v>98820</v>
      </c>
      <c r="CP31" s="29">
        <f t="shared" si="13"/>
        <v>0</v>
      </c>
      <c r="CQ31" s="29">
        <f t="shared" si="13"/>
        <v>0</v>
      </c>
      <c r="CR31" s="29">
        <f t="shared" si="13"/>
        <v>0</v>
      </c>
      <c r="CS31" s="29">
        <f t="shared" si="13"/>
        <v>0</v>
      </c>
      <c r="CT31" s="29">
        <f t="shared" si="13"/>
        <v>0</v>
      </c>
      <c r="CU31" s="29">
        <f t="shared" si="13"/>
        <v>0</v>
      </c>
      <c r="CV31" s="29">
        <f t="shared" si="13"/>
        <v>0</v>
      </c>
      <c r="CW31" s="29">
        <f t="shared" si="13"/>
        <v>0</v>
      </c>
      <c r="CX31" s="29">
        <f t="shared" si="13"/>
        <v>0</v>
      </c>
      <c r="CY31" s="29">
        <f t="shared" si="13"/>
        <v>0</v>
      </c>
      <c r="CZ31" s="29">
        <f>SUM(CZ12:CZ28)</f>
        <v>0</v>
      </c>
      <c r="DA31" s="194">
        <f>SUM(DA12:DA28)</f>
        <v>0</v>
      </c>
      <c r="DB31" s="180">
        <f>SUM(DB12:DB28)</f>
        <v>0</v>
      </c>
      <c r="DC31" s="29">
        <f>SUM(E31:DB31)</f>
        <v>326116.79914332821</v>
      </c>
      <c r="DD31" s="6">
        <f t="shared" si="8"/>
        <v>12859.885306103883</v>
      </c>
      <c r="DE31" s="27"/>
      <c r="EI31" s="4" t="str">
        <f>+A32</f>
        <v>DONG</v>
      </c>
      <c r="EJ31" s="161">
        <f ca="1">SUM((INDIRECT(EJ$9&amp;ROW()):(INDIRECT(EJ$10&amp;ROW()))))</f>
        <v>92724</v>
      </c>
      <c r="EK31" s="161">
        <f ca="1">SUM((INDIRECT(EK$9&amp;ROW()):(INDIRECT(EK$10&amp;ROW()))))</f>
        <v>48413.781006993006</v>
      </c>
      <c r="EL31" s="161">
        <f ca="1">SUM((INDIRECT(EL$9&amp;ROW()):(INDIRECT(EL$10&amp;ROW()))))</f>
        <v>48929.018136335202</v>
      </c>
      <c r="EM31" s="161">
        <f ca="1">SUM((INDIRECT(EM$9&amp;ROW()):(INDIRECT(EM$10&amp;ROW()))))</f>
        <v>136050</v>
      </c>
      <c r="EN31" s="161" t="e">
        <f ca="1">SUM((INDIRECT(EN$9&amp;ROW()):(INDIRECT(EN$10&amp;ROW()))))</f>
        <v>#REF!</v>
      </c>
      <c r="EO31" s="161" t="e">
        <f ca="1">SUM((INDIRECT(EO$9&amp;ROW()):(INDIRECT(EO$10&amp;ROW()))))</f>
        <v>#REF!</v>
      </c>
      <c r="EP31" s="161" t="e">
        <f ca="1">SUM((INDIRECT(EP$9&amp;ROW()):(INDIRECT(EP$10&amp;ROW()))))</f>
        <v>#REF!</v>
      </c>
      <c r="EQ31" s="161" t="e">
        <f ca="1">SUM((INDIRECT(EQ$9&amp;ROW()):(INDIRECT(EQ$10&amp;ROW()))))</f>
        <v>#REF!</v>
      </c>
      <c r="ES31" s="6">
        <f>SUM(ES12:ES30)</f>
        <v>327520.9167918585</v>
      </c>
    </row>
    <row r="32" spans="1:153">
      <c r="A32" s="44" t="s">
        <v>94</v>
      </c>
      <c r="E32" s="159">
        <f>E31-E28-E18</f>
        <v>0</v>
      </c>
      <c r="F32" s="159">
        <f>F31-F28-F18</f>
        <v>2499</v>
      </c>
      <c r="G32" s="159">
        <f t="shared" ref="G32:O32" si="14">G31-G28-G18</f>
        <v>1135</v>
      </c>
      <c r="H32" s="159">
        <f t="shared" si="14"/>
        <v>1161</v>
      </c>
      <c r="I32" s="159">
        <f t="shared" si="14"/>
        <v>1850</v>
      </c>
      <c r="J32" s="159">
        <f t="shared" si="14"/>
        <v>815</v>
      </c>
      <c r="K32" s="159">
        <f t="shared" si="14"/>
        <v>1090</v>
      </c>
      <c r="L32" s="159">
        <f t="shared" si="14"/>
        <v>930</v>
      </c>
      <c r="M32" s="159">
        <f t="shared" si="14"/>
        <v>1630</v>
      </c>
      <c r="N32" s="159">
        <f t="shared" si="14"/>
        <v>1934</v>
      </c>
      <c r="O32" s="159">
        <f t="shared" si="14"/>
        <v>1000</v>
      </c>
      <c r="P32" s="159">
        <f t="shared" ref="P32:CA32" si="15">P31-P18</f>
        <v>795</v>
      </c>
      <c r="Q32" s="159">
        <f t="shared" si="15"/>
        <v>14935</v>
      </c>
      <c r="R32" s="159">
        <f t="shared" si="15"/>
        <v>1390</v>
      </c>
      <c r="S32" s="159">
        <f t="shared" si="15"/>
        <v>1010</v>
      </c>
      <c r="T32" s="159">
        <f t="shared" si="15"/>
        <v>5516</v>
      </c>
      <c r="U32" s="159">
        <f t="shared" si="15"/>
        <v>1610.558</v>
      </c>
      <c r="V32" s="159">
        <f t="shared" si="15"/>
        <v>5414.8570069930074</v>
      </c>
      <c r="W32" s="159">
        <f t="shared" si="15"/>
        <v>739.74299999999994</v>
      </c>
      <c r="X32" s="159">
        <f t="shared" si="15"/>
        <v>905</v>
      </c>
      <c r="Y32" s="159">
        <f t="shared" si="15"/>
        <v>865</v>
      </c>
      <c r="Z32" s="159">
        <f t="shared" si="15"/>
        <v>3057</v>
      </c>
      <c r="AA32" s="159">
        <f t="shared" si="15"/>
        <v>1083</v>
      </c>
      <c r="AB32" s="159">
        <f t="shared" si="15"/>
        <v>1163</v>
      </c>
      <c r="AC32" s="159">
        <f t="shared" si="15"/>
        <v>749</v>
      </c>
      <c r="AD32" s="159">
        <f t="shared" si="15"/>
        <v>968</v>
      </c>
      <c r="AE32" s="159">
        <f t="shared" si="15"/>
        <v>5553</v>
      </c>
      <c r="AF32" s="159">
        <f t="shared" si="15"/>
        <v>2198</v>
      </c>
      <c r="AG32" s="159">
        <f t="shared" si="15"/>
        <v>2775</v>
      </c>
      <c r="AH32" s="159">
        <f t="shared" si="15"/>
        <v>578</v>
      </c>
      <c r="AI32" s="159">
        <f t="shared" si="15"/>
        <v>1088</v>
      </c>
      <c r="AJ32" s="159">
        <f t="shared" si="15"/>
        <v>3152</v>
      </c>
      <c r="AK32" s="159">
        <f t="shared" si="15"/>
        <v>638</v>
      </c>
      <c r="AL32" s="159">
        <f t="shared" si="15"/>
        <v>1058</v>
      </c>
      <c r="AM32" s="159">
        <f t="shared" si="15"/>
        <v>726</v>
      </c>
      <c r="AN32" s="159">
        <f t="shared" si="15"/>
        <v>599</v>
      </c>
      <c r="AO32" s="159">
        <f t="shared" si="15"/>
        <v>659</v>
      </c>
      <c r="AP32" s="159">
        <f t="shared" si="15"/>
        <v>688</v>
      </c>
      <c r="AQ32" s="159">
        <f t="shared" si="15"/>
        <v>1603</v>
      </c>
      <c r="AR32" s="159">
        <f t="shared" si="15"/>
        <v>713</v>
      </c>
      <c r="AS32" s="159">
        <f t="shared" si="15"/>
        <v>708</v>
      </c>
      <c r="AT32" s="159">
        <f t="shared" si="15"/>
        <v>868</v>
      </c>
      <c r="AU32" s="159">
        <f t="shared" si="15"/>
        <v>553</v>
      </c>
      <c r="AV32" s="159">
        <f t="shared" si="15"/>
        <v>553</v>
      </c>
      <c r="AW32" s="159">
        <f t="shared" si="15"/>
        <v>798</v>
      </c>
      <c r="AX32" s="308">
        <f t="shared" si="15"/>
        <v>16088</v>
      </c>
      <c r="AY32" s="159">
        <f t="shared" si="15"/>
        <v>1986.9618511569734</v>
      </c>
      <c r="AZ32" s="159">
        <f t="shared" si="15"/>
        <v>1552.4702939337085</v>
      </c>
      <c r="BA32" s="159">
        <f t="shared" si="15"/>
        <v>1062.0806754221389</v>
      </c>
      <c r="BB32" s="159">
        <f t="shared" si="15"/>
        <v>742.8811757348343</v>
      </c>
      <c r="BC32" s="159">
        <f t="shared" si="15"/>
        <v>2338.1532207629771</v>
      </c>
      <c r="BD32" s="159">
        <f t="shared" si="15"/>
        <v>2251.1988742964354</v>
      </c>
      <c r="BE32" s="159">
        <f t="shared" si="15"/>
        <v>948</v>
      </c>
      <c r="BF32" s="159">
        <f>BF31-BE18</f>
        <v>928</v>
      </c>
      <c r="BG32" s="159">
        <f>BG31-BF18</f>
        <v>611</v>
      </c>
      <c r="BH32" s="159">
        <f>BH31-BG18</f>
        <v>858</v>
      </c>
      <c r="BI32" s="159">
        <f>BI31-BH18</f>
        <v>-50</v>
      </c>
      <c r="BJ32" s="159">
        <f t="shared" si="15"/>
        <v>2043</v>
      </c>
      <c r="BK32" s="159">
        <f t="shared" si="15"/>
        <v>1455</v>
      </c>
      <c r="BL32" s="159">
        <f t="shared" si="15"/>
        <v>673</v>
      </c>
      <c r="BM32" s="159">
        <f t="shared" si="15"/>
        <v>553</v>
      </c>
      <c r="BN32" s="159">
        <f t="shared" si="15"/>
        <v>1231</v>
      </c>
      <c r="BO32" s="159">
        <f t="shared" si="15"/>
        <v>1713</v>
      </c>
      <c r="BP32" s="159">
        <f t="shared" si="15"/>
        <v>893</v>
      </c>
      <c r="BQ32" s="159">
        <f t="shared" si="15"/>
        <v>1183</v>
      </c>
      <c r="BR32" s="159">
        <f t="shared" si="15"/>
        <v>693</v>
      </c>
      <c r="BS32" s="159">
        <f t="shared" si="15"/>
        <v>563</v>
      </c>
      <c r="BT32" s="159">
        <f t="shared" si="15"/>
        <v>1238</v>
      </c>
      <c r="BU32" s="159">
        <f t="shared" si="15"/>
        <v>806</v>
      </c>
      <c r="BV32" s="159">
        <f t="shared" si="15"/>
        <v>578</v>
      </c>
      <c r="BW32" s="159">
        <f t="shared" si="15"/>
        <v>513</v>
      </c>
      <c r="BX32" s="159">
        <f t="shared" si="15"/>
        <v>-217</v>
      </c>
      <c r="BY32" s="159">
        <f t="shared" si="15"/>
        <v>945</v>
      </c>
      <c r="BZ32" s="159">
        <f t="shared" si="15"/>
        <v>1103</v>
      </c>
      <c r="CA32" s="159">
        <f t="shared" si="15"/>
        <v>858</v>
      </c>
      <c r="CB32" s="159">
        <f t="shared" ref="CB32:CZ32" si="16">CB31-CB18</f>
        <v>733</v>
      </c>
      <c r="CC32" s="159">
        <f t="shared" si="16"/>
        <v>12588</v>
      </c>
      <c r="CD32" s="159">
        <f t="shared" si="16"/>
        <v>3908</v>
      </c>
      <c r="CE32" s="159">
        <f t="shared" si="16"/>
        <v>1733</v>
      </c>
      <c r="CF32" s="159">
        <f t="shared" si="16"/>
        <v>2278</v>
      </c>
      <c r="CG32" s="159">
        <f t="shared" si="16"/>
        <v>593</v>
      </c>
      <c r="CH32" s="159">
        <f t="shared" si="16"/>
        <v>1343</v>
      </c>
      <c r="CI32" s="159">
        <f t="shared" si="16"/>
        <v>673</v>
      </c>
      <c r="CJ32" s="159">
        <f t="shared" si="16"/>
        <v>3523</v>
      </c>
      <c r="CK32" s="159">
        <f t="shared" si="16"/>
        <v>2852</v>
      </c>
      <c r="CL32" s="159">
        <f t="shared" si="16"/>
        <v>2063</v>
      </c>
      <c r="CM32" s="159">
        <f t="shared" si="16"/>
        <v>2237</v>
      </c>
      <c r="CN32" s="159">
        <f t="shared" si="16"/>
        <v>2675</v>
      </c>
      <c r="CO32" s="159">
        <f t="shared" si="16"/>
        <v>98820</v>
      </c>
      <c r="CP32" s="159">
        <f t="shared" si="16"/>
        <v>0</v>
      </c>
      <c r="CQ32" s="159">
        <f t="shared" si="16"/>
        <v>0</v>
      </c>
      <c r="CR32" s="159">
        <f t="shared" si="16"/>
        <v>0</v>
      </c>
      <c r="CS32" s="159">
        <f t="shared" si="16"/>
        <v>0</v>
      </c>
      <c r="CT32" s="159">
        <f t="shared" si="16"/>
        <v>0</v>
      </c>
      <c r="CU32" s="159">
        <f t="shared" si="16"/>
        <v>0</v>
      </c>
      <c r="CV32" s="159">
        <f t="shared" si="16"/>
        <v>0</v>
      </c>
      <c r="CW32" s="159">
        <f t="shared" si="16"/>
        <v>0</v>
      </c>
      <c r="CX32" s="159">
        <f t="shared" si="16"/>
        <v>0</v>
      </c>
      <c r="CY32" s="159">
        <f t="shared" si="16"/>
        <v>0</v>
      </c>
      <c r="CZ32" s="159">
        <f t="shared" si="16"/>
        <v>0</v>
      </c>
      <c r="DA32" s="195">
        <f>DA31-DA18</f>
        <v>0</v>
      </c>
      <c r="DB32" s="181">
        <f>DB31-DB18</f>
        <v>0</v>
      </c>
      <c r="DC32" s="29">
        <f>SUM(E32:DB32)</f>
        <v>261912.90409830009</v>
      </c>
      <c r="DD32" s="6">
        <f>DC32/TAUXmoyen</f>
        <v>10328.109179718813</v>
      </c>
      <c r="DE32" s="27"/>
      <c r="EI32">
        <v>0</v>
      </c>
      <c r="EJ32" s="142">
        <f t="shared" ref="EJ32:EO32" ca="1" si="17">+EJ31/TAUXmoyen</f>
        <v>3656.4200564200564</v>
      </c>
      <c r="EK32" s="142">
        <f t="shared" ca="1" si="17"/>
        <v>1909.1186734944311</v>
      </c>
      <c r="EL32" s="142">
        <f t="shared" ca="1" si="17"/>
        <v>1929.4362112790293</v>
      </c>
      <c r="EM32" s="142">
        <f t="shared" ca="1" si="17"/>
        <v>5364.9103649103645</v>
      </c>
      <c r="EN32" s="142" t="e">
        <f t="shared" ca="1" si="17"/>
        <v>#REF!</v>
      </c>
      <c r="EO32" s="142" t="e">
        <f t="shared" ca="1" si="17"/>
        <v>#REF!</v>
      </c>
      <c r="EP32" s="142" t="e">
        <f ca="1">+EP31/TAUXmoyen</f>
        <v>#REF!</v>
      </c>
      <c r="EQ32" s="142" t="e">
        <f ca="1">+EQ31/TAUXmoyen</f>
        <v>#REF!</v>
      </c>
      <c r="ES32" s="142">
        <f ca="1">SUM(EJ32:EM32)</f>
        <v>12859.885306103883</v>
      </c>
    </row>
    <row r="33" spans="1:147">
      <c r="A33" s="44"/>
      <c r="C33" s="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194"/>
      <c r="DB33" s="180"/>
      <c r="DC33" s="29"/>
      <c r="DD33" s="6"/>
      <c r="DE33" s="27"/>
      <c r="EI33" s="9">
        <v>0</v>
      </c>
      <c r="EJ33" s="118" t="str">
        <f t="shared" ref="EJ33:EQ33" si="18">+EJ$11</f>
        <v>MARS</v>
      </c>
      <c r="EK33" s="118" t="str">
        <f t="shared" si="18"/>
        <v>AVRIL</v>
      </c>
      <c r="EL33" s="118" t="str">
        <f t="shared" si="18"/>
        <v>MAI</v>
      </c>
      <c r="EM33" s="118" t="str">
        <f t="shared" si="18"/>
        <v>JUIN</v>
      </c>
      <c r="EN33" s="118" t="str">
        <f t="shared" si="18"/>
        <v>JUIL</v>
      </c>
      <c r="EO33" s="118" t="str">
        <f t="shared" si="18"/>
        <v>AOUT</v>
      </c>
      <c r="EP33" s="118" t="str">
        <f t="shared" si="18"/>
        <v>SEPT</v>
      </c>
      <c r="EQ33" s="118" t="str">
        <f t="shared" si="18"/>
        <v>OCT</v>
      </c>
    </row>
    <row r="34" spans="1:147" outlineLevel="1">
      <c r="A34" t="s">
        <v>70</v>
      </c>
      <c r="C34" s="2" t="s">
        <v>328</v>
      </c>
      <c r="E34" s="142">
        <f>SUMIF($B$12:$B$27,$C34,E$12:E$27)</f>
        <v>0</v>
      </c>
      <c r="F34" s="142">
        <f t="shared" ref="F34:O35" si="19">SUMIF($B$12:$B$29,$C34,F$12:F$29)</f>
        <v>421</v>
      </c>
      <c r="G34" s="142">
        <f t="shared" si="19"/>
        <v>635</v>
      </c>
      <c r="H34" s="142">
        <f t="shared" si="19"/>
        <v>561</v>
      </c>
      <c r="I34" s="142">
        <f t="shared" si="19"/>
        <v>490</v>
      </c>
      <c r="J34" s="142">
        <f t="shared" si="19"/>
        <v>210</v>
      </c>
      <c r="K34" s="142">
        <f t="shared" si="19"/>
        <v>570</v>
      </c>
      <c r="L34" s="142">
        <f t="shared" si="19"/>
        <v>410</v>
      </c>
      <c r="M34" s="142">
        <f t="shared" si="19"/>
        <v>1130</v>
      </c>
      <c r="N34" s="142">
        <f t="shared" si="19"/>
        <v>344</v>
      </c>
      <c r="O34" s="142">
        <f t="shared" si="19"/>
        <v>400</v>
      </c>
      <c r="P34" s="142">
        <f t="shared" ref="P34:Y35" si="20">SUMIF($B$12:$B$29,$C34,P$12:P$29)</f>
        <v>175</v>
      </c>
      <c r="Q34" s="142">
        <f t="shared" si="20"/>
        <v>395</v>
      </c>
      <c r="R34" s="142">
        <f t="shared" si="20"/>
        <v>320</v>
      </c>
      <c r="S34" s="142">
        <f t="shared" si="20"/>
        <v>170</v>
      </c>
      <c r="T34" s="142">
        <f t="shared" si="20"/>
        <v>733</v>
      </c>
      <c r="U34" s="142">
        <f t="shared" si="20"/>
        <v>1360.558</v>
      </c>
      <c r="V34" s="142">
        <f t="shared" si="20"/>
        <v>778.06300699300709</v>
      </c>
      <c r="W34" s="142">
        <f t="shared" si="20"/>
        <v>401.74299999999999</v>
      </c>
      <c r="X34" s="142">
        <f t="shared" si="20"/>
        <v>572</v>
      </c>
      <c r="Y34" s="142">
        <f t="shared" si="20"/>
        <v>532</v>
      </c>
      <c r="Z34" s="142">
        <f t="shared" ref="Z34:AI35" si="21">SUMIF($B$12:$B$29,$C34,Z$12:Z$29)</f>
        <v>154</v>
      </c>
      <c r="AA34" s="142">
        <f t="shared" si="21"/>
        <v>720</v>
      </c>
      <c r="AB34" s="142">
        <f t="shared" si="21"/>
        <v>800</v>
      </c>
      <c r="AC34" s="142">
        <f t="shared" si="21"/>
        <v>391</v>
      </c>
      <c r="AD34" s="142">
        <f t="shared" si="21"/>
        <v>575</v>
      </c>
      <c r="AE34" s="142">
        <f t="shared" si="21"/>
        <v>505</v>
      </c>
      <c r="AF34" s="142">
        <f t="shared" si="21"/>
        <v>485</v>
      </c>
      <c r="AG34" s="142">
        <f t="shared" si="21"/>
        <v>877</v>
      </c>
      <c r="AH34" s="142">
        <f t="shared" si="21"/>
        <v>180</v>
      </c>
      <c r="AI34" s="142">
        <f t="shared" si="21"/>
        <v>290</v>
      </c>
      <c r="AJ34" s="142">
        <f t="shared" ref="AJ34:AS35" si="22">SUMIF($B$12:$B$29,$C34,AJ$12:AJ$29)</f>
        <v>89</v>
      </c>
      <c r="AK34" s="142">
        <f t="shared" si="22"/>
        <v>275</v>
      </c>
      <c r="AL34" s="142">
        <f t="shared" si="22"/>
        <v>580</v>
      </c>
      <c r="AM34" s="142">
        <f t="shared" si="22"/>
        <v>393</v>
      </c>
      <c r="AN34" s="142">
        <f t="shared" si="22"/>
        <v>266</v>
      </c>
      <c r="AO34" s="142">
        <f t="shared" si="22"/>
        <v>296</v>
      </c>
      <c r="AP34" s="142">
        <f t="shared" si="22"/>
        <v>325</v>
      </c>
      <c r="AQ34" s="142">
        <f t="shared" si="22"/>
        <v>1240</v>
      </c>
      <c r="AR34" s="142">
        <f t="shared" si="22"/>
        <v>320</v>
      </c>
      <c r="AS34" s="142">
        <f t="shared" si="22"/>
        <v>350</v>
      </c>
      <c r="AT34" s="142">
        <f t="shared" ref="AT34:BC35" si="23">SUMIF($B$12:$B$29,$C34,AT$12:AT$29)</f>
        <v>535</v>
      </c>
      <c r="AU34" s="142">
        <f t="shared" si="23"/>
        <v>220</v>
      </c>
      <c r="AV34" s="142">
        <f t="shared" si="23"/>
        <v>190</v>
      </c>
      <c r="AW34" s="142">
        <f t="shared" si="23"/>
        <v>465</v>
      </c>
      <c r="AX34" s="142">
        <f t="shared" si="23"/>
        <v>475</v>
      </c>
      <c r="AY34" s="142">
        <f t="shared" si="23"/>
        <v>851.24452782989374</v>
      </c>
      <c r="AZ34" s="142">
        <f t="shared" si="23"/>
        <v>602.12632895559727</v>
      </c>
      <c r="BA34" s="142">
        <f t="shared" si="23"/>
        <v>511.4446529080675</v>
      </c>
      <c r="BB34" s="142">
        <f t="shared" si="23"/>
        <v>373.60850531582241</v>
      </c>
      <c r="BC34" s="142">
        <f t="shared" si="23"/>
        <v>632.5953721075673</v>
      </c>
      <c r="BD34" s="142">
        <f t="shared" ref="BD34:BM35" si="24">SUMIF($B$12:$B$29,$C34,BD$12:BD$29)</f>
        <v>282.92682926829269</v>
      </c>
      <c r="BE34" s="142">
        <f t="shared" si="24"/>
        <v>575</v>
      </c>
      <c r="BF34" s="142">
        <f t="shared" si="24"/>
        <v>565</v>
      </c>
      <c r="BG34" s="142">
        <f t="shared" si="24"/>
        <v>258</v>
      </c>
      <c r="BH34" s="142">
        <f t="shared" si="24"/>
        <v>525</v>
      </c>
      <c r="BI34" s="142">
        <f t="shared" si="24"/>
        <v>714</v>
      </c>
      <c r="BJ34" s="142">
        <f t="shared" si="24"/>
        <v>710</v>
      </c>
      <c r="BK34" s="142">
        <f t="shared" si="24"/>
        <v>822</v>
      </c>
      <c r="BL34" s="142">
        <f t="shared" si="24"/>
        <v>340</v>
      </c>
      <c r="BM34" s="142">
        <f t="shared" si="24"/>
        <v>220</v>
      </c>
      <c r="BN34" s="142">
        <f t="shared" ref="BN34:BW35" si="25">SUMIF($B$12:$B$29,$C34,BN$12:BN$29)</f>
        <v>898</v>
      </c>
      <c r="BO34" s="142">
        <f t="shared" si="25"/>
        <v>1380</v>
      </c>
      <c r="BP34" s="142">
        <f t="shared" si="25"/>
        <v>560</v>
      </c>
      <c r="BQ34" s="142">
        <f t="shared" si="25"/>
        <v>680</v>
      </c>
      <c r="BR34" s="142">
        <f t="shared" si="25"/>
        <v>360</v>
      </c>
      <c r="BS34" s="142">
        <f t="shared" si="25"/>
        <v>230</v>
      </c>
      <c r="BT34" s="142">
        <f t="shared" si="25"/>
        <v>905</v>
      </c>
      <c r="BU34" s="142">
        <f t="shared" si="25"/>
        <v>473</v>
      </c>
      <c r="BV34" s="142">
        <f t="shared" si="25"/>
        <v>245</v>
      </c>
      <c r="BW34" s="142">
        <f t="shared" si="25"/>
        <v>180</v>
      </c>
      <c r="BX34" s="142">
        <f t="shared" ref="BX34:CG35" si="26">SUMIF($B$12:$B$29,$C34,BX$12:BX$29)</f>
        <v>445</v>
      </c>
      <c r="BY34" s="142">
        <f t="shared" si="26"/>
        <v>945</v>
      </c>
      <c r="BZ34" s="142">
        <f t="shared" si="26"/>
        <v>770</v>
      </c>
      <c r="CA34" s="142">
        <f t="shared" si="26"/>
        <v>525</v>
      </c>
      <c r="CB34" s="142">
        <f t="shared" si="26"/>
        <v>400</v>
      </c>
      <c r="CC34" s="142">
        <f t="shared" si="26"/>
        <v>175</v>
      </c>
      <c r="CD34" s="142">
        <f t="shared" si="26"/>
        <v>1875</v>
      </c>
      <c r="CE34" s="142">
        <f t="shared" si="26"/>
        <v>800</v>
      </c>
      <c r="CF34" s="142">
        <f t="shared" si="26"/>
        <v>745</v>
      </c>
      <c r="CG34" s="142">
        <f t="shared" si="26"/>
        <v>260</v>
      </c>
      <c r="CH34" s="142">
        <f t="shared" ref="CH34:CQ35" si="27">SUMIF($B$12:$B$29,$C34,CH$12:CH$29)</f>
        <v>890</v>
      </c>
      <c r="CI34" s="142">
        <f t="shared" si="27"/>
        <v>340</v>
      </c>
      <c r="CJ34" s="142">
        <f t="shared" si="27"/>
        <v>1545</v>
      </c>
      <c r="CK34" s="142">
        <f t="shared" si="27"/>
        <v>829</v>
      </c>
      <c r="CL34" s="142">
        <f t="shared" si="27"/>
        <v>260</v>
      </c>
      <c r="CM34" s="142">
        <f t="shared" si="27"/>
        <v>444</v>
      </c>
      <c r="CN34" s="142">
        <f t="shared" si="27"/>
        <v>687</v>
      </c>
      <c r="CO34" s="142">
        <f t="shared" si="27"/>
        <v>910</v>
      </c>
      <c r="CP34" s="142">
        <f t="shared" si="27"/>
        <v>0</v>
      </c>
      <c r="CQ34" s="142">
        <f t="shared" si="27"/>
        <v>0</v>
      </c>
      <c r="CR34" s="142">
        <f t="shared" ref="CR34:CZ35" si="28">SUMIF($B$12:$B$29,$C34,CR$12:CR$29)</f>
        <v>0</v>
      </c>
      <c r="CS34" s="142">
        <f t="shared" si="28"/>
        <v>0</v>
      </c>
      <c r="CT34" s="142">
        <f t="shared" si="28"/>
        <v>0</v>
      </c>
      <c r="CU34" s="142">
        <f t="shared" si="28"/>
        <v>0</v>
      </c>
      <c r="CV34" s="142">
        <f t="shared" si="28"/>
        <v>0</v>
      </c>
      <c r="CW34" s="142">
        <f t="shared" si="28"/>
        <v>0</v>
      </c>
      <c r="CX34" s="142">
        <f t="shared" si="28"/>
        <v>0</v>
      </c>
      <c r="CY34" s="142">
        <f t="shared" si="28"/>
        <v>0</v>
      </c>
      <c r="CZ34" s="142">
        <f t="shared" si="28"/>
        <v>0</v>
      </c>
      <c r="DA34" s="282"/>
      <c r="DB34" s="283"/>
      <c r="DC34" s="29">
        <f t="shared" ref="DC34:DC40" si="29">SUM(E34:DB34)</f>
        <v>48343.310223378256</v>
      </c>
      <c r="DD34" s="6">
        <f t="shared" ref="DD34:DD39" si="30">DC34/TAUXmoyen</f>
        <v>1906.3397728149887</v>
      </c>
      <c r="EI34" t="s">
        <v>328</v>
      </c>
      <c r="EJ34" s="142">
        <f ca="1">SUM((INDIRECT(EJ$9&amp;ROW()):(INDIRECT(EJ$10&amp;ROW()))))</f>
        <v>6231</v>
      </c>
    </row>
    <row r="35" spans="1:147" outlineLevel="1">
      <c r="A35" t="s">
        <v>70</v>
      </c>
      <c r="C35" s="2" t="s">
        <v>559</v>
      </c>
      <c r="E35" s="142">
        <f>SUMIF($B$12:$B$27,$C35,E$12:E$27)</f>
        <v>0</v>
      </c>
      <c r="F35" s="142">
        <f t="shared" si="19"/>
        <v>850</v>
      </c>
      <c r="G35" s="142">
        <f t="shared" si="19"/>
        <v>500</v>
      </c>
      <c r="H35" s="142">
        <f t="shared" si="19"/>
        <v>600</v>
      </c>
      <c r="I35" s="142">
        <f t="shared" si="19"/>
        <v>560</v>
      </c>
      <c r="J35" s="142">
        <f t="shared" si="19"/>
        <v>605</v>
      </c>
      <c r="K35" s="142">
        <f t="shared" si="19"/>
        <v>520</v>
      </c>
      <c r="L35" s="142">
        <f t="shared" si="19"/>
        <v>520</v>
      </c>
      <c r="M35" s="142">
        <f t="shared" si="19"/>
        <v>500</v>
      </c>
      <c r="N35" s="142">
        <f t="shared" si="19"/>
        <v>590</v>
      </c>
      <c r="O35" s="142">
        <f t="shared" si="19"/>
        <v>600</v>
      </c>
      <c r="P35" s="142">
        <f t="shared" si="20"/>
        <v>620</v>
      </c>
      <c r="Q35" s="142">
        <f t="shared" si="20"/>
        <v>740</v>
      </c>
      <c r="R35" s="142">
        <f t="shared" si="20"/>
        <v>520</v>
      </c>
      <c r="S35" s="142">
        <f t="shared" si="20"/>
        <v>590</v>
      </c>
      <c r="T35" s="142">
        <f t="shared" si="20"/>
        <v>1100</v>
      </c>
      <c r="U35" s="142">
        <f t="shared" si="20"/>
        <v>215.62300000000002</v>
      </c>
      <c r="V35" s="142">
        <f t="shared" si="20"/>
        <v>0</v>
      </c>
      <c r="W35" s="142">
        <f t="shared" si="20"/>
        <v>338</v>
      </c>
      <c r="X35" s="142">
        <f t="shared" si="20"/>
        <v>333</v>
      </c>
      <c r="Y35" s="142">
        <f t="shared" si="20"/>
        <v>333</v>
      </c>
      <c r="Z35" s="142">
        <f t="shared" si="21"/>
        <v>387</v>
      </c>
      <c r="AA35" s="142">
        <f t="shared" si="21"/>
        <v>443</v>
      </c>
      <c r="AB35" s="142">
        <f t="shared" si="21"/>
        <v>363</v>
      </c>
      <c r="AC35" s="142">
        <f t="shared" si="21"/>
        <v>358</v>
      </c>
      <c r="AD35" s="142">
        <f t="shared" si="21"/>
        <v>493</v>
      </c>
      <c r="AE35" s="142">
        <f t="shared" si="21"/>
        <v>353</v>
      </c>
      <c r="AF35" s="142">
        <f t="shared" si="21"/>
        <v>353</v>
      </c>
      <c r="AG35" s="142">
        <f t="shared" si="21"/>
        <v>333</v>
      </c>
      <c r="AH35" s="142">
        <f t="shared" si="21"/>
        <v>398</v>
      </c>
      <c r="AI35" s="142">
        <f t="shared" si="21"/>
        <v>468</v>
      </c>
      <c r="AJ35" s="142">
        <f t="shared" si="22"/>
        <v>543</v>
      </c>
      <c r="AK35" s="142">
        <f t="shared" si="22"/>
        <v>363</v>
      </c>
      <c r="AL35" s="142">
        <f t="shared" si="22"/>
        <v>578</v>
      </c>
      <c r="AM35" s="142">
        <f t="shared" si="22"/>
        <v>333</v>
      </c>
      <c r="AN35" s="142">
        <f t="shared" si="22"/>
        <v>333</v>
      </c>
      <c r="AO35" s="142">
        <f t="shared" si="22"/>
        <v>363</v>
      </c>
      <c r="AP35" s="142">
        <f t="shared" si="22"/>
        <v>413</v>
      </c>
      <c r="AQ35" s="142">
        <f t="shared" si="22"/>
        <v>363</v>
      </c>
      <c r="AR35" s="142">
        <f t="shared" si="22"/>
        <v>393</v>
      </c>
      <c r="AS35" s="142">
        <f t="shared" si="22"/>
        <v>358</v>
      </c>
      <c r="AT35" s="142">
        <f t="shared" si="23"/>
        <v>333</v>
      </c>
      <c r="AU35" s="142">
        <f t="shared" si="23"/>
        <v>428</v>
      </c>
      <c r="AV35" s="142">
        <f t="shared" si="23"/>
        <v>363</v>
      </c>
      <c r="AW35" s="142">
        <f t="shared" si="23"/>
        <v>333</v>
      </c>
      <c r="AX35" s="142">
        <f t="shared" si="23"/>
        <v>373</v>
      </c>
      <c r="AY35" s="142">
        <f t="shared" si="23"/>
        <v>773.27204502814266</v>
      </c>
      <c r="AZ35" s="142">
        <f t="shared" si="23"/>
        <v>261.16322701688557</v>
      </c>
      <c r="BA35" s="142">
        <f t="shared" si="23"/>
        <v>405.54534083802378</v>
      </c>
      <c r="BB35" s="142">
        <f t="shared" si="23"/>
        <v>369.27267041901189</v>
      </c>
      <c r="BC35" s="142">
        <f t="shared" si="23"/>
        <v>333</v>
      </c>
      <c r="BD35" s="142">
        <f t="shared" si="24"/>
        <v>1533</v>
      </c>
      <c r="BE35" s="142">
        <f t="shared" si="24"/>
        <v>373</v>
      </c>
      <c r="BF35" s="142">
        <f t="shared" si="24"/>
        <v>363</v>
      </c>
      <c r="BG35" s="142">
        <f t="shared" si="24"/>
        <v>353</v>
      </c>
      <c r="BH35" s="142">
        <f t="shared" si="24"/>
        <v>333</v>
      </c>
      <c r="BI35" s="142">
        <f t="shared" si="24"/>
        <v>-764</v>
      </c>
      <c r="BJ35" s="142">
        <f t="shared" si="24"/>
        <v>1333</v>
      </c>
      <c r="BK35" s="142">
        <f t="shared" si="24"/>
        <v>583</v>
      </c>
      <c r="BL35" s="142">
        <f t="shared" si="24"/>
        <v>433</v>
      </c>
      <c r="BM35" s="142">
        <f t="shared" si="24"/>
        <v>333</v>
      </c>
      <c r="BN35" s="142">
        <f t="shared" si="25"/>
        <v>333</v>
      </c>
      <c r="BO35" s="142">
        <f t="shared" si="25"/>
        <v>333</v>
      </c>
      <c r="BP35" s="142">
        <f t="shared" si="25"/>
        <v>413</v>
      </c>
      <c r="BQ35" s="142">
        <f t="shared" si="25"/>
        <v>563</v>
      </c>
      <c r="BR35" s="142">
        <f t="shared" si="25"/>
        <v>333</v>
      </c>
      <c r="BS35" s="142">
        <f t="shared" si="25"/>
        <v>333</v>
      </c>
      <c r="BT35" s="142">
        <f t="shared" si="25"/>
        <v>333</v>
      </c>
      <c r="BU35" s="142">
        <f t="shared" si="25"/>
        <v>333</v>
      </c>
      <c r="BV35" s="142">
        <f t="shared" si="25"/>
        <v>333</v>
      </c>
      <c r="BW35" s="142">
        <f t="shared" si="25"/>
        <v>333</v>
      </c>
      <c r="BX35" s="142">
        <f t="shared" si="26"/>
        <v>-662</v>
      </c>
      <c r="BY35" s="142">
        <f t="shared" si="26"/>
        <v>500</v>
      </c>
      <c r="BZ35" s="142">
        <f t="shared" si="26"/>
        <v>763</v>
      </c>
      <c r="CA35" s="142">
        <f t="shared" si="26"/>
        <v>433</v>
      </c>
      <c r="CB35" s="142">
        <f t="shared" si="26"/>
        <v>433</v>
      </c>
      <c r="CC35" s="142">
        <f t="shared" si="26"/>
        <v>333</v>
      </c>
      <c r="CD35" s="142">
        <f t="shared" si="26"/>
        <v>333</v>
      </c>
      <c r="CE35" s="142">
        <f t="shared" si="26"/>
        <v>933</v>
      </c>
      <c r="CF35" s="142">
        <f t="shared" si="26"/>
        <v>333</v>
      </c>
      <c r="CG35" s="142">
        <f t="shared" si="26"/>
        <v>433</v>
      </c>
      <c r="CH35" s="142">
        <f t="shared" si="27"/>
        <v>333</v>
      </c>
      <c r="CI35" s="142">
        <f t="shared" si="27"/>
        <v>383</v>
      </c>
      <c r="CJ35" s="142">
        <f t="shared" si="27"/>
        <v>498</v>
      </c>
      <c r="CK35" s="142">
        <f t="shared" si="27"/>
        <v>333</v>
      </c>
      <c r="CL35" s="142">
        <f t="shared" si="27"/>
        <v>383</v>
      </c>
      <c r="CM35" s="142">
        <f t="shared" si="27"/>
        <v>767</v>
      </c>
      <c r="CN35" s="142">
        <f t="shared" si="27"/>
        <v>368</v>
      </c>
      <c r="CO35" s="142">
        <f t="shared" si="27"/>
        <v>2000</v>
      </c>
      <c r="CP35" s="142">
        <f t="shared" si="27"/>
        <v>0</v>
      </c>
      <c r="CQ35" s="142">
        <f t="shared" si="27"/>
        <v>0</v>
      </c>
      <c r="CR35" s="142">
        <f t="shared" si="28"/>
        <v>0</v>
      </c>
      <c r="CS35" s="142">
        <f t="shared" si="28"/>
        <v>0</v>
      </c>
      <c r="CT35" s="142">
        <f t="shared" si="28"/>
        <v>0</v>
      </c>
      <c r="CU35" s="142">
        <f t="shared" si="28"/>
        <v>0</v>
      </c>
      <c r="CV35" s="142">
        <f t="shared" si="28"/>
        <v>0</v>
      </c>
      <c r="CW35" s="142">
        <f t="shared" si="28"/>
        <v>0</v>
      </c>
      <c r="CX35" s="142">
        <f t="shared" si="28"/>
        <v>0</v>
      </c>
      <c r="CY35" s="142">
        <f t="shared" si="28"/>
        <v>0</v>
      </c>
      <c r="CZ35" s="142">
        <f t="shared" si="28"/>
        <v>0</v>
      </c>
      <c r="DA35" s="282">
        <f t="shared" ref="DA35:DB39" si="31">SUMIF($B$12:$B$27,$C35,DA$12:DA$27)</f>
        <v>0</v>
      </c>
      <c r="DB35" s="283">
        <f t="shared" si="31"/>
        <v>0</v>
      </c>
      <c r="DC35" s="29">
        <f t="shared" si="29"/>
        <v>40005.876283302059</v>
      </c>
      <c r="DD35" s="6">
        <f t="shared" si="30"/>
        <v>1577.5666323381768</v>
      </c>
      <c r="EI35" t="s">
        <v>559</v>
      </c>
      <c r="EJ35" s="142">
        <f ca="1">SUM((INDIRECT(EJ$9&amp;ROW()):(INDIRECT(EJ$10&amp;ROW()))))</f>
        <v>8315</v>
      </c>
      <c r="EK35" s="142">
        <f ca="1">SUM((INDIRECT(EK$9&amp;ROW()):(INDIRECT(EK$10&amp;ROW()))))</f>
        <v>11765.623</v>
      </c>
      <c r="EL35" s="142">
        <f ca="1">SUM((INDIRECT(EL$9&amp;ROW()):(INDIRECT(EL$10&amp;ROW()))))</f>
        <v>12495.253283302063</v>
      </c>
      <c r="EM35" s="142">
        <f ca="1">SUM((INDIRECT(EM$9&amp;ROW()):(INDIRECT(EM$10&amp;ROW()))))</f>
        <v>7430</v>
      </c>
      <c r="EN35" s="142" t="e">
        <f ca="1">SUM((INDIRECT(EN$9&amp;ROW()):(INDIRECT(EN$10&amp;ROW()))))</f>
        <v>#REF!</v>
      </c>
      <c r="EO35" s="142" t="e">
        <f ca="1">SUM((INDIRECT(EO$9&amp;ROW()):(INDIRECT(EO$10&amp;ROW()))))</f>
        <v>#REF!</v>
      </c>
      <c r="EP35" s="142" t="e">
        <f ca="1">SUM((INDIRECT(EP$9&amp;ROW()):(INDIRECT(EP$10&amp;ROW()))))</f>
        <v>#REF!</v>
      </c>
      <c r="EQ35" s="142" t="e">
        <f ca="1">SUM((INDIRECT(EQ$9&amp;ROW()):(INDIRECT(EQ$10&amp;ROW()))))</f>
        <v>#REF!</v>
      </c>
    </row>
    <row r="36" spans="1:147" outlineLevel="1">
      <c r="A36" t="s">
        <v>70</v>
      </c>
      <c r="C36" s="2" t="s">
        <v>23</v>
      </c>
      <c r="E36" s="142">
        <f>SUMIF($B$12:$B$27,$C36,E$12:E$27)</f>
        <v>0</v>
      </c>
      <c r="F36" s="142">
        <f t="shared" ref="F36:O39" si="32">SUMIF($B$12:$B$29,$C36,F$12:F$29)</f>
        <v>0</v>
      </c>
      <c r="G36" s="142">
        <f t="shared" si="32"/>
        <v>0</v>
      </c>
      <c r="H36" s="142">
        <f t="shared" si="32"/>
        <v>0</v>
      </c>
      <c r="I36" s="142">
        <f t="shared" si="32"/>
        <v>0</v>
      </c>
      <c r="J36" s="142">
        <f t="shared" si="32"/>
        <v>0</v>
      </c>
      <c r="K36" s="142">
        <f t="shared" si="32"/>
        <v>0</v>
      </c>
      <c r="L36" s="142">
        <f t="shared" si="32"/>
        <v>0</v>
      </c>
      <c r="M36" s="142">
        <f t="shared" si="32"/>
        <v>0</v>
      </c>
      <c r="N36" s="142">
        <f t="shared" si="32"/>
        <v>1000</v>
      </c>
      <c r="O36" s="142">
        <f t="shared" si="32"/>
        <v>0</v>
      </c>
      <c r="P36" s="142">
        <f t="shared" ref="P36:Y39" si="33">SUMIF($B$12:$B$29,$C36,P$12:P$29)</f>
        <v>0</v>
      </c>
      <c r="Q36" s="142">
        <f t="shared" si="33"/>
        <v>0</v>
      </c>
      <c r="R36" s="142">
        <f t="shared" si="33"/>
        <v>0</v>
      </c>
      <c r="S36" s="142">
        <f t="shared" si="33"/>
        <v>250</v>
      </c>
      <c r="T36" s="142">
        <f t="shared" si="33"/>
        <v>0</v>
      </c>
      <c r="U36" s="142">
        <f t="shared" si="33"/>
        <v>0</v>
      </c>
      <c r="V36" s="142">
        <f t="shared" si="33"/>
        <v>0</v>
      </c>
      <c r="W36" s="142">
        <f t="shared" si="33"/>
        <v>0</v>
      </c>
      <c r="X36" s="142">
        <f t="shared" si="33"/>
        <v>0</v>
      </c>
      <c r="Y36" s="142">
        <f t="shared" si="33"/>
        <v>0</v>
      </c>
      <c r="Z36" s="142">
        <f t="shared" ref="Z36:AI39" si="34">SUMIF($B$12:$B$29,$C36,Z$12:Z$29)</f>
        <v>1600</v>
      </c>
      <c r="AA36" s="142">
        <f t="shared" si="34"/>
        <v>0</v>
      </c>
      <c r="AB36" s="142">
        <f t="shared" si="34"/>
        <v>0</v>
      </c>
      <c r="AC36" s="142">
        <f t="shared" si="34"/>
        <v>0</v>
      </c>
      <c r="AD36" s="142">
        <f t="shared" si="34"/>
        <v>0</v>
      </c>
      <c r="AE36" s="142">
        <f t="shared" si="34"/>
        <v>995</v>
      </c>
      <c r="AF36" s="142">
        <f t="shared" si="34"/>
        <v>995</v>
      </c>
      <c r="AG36" s="142">
        <f t="shared" si="34"/>
        <v>995</v>
      </c>
      <c r="AH36" s="142">
        <f t="shared" si="34"/>
        <v>0</v>
      </c>
      <c r="AI36" s="142">
        <f t="shared" si="34"/>
        <v>350</v>
      </c>
      <c r="AJ36" s="142">
        <f t="shared" ref="AJ36:AS39" si="35">SUMIF($B$12:$B$29,$C36,AJ$12:AJ$29)</f>
        <v>0</v>
      </c>
      <c r="AK36" s="142">
        <f t="shared" si="35"/>
        <v>0</v>
      </c>
      <c r="AL36" s="142">
        <f t="shared" si="35"/>
        <v>0</v>
      </c>
      <c r="AM36" s="142">
        <f t="shared" si="35"/>
        <v>0</v>
      </c>
      <c r="AN36" s="142">
        <f t="shared" si="35"/>
        <v>0</v>
      </c>
      <c r="AO36" s="142">
        <f t="shared" si="35"/>
        <v>0</v>
      </c>
      <c r="AP36" s="142">
        <f t="shared" si="35"/>
        <v>0</v>
      </c>
      <c r="AQ36" s="142">
        <f t="shared" si="35"/>
        <v>0</v>
      </c>
      <c r="AR36" s="142">
        <f t="shared" si="35"/>
        <v>0</v>
      </c>
      <c r="AS36" s="142">
        <f t="shared" si="35"/>
        <v>0</v>
      </c>
      <c r="AT36" s="142">
        <f t="shared" ref="AT36:BH39" si="36">SUMIF($B$12:$B$29,$C36,AT$12:AT$29)</f>
        <v>0</v>
      </c>
      <c r="AU36" s="142">
        <f t="shared" si="36"/>
        <v>0</v>
      </c>
      <c r="AV36" s="142">
        <f t="shared" si="36"/>
        <v>0</v>
      </c>
      <c r="AW36" s="142">
        <f t="shared" si="36"/>
        <v>0</v>
      </c>
      <c r="AX36" s="142">
        <f t="shared" si="36"/>
        <v>0</v>
      </c>
      <c r="AY36" s="142">
        <f t="shared" si="36"/>
        <v>0</v>
      </c>
      <c r="AZ36" s="142">
        <f t="shared" si="36"/>
        <v>0</v>
      </c>
      <c r="BA36" s="142">
        <f t="shared" si="36"/>
        <v>0</v>
      </c>
      <c r="BB36" s="142">
        <f t="shared" si="36"/>
        <v>0</v>
      </c>
      <c r="BC36" s="142">
        <f t="shared" si="36"/>
        <v>0</v>
      </c>
      <c r="BD36" s="142">
        <f t="shared" si="36"/>
        <v>0</v>
      </c>
      <c r="BE36" s="142">
        <f t="shared" si="36"/>
        <v>0</v>
      </c>
      <c r="BF36" s="142">
        <f t="shared" si="36"/>
        <v>0</v>
      </c>
      <c r="BG36" s="142">
        <f t="shared" si="36"/>
        <v>0</v>
      </c>
      <c r="BH36" s="142">
        <f t="shared" si="36"/>
        <v>0</v>
      </c>
      <c r="BI36" s="142">
        <f t="shared" ref="BI36:BS38" si="37">SUMIF($B$12:$B$27,$C36,BI$12:BI$27)</f>
        <v>0</v>
      </c>
      <c r="BJ36" s="142">
        <f t="shared" si="37"/>
        <v>0</v>
      </c>
      <c r="BK36" s="142">
        <f t="shared" si="37"/>
        <v>0</v>
      </c>
      <c r="BL36" s="142">
        <f t="shared" si="37"/>
        <v>0</v>
      </c>
      <c r="BM36" s="142">
        <f t="shared" si="37"/>
        <v>0</v>
      </c>
      <c r="BN36" s="142">
        <f t="shared" si="37"/>
        <v>0</v>
      </c>
      <c r="BO36" s="142">
        <f t="shared" si="37"/>
        <v>0</v>
      </c>
      <c r="BP36" s="142">
        <f t="shared" si="37"/>
        <v>0</v>
      </c>
      <c r="BQ36" s="142">
        <f t="shared" si="37"/>
        <v>0</v>
      </c>
      <c r="BR36" s="142">
        <f t="shared" si="37"/>
        <v>0</v>
      </c>
      <c r="BS36" s="142">
        <f t="shared" si="37"/>
        <v>0</v>
      </c>
      <c r="BT36" s="142">
        <f t="shared" ref="BT36:BZ39" si="38">SUMIF($B$12:$B$29,$C36,BT$12:BT$29)</f>
        <v>0</v>
      </c>
      <c r="BU36" s="142">
        <f t="shared" si="38"/>
        <v>0</v>
      </c>
      <c r="BV36" s="142">
        <f t="shared" si="38"/>
        <v>0</v>
      </c>
      <c r="BW36" s="142">
        <f t="shared" si="38"/>
        <v>0</v>
      </c>
      <c r="BX36" s="142">
        <f t="shared" si="38"/>
        <v>0</v>
      </c>
      <c r="BY36" s="142">
        <f t="shared" si="38"/>
        <v>0</v>
      </c>
      <c r="BZ36" s="142">
        <f t="shared" si="38"/>
        <v>0</v>
      </c>
      <c r="CA36" s="142">
        <f t="shared" ref="CA36:CE38" si="39">SUMIF($B$12:$B$27,$C36,CA$12:CA$27)</f>
        <v>0</v>
      </c>
      <c r="CB36" s="142">
        <f t="shared" si="39"/>
        <v>0</v>
      </c>
      <c r="CC36" s="142">
        <f t="shared" si="39"/>
        <v>150</v>
      </c>
      <c r="CD36" s="142">
        <f t="shared" si="39"/>
        <v>500</v>
      </c>
      <c r="CE36" s="142">
        <f t="shared" si="39"/>
        <v>0</v>
      </c>
      <c r="CF36" s="142">
        <f ca="1">SUMIF($B$12:$B$27,$C36,CF$12:CF$26)</f>
        <v>0</v>
      </c>
      <c r="CG36" s="142">
        <f t="shared" ref="CG36:CP38" si="40">SUMIF($B$12:$B$27,$C36,CG$12:CG$27)</f>
        <v>0</v>
      </c>
      <c r="CH36" s="142">
        <f t="shared" si="40"/>
        <v>0</v>
      </c>
      <c r="CI36" s="142">
        <f t="shared" si="40"/>
        <v>0</v>
      </c>
      <c r="CJ36" s="142">
        <f t="shared" si="40"/>
        <v>0</v>
      </c>
      <c r="CK36" s="142">
        <f t="shared" si="40"/>
        <v>0</v>
      </c>
      <c r="CL36" s="142">
        <f t="shared" si="40"/>
        <v>0</v>
      </c>
      <c r="CM36" s="142">
        <f t="shared" si="40"/>
        <v>0</v>
      </c>
      <c r="CN36" s="142">
        <f t="shared" si="40"/>
        <v>300</v>
      </c>
      <c r="CO36" s="142">
        <f t="shared" si="40"/>
        <v>0</v>
      </c>
      <c r="CP36" s="142">
        <f t="shared" si="40"/>
        <v>0</v>
      </c>
      <c r="CQ36" s="142">
        <f t="shared" ref="CQ36:CZ38" si="41">SUMIF($B$12:$B$27,$C36,CQ$12:CQ$27)</f>
        <v>0</v>
      </c>
      <c r="CR36" s="142">
        <f t="shared" si="41"/>
        <v>0</v>
      </c>
      <c r="CS36" s="142">
        <f t="shared" si="41"/>
        <v>0</v>
      </c>
      <c r="CT36" s="142">
        <f t="shared" si="41"/>
        <v>0</v>
      </c>
      <c r="CU36" s="142">
        <f t="shared" si="41"/>
        <v>0</v>
      </c>
      <c r="CV36" s="142">
        <f t="shared" si="41"/>
        <v>0</v>
      </c>
      <c r="CW36" s="142">
        <f t="shared" si="41"/>
        <v>0</v>
      </c>
      <c r="CX36" s="142">
        <f t="shared" si="41"/>
        <v>0</v>
      </c>
      <c r="CY36" s="142">
        <f t="shared" si="41"/>
        <v>0</v>
      </c>
      <c r="CZ36" s="142">
        <f t="shared" si="41"/>
        <v>0</v>
      </c>
      <c r="DA36" s="282">
        <f t="shared" si="31"/>
        <v>0</v>
      </c>
      <c r="DB36" s="283">
        <f t="shared" si="31"/>
        <v>0</v>
      </c>
      <c r="DC36" s="29">
        <f t="shared" ca="1" si="29"/>
        <v>7135</v>
      </c>
      <c r="DD36" s="6">
        <f t="shared" ca="1" si="30"/>
        <v>281.35711469044804</v>
      </c>
      <c r="EI36" t="s">
        <v>23</v>
      </c>
      <c r="EJ36" s="142">
        <f ca="1">SUM((INDIRECT(EJ$9&amp;ROW()):(INDIRECT(EJ$10&amp;ROW()))))</f>
        <v>1250</v>
      </c>
      <c r="EK36" s="142">
        <f ca="1">SUM((INDIRECT(EK$9&amp;ROW()):(INDIRECT(EK$10&amp;ROW()))))</f>
        <v>4935</v>
      </c>
      <c r="EL36" s="142">
        <f ca="1">SUM((INDIRECT(EL$9&amp;ROW()):(INDIRECT(EL$10&amp;ROW()))))</f>
        <v>0</v>
      </c>
      <c r="EM36" s="142">
        <f ca="1">SUM((INDIRECT(EM$9&amp;ROW()):(INDIRECT(EM$10&amp;ROW()))))</f>
        <v>950</v>
      </c>
      <c r="EN36" s="142" t="e">
        <f ca="1">SUM((INDIRECT(EN$9&amp;ROW()):(INDIRECT(EN$10&amp;ROW()))))</f>
        <v>#REF!</v>
      </c>
      <c r="EO36" s="142" t="e">
        <f ca="1">SUM((INDIRECT(EO$9&amp;ROW()):(INDIRECT(EO$10&amp;ROW()))))</f>
        <v>#REF!</v>
      </c>
      <c r="EP36" s="142" t="e">
        <f ca="1">SUM((INDIRECT(EP$9&amp;ROW()):(INDIRECT(EP$10&amp;ROW()))))</f>
        <v>#REF!</v>
      </c>
      <c r="EQ36" s="142" t="e">
        <f ca="1">SUM((INDIRECT(EQ$9&amp;ROW()):(INDIRECT(EQ$10&amp;ROW()))))</f>
        <v>#REF!</v>
      </c>
    </row>
    <row r="37" spans="1:147" outlineLevel="1">
      <c r="A37" t="s">
        <v>70</v>
      </c>
      <c r="C37" s="2" t="s">
        <v>25</v>
      </c>
      <c r="E37" s="142">
        <f>SUMIF($B$12:$B$27,$C37,E$12:E$27)</f>
        <v>0</v>
      </c>
      <c r="F37" s="142">
        <f t="shared" si="32"/>
        <v>1578</v>
      </c>
      <c r="G37" s="142">
        <f t="shared" si="32"/>
        <v>0</v>
      </c>
      <c r="H37" s="142">
        <f t="shared" si="32"/>
        <v>0</v>
      </c>
      <c r="I37" s="142">
        <f t="shared" si="32"/>
        <v>0</v>
      </c>
      <c r="J37" s="142">
        <f t="shared" si="32"/>
        <v>0</v>
      </c>
      <c r="K37" s="142">
        <f t="shared" si="32"/>
        <v>0</v>
      </c>
      <c r="L37" s="142">
        <f t="shared" si="32"/>
        <v>0</v>
      </c>
      <c r="M37" s="142">
        <f t="shared" si="32"/>
        <v>0</v>
      </c>
      <c r="N37" s="142">
        <f t="shared" si="32"/>
        <v>0</v>
      </c>
      <c r="O37" s="142">
        <f t="shared" si="32"/>
        <v>0</v>
      </c>
      <c r="P37" s="142">
        <f t="shared" si="33"/>
        <v>0</v>
      </c>
      <c r="Q37" s="142">
        <f t="shared" si="33"/>
        <v>0</v>
      </c>
      <c r="R37" s="142">
        <f t="shared" si="33"/>
        <v>550</v>
      </c>
      <c r="S37" s="142">
        <f t="shared" si="33"/>
        <v>0</v>
      </c>
      <c r="T37" s="142">
        <f t="shared" si="33"/>
        <v>3683</v>
      </c>
      <c r="U37" s="142">
        <f t="shared" si="33"/>
        <v>250</v>
      </c>
      <c r="V37" s="142">
        <f t="shared" si="33"/>
        <v>4636.7939999999999</v>
      </c>
      <c r="W37" s="142">
        <f t="shared" si="33"/>
        <v>0</v>
      </c>
      <c r="X37" s="142">
        <f t="shared" si="33"/>
        <v>0</v>
      </c>
      <c r="Y37" s="142">
        <f t="shared" si="33"/>
        <v>0</v>
      </c>
      <c r="Z37" s="142">
        <f t="shared" si="34"/>
        <v>950</v>
      </c>
      <c r="AA37" s="142">
        <f t="shared" si="34"/>
        <v>0</v>
      </c>
      <c r="AB37" s="142">
        <f t="shared" si="34"/>
        <v>0</v>
      </c>
      <c r="AC37" s="142">
        <f t="shared" si="34"/>
        <v>0</v>
      </c>
      <c r="AD37" s="142">
        <f t="shared" si="34"/>
        <v>0</v>
      </c>
      <c r="AE37" s="142">
        <f t="shared" si="34"/>
        <v>3720</v>
      </c>
      <c r="AF37" s="142">
        <f t="shared" si="34"/>
        <v>385</v>
      </c>
      <c r="AG37" s="142">
        <f t="shared" si="34"/>
        <v>570</v>
      </c>
      <c r="AH37" s="142">
        <f t="shared" si="34"/>
        <v>0</v>
      </c>
      <c r="AI37" s="142">
        <f t="shared" si="34"/>
        <v>0</v>
      </c>
      <c r="AJ37" s="142">
        <f t="shared" si="35"/>
        <v>460</v>
      </c>
      <c r="AK37" s="142">
        <f t="shared" si="35"/>
        <v>0</v>
      </c>
      <c r="AL37" s="142">
        <f t="shared" si="35"/>
        <v>0</v>
      </c>
      <c r="AM37" s="142">
        <f t="shared" si="35"/>
        <v>0</v>
      </c>
      <c r="AN37" s="142">
        <f t="shared" si="35"/>
        <v>0</v>
      </c>
      <c r="AO37" s="142">
        <f t="shared" si="35"/>
        <v>0</v>
      </c>
      <c r="AP37" s="142">
        <f t="shared" si="35"/>
        <v>0</v>
      </c>
      <c r="AQ37" s="142">
        <f t="shared" si="35"/>
        <v>0</v>
      </c>
      <c r="AR37" s="142">
        <f t="shared" si="35"/>
        <v>0</v>
      </c>
      <c r="AS37" s="142">
        <f t="shared" si="35"/>
        <v>0</v>
      </c>
      <c r="AT37" s="142">
        <f t="shared" si="36"/>
        <v>0</v>
      </c>
      <c r="AU37" s="142">
        <f t="shared" si="36"/>
        <v>0</v>
      </c>
      <c r="AV37" s="142">
        <f t="shared" si="36"/>
        <v>0</v>
      </c>
      <c r="AW37" s="142">
        <f t="shared" si="36"/>
        <v>0</v>
      </c>
      <c r="AX37" s="142">
        <f t="shared" si="36"/>
        <v>5000</v>
      </c>
      <c r="AY37" s="142">
        <f t="shared" si="36"/>
        <v>797.7173233270795</v>
      </c>
      <c r="AZ37" s="142">
        <f t="shared" si="36"/>
        <v>0</v>
      </c>
      <c r="BA37" s="142">
        <f t="shared" si="36"/>
        <v>145.09068167604752</v>
      </c>
      <c r="BB37" s="142">
        <f t="shared" si="36"/>
        <v>0</v>
      </c>
      <c r="BC37" s="142">
        <f t="shared" si="36"/>
        <v>348.21763602251406</v>
      </c>
      <c r="BD37" s="142">
        <f t="shared" si="36"/>
        <v>435.2720450281426</v>
      </c>
      <c r="BE37" s="142">
        <f t="shared" si="36"/>
        <v>0</v>
      </c>
      <c r="BF37" s="142">
        <f t="shared" si="36"/>
        <v>0</v>
      </c>
      <c r="BG37" s="142">
        <f t="shared" si="36"/>
        <v>0</v>
      </c>
      <c r="BH37" s="142">
        <f t="shared" si="36"/>
        <v>0</v>
      </c>
      <c r="BI37" s="142">
        <f t="shared" si="37"/>
        <v>0</v>
      </c>
      <c r="BJ37" s="142">
        <f t="shared" si="37"/>
        <v>0</v>
      </c>
      <c r="BK37" s="142">
        <f t="shared" si="37"/>
        <v>0</v>
      </c>
      <c r="BL37" s="142">
        <f t="shared" si="37"/>
        <v>0</v>
      </c>
      <c r="BM37" s="142">
        <f t="shared" si="37"/>
        <v>0</v>
      </c>
      <c r="BN37" s="142">
        <f t="shared" si="37"/>
        <v>0</v>
      </c>
      <c r="BO37" s="142">
        <f t="shared" si="37"/>
        <v>0</v>
      </c>
      <c r="BP37" s="142">
        <f t="shared" si="37"/>
        <v>0</v>
      </c>
      <c r="BQ37" s="142">
        <f t="shared" si="37"/>
        <v>0</v>
      </c>
      <c r="BR37" s="142">
        <f t="shared" si="37"/>
        <v>0</v>
      </c>
      <c r="BS37" s="142">
        <f t="shared" si="37"/>
        <v>0</v>
      </c>
      <c r="BT37" s="142">
        <f t="shared" si="38"/>
        <v>0</v>
      </c>
      <c r="BU37" s="142">
        <f t="shared" si="38"/>
        <v>0</v>
      </c>
      <c r="BV37" s="142">
        <f t="shared" si="38"/>
        <v>0</v>
      </c>
      <c r="BW37" s="142">
        <f t="shared" si="38"/>
        <v>0</v>
      </c>
      <c r="BX37" s="142">
        <f t="shared" si="38"/>
        <v>0</v>
      </c>
      <c r="BY37" s="142">
        <f t="shared" si="38"/>
        <v>0</v>
      </c>
      <c r="BZ37" s="142">
        <f t="shared" si="38"/>
        <v>0</v>
      </c>
      <c r="CA37" s="142">
        <f t="shared" si="39"/>
        <v>0</v>
      </c>
      <c r="CB37" s="142">
        <f t="shared" si="39"/>
        <v>0</v>
      </c>
      <c r="CC37" s="142">
        <f t="shared" si="39"/>
        <v>0</v>
      </c>
      <c r="CD37" s="142">
        <f t="shared" si="39"/>
        <v>1200</v>
      </c>
      <c r="CE37" s="142">
        <f t="shared" si="39"/>
        <v>0</v>
      </c>
      <c r="CF37" s="142">
        <f ca="1">SUMIF($B$12:$B$27,$C37,CF$12:CF$26)</f>
        <v>0</v>
      </c>
      <c r="CG37" s="142">
        <f t="shared" si="40"/>
        <v>0</v>
      </c>
      <c r="CH37" s="142">
        <f t="shared" si="40"/>
        <v>0</v>
      </c>
      <c r="CI37" s="142">
        <f t="shared" si="40"/>
        <v>0</v>
      </c>
      <c r="CJ37" s="142">
        <f t="shared" si="40"/>
        <v>0</v>
      </c>
      <c r="CK37" s="142">
        <f t="shared" si="40"/>
        <v>0</v>
      </c>
      <c r="CL37" s="142">
        <f t="shared" si="40"/>
        <v>0</v>
      </c>
      <c r="CM37" s="142">
        <f t="shared" si="40"/>
        <v>0</v>
      </c>
      <c r="CN37" s="142">
        <f t="shared" si="40"/>
        <v>0</v>
      </c>
      <c r="CO37" s="142">
        <f t="shared" si="40"/>
        <v>2000</v>
      </c>
      <c r="CP37" s="142">
        <f t="shared" si="40"/>
        <v>0</v>
      </c>
      <c r="CQ37" s="142">
        <f t="shared" si="41"/>
        <v>0</v>
      </c>
      <c r="CR37" s="142">
        <f t="shared" si="41"/>
        <v>0</v>
      </c>
      <c r="CS37" s="142">
        <f t="shared" si="41"/>
        <v>0</v>
      </c>
      <c r="CT37" s="142">
        <f t="shared" si="41"/>
        <v>0</v>
      </c>
      <c r="CU37" s="142">
        <f t="shared" si="41"/>
        <v>0</v>
      </c>
      <c r="CV37" s="142">
        <f t="shared" si="41"/>
        <v>0</v>
      </c>
      <c r="CW37" s="142">
        <f t="shared" si="41"/>
        <v>0</v>
      </c>
      <c r="CX37" s="142">
        <f t="shared" si="41"/>
        <v>0</v>
      </c>
      <c r="CY37" s="142">
        <f t="shared" si="41"/>
        <v>0</v>
      </c>
      <c r="CZ37" s="142">
        <f t="shared" si="41"/>
        <v>0</v>
      </c>
      <c r="DA37" s="282">
        <f t="shared" si="31"/>
        <v>0</v>
      </c>
      <c r="DB37" s="283">
        <f t="shared" si="31"/>
        <v>0</v>
      </c>
      <c r="DC37" s="29">
        <f t="shared" ca="1" si="29"/>
        <v>26709.091686053784</v>
      </c>
      <c r="DD37" s="6">
        <f t="shared" ca="1" si="30"/>
        <v>1053.2295687162896</v>
      </c>
      <c r="EI37" t="s">
        <v>25</v>
      </c>
      <c r="EJ37" s="142">
        <f ca="1">SUM((INDIRECT(EJ$9&amp;ROW()):(INDIRECT(EJ$10&amp;ROW()))))</f>
        <v>2128</v>
      </c>
      <c r="EK37" s="142">
        <f ca="1">SUM((INDIRECT(EK$9&amp;ROW()):(INDIRECT(EK$10&amp;ROW()))))</f>
        <v>14654.794</v>
      </c>
      <c r="EL37" s="142">
        <f ca="1">SUM((INDIRECT(EL$9&amp;ROW()):(INDIRECT(EL$10&amp;ROW()))))</f>
        <v>6726.2976860537829</v>
      </c>
      <c r="EM37" s="142">
        <f ca="1">SUM((INDIRECT(EM$9&amp;ROW()):(INDIRECT(EM$10&amp;ROW()))))</f>
        <v>3200</v>
      </c>
      <c r="EN37" s="142" t="e">
        <f ca="1">SUM((INDIRECT(EN$9&amp;ROW()):(INDIRECT(EN$10&amp;ROW()))))</f>
        <v>#REF!</v>
      </c>
      <c r="EO37" s="142" t="e">
        <f ca="1">SUM((INDIRECT(EO$9&amp;ROW()):(INDIRECT(EO$10&amp;ROW()))))</f>
        <v>#REF!</v>
      </c>
      <c r="EP37" s="142" t="e">
        <f ca="1">SUM((INDIRECT(EP$9&amp;ROW()):(INDIRECT(EP$10&amp;ROW()))))</f>
        <v>#REF!</v>
      </c>
      <c r="EQ37" s="142" t="e">
        <f ca="1">SUM((INDIRECT(EQ$9&amp;ROW()):(INDIRECT(EQ$10&amp;ROW()))))</f>
        <v>#REF!</v>
      </c>
    </row>
    <row r="38" spans="1:147" outlineLevel="1">
      <c r="A38" t="s">
        <v>70</v>
      </c>
      <c r="C38" s="2" t="s">
        <v>24</v>
      </c>
      <c r="E38" s="142">
        <f>SUMIF($B$12:$B$27,$C38,E$12:E$27)</f>
        <v>0</v>
      </c>
      <c r="F38" s="142">
        <f t="shared" si="32"/>
        <v>0</v>
      </c>
      <c r="G38" s="142">
        <f t="shared" si="32"/>
        <v>0</v>
      </c>
      <c r="H38" s="142">
        <f t="shared" si="32"/>
        <v>0</v>
      </c>
      <c r="I38" s="142">
        <f t="shared" si="32"/>
        <v>800</v>
      </c>
      <c r="J38" s="142">
        <f t="shared" si="32"/>
        <v>0</v>
      </c>
      <c r="K38" s="142">
        <f t="shared" si="32"/>
        <v>0</v>
      </c>
      <c r="L38" s="142">
        <f t="shared" si="32"/>
        <v>0</v>
      </c>
      <c r="M38" s="142">
        <f t="shared" si="32"/>
        <v>0</v>
      </c>
      <c r="N38" s="142">
        <f t="shared" si="32"/>
        <v>0</v>
      </c>
      <c r="O38" s="142">
        <f t="shared" si="32"/>
        <v>0</v>
      </c>
      <c r="P38" s="142">
        <f t="shared" si="33"/>
        <v>0</v>
      </c>
      <c r="Q38" s="142">
        <f t="shared" si="33"/>
        <v>2000</v>
      </c>
      <c r="R38" s="142">
        <f t="shared" si="33"/>
        <v>0</v>
      </c>
      <c r="S38" s="142">
        <f t="shared" si="33"/>
        <v>0</v>
      </c>
      <c r="T38" s="142">
        <f t="shared" si="33"/>
        <v>0</v>
      </c>
      <c r="U38" s="142">
        <f t="shared" si="33"/>
        <v>0</v>
      </c>
      <c r="V38" s="142">
        <f t="shared" si="33"/>
        <v>0</v>
      </c>
      <c r="W38" s="142">
        <f t="shared" si="33"/>
        <v>0</v>
      </c>
      <c r="X38" s="142">
        <f t="shared" si="33"/>
        <v>0</v>
      </c>
      <c r="Y38" s="142">
        <f t="shared" si="33"/>
        <v>0</v>
      </c>
      <c r="Z38" s="142">
        <f t="shared" si="34"/>
        <v>0</v>
      </c>
      <c r="AA38" s="142">
        <f t="shared" si="34"/>
        <v>0</v>
      </c>
      <c r="AB38" s="142">
        <f t="shared" si="34"/>
        <v>0</v>
      </c>
      <c r="AC38" s="142">
        <f t="shared" si="34"/>
        <v>0</v>
      </c>
      <c r="AD38" s="142">
        <f t="shared" si="34"/>
        <v>0</v>
      </c>
      <c r="AE38" s="142">
        <f t="shared" si="34"/>
        <v>0</v>
      </c>
      <c r="AF38" s="142">
        <f t="shared" si="34"/>
        <v>0</v>
      </c>
      <c r="AG38" s="142">
        <f t="shared" si="34"/>
        <v>0</v>
      </c>
      <c r="AH38" s="142">
        <f t="shared" si="34"/>
        <v>0</v>
      </c>
      <c r="AI38" s="142">
        <f t="shared" si="34"/>
        <v>0</v>
      </c>
      <c r="AJ38" s="142">
        <f t="shared" si="35"/>
        <v>2160</v>
      </c>
      <c r="AK38" s="142">
        <f t="shared" si="35"/>
        <v>0</v>
      </c>
      <c r="AL38" s="142">
        <f t="shared" si="35"/>
        <v>0</v>
      </c>
      <c r="AM38" s="142">
        <f t="shared" si="35"/>
        <v>0</v>
      </c>
      <c r="AN38" s="142">
        <f t="shared" si="35"/>
        <v>0</v>
      </c>
      <c r="AO38" s="142">
        <f t="shared" si="35"/>
        <v>0</v>
      </c>
      <c r="AP38" s="142">
        <f t="shared" si="35"/>
        <v>0</v>
      </c>
      <c r="AQ38" s="142">
        <f t="shared" si="35"/>
        <v>0</v>
      </c>
      <c r="AR38" s="142">
        <f t="shared" si="35"/>
        <v>0</v>
      </c>
      <c r="AS38" s="142">
        <f t="shared" si="35"/>
        <v>0</v>
      </c>
      <c r="AT38" s="142">
        <f t="shared" si="36"/>
        <v>0</v>
      </c>
      <c r="AU38" s="142">
        <f t="shared" si="36"/>
        <v>0</v>
      </c>
      <c r="AV38" s="142">
        <f t="shared" si="36"/>
        <v>0</v>
      </c>
      <c r="AW38" s="142">
        <f t="shared" si="36"/>
        <v>0</v>
      </c>
      <c r="AX38" s="142">
        <f t="shared" si="36"/>
        <v>0</v>
      </c>
      <c r="AY38" s="142">
        <f t="shared" si="36"/>
        <v>0</v>
      </c>
      <c r="AZ38" s="142">
        <f t="shared" si="36"/>
        <v>689.18073796122576</v>
      </c>
      <c r="BA38" s="142">
        <f t="shared" si="36"/>
        <v>0</v>
      </c>
      <c r="BB38" s="142">
        <f t="shared" si="36"/>
        <v>0</v>
      </c>
      <c r="BC38" s="142">
        <f t="shared" si="36"/>
        <v>1024.3402126328958</v>
      </c>
      <c r="BD38" s="142">
        <f t="shared" si="36"/>
        <v>0</v>
      </c>
      <c r="BE38" s="142">
        <f t="shared" si="36"/>
        <v>0</v>
      </c>
      <c r="BF38" s="142">
        <f t="shared" si="36"/>
        <v>0</v>
      </c>
      <c r="BG38" s="142">
        <f t="shared" si="36"/>
        <v>0</v>
      </c>
      <c r="BH38" s="142">
        <f t="shared" si="36"/>
        <v>0</v>
      </c>
      <c r="BI38" s="142">
        <f t="shared" si="37"/>
        <v>0</v>
      </c>
      <c r="BJ38" s="142">
        <f t="shared" si="37"/>
        <v>0</v>
      </c>
      <c r="BK38" s="142">
        <f t="shared" si="37"/>
        <v>300</v>
      </c>
      <c r="BL38" s="142">
        <f t="shared" si="37"/>
        <v>0</v>
      </c>
      <c r="BM38" s="142">
        <f t="shared" si="37"/>
        <v>0</v>
      </c>
      <c r="BN38" s="142">
        <f t="shared" si="37"/>
        <v>0</v>
      </c>
      <c r="BO38" s="142">
        <f t="shared" si="37"/>
        <v>0</v>
      </c>
      <c r="BP38" s="142">
        <f t="shared" si="37"/>
        <v>0</v>
      </c>
      <c r="BQ38" s="142">
        <f t="shared" si="37"/>
        <v>0</v>
      </c>
      <c r="BR38" s="142">
        <f t="shared" si="37"/>
        <v>0</v>
      </c>
      <c r="BS38" s="142">
        <f t="shared" si="37"/>
        <v>0</v>
      </c>
      <c r="BT38" s="142">
        <f t="shared" si="38"/>
        <v>0</v>
      </c>
      <c r="BU38" s="142">
        <f t="shared" si="38"/>
        <v>0</v>
      </c>
      <c r="BV38" s="142">
        <f t="shared" si="38"/>
        <v>0</v>
      </c>
      <c r="BW38" s="142">
        <f t="shared" si="38"/>
        <v>0</v>
      </c>
      <c r="BX38" s="142">
        <f t="shared" si="38"/>
        <v>0</v>
      </c>
      <c r="BY38" s="142">
        <f t="shared" si="38"/>
        <v>0</v>
      </c>
      <c r="BZ38" s="142">
        <f t="shared" si="38"/>
        <v>0</v>
      </c>
      <c r="CA38" s="142">
        <f t="shared" si="39"/>
        <v>0</v>
      </c>
      <c r="CB38" s="142">
        <f t="shared" si="39"/>
        <v>0</v>
      </c>
      <c r="CC38" s="142">
        <f t="shared" si="39"/>
        <v>450</v>
      </c>
      <c r="CD38" s="142">
        <f t="shared" si="39"/>
        <v>0</v>
      </c>
      <c r="CE38" s="142">
        <f t="shared" si="39"/>
        <v>0</v>
      </c>
      <c r="CF38" s="142">
        <f ca="1">SUMIF($B$12:$B$27,$C38,CF$12:CF$26)</f>
        <v>1200</v>
      </c>
      <c r="CG38" s="142">
        <f t="shared" si="40"/>
        <v>0</v>
      </c>
      <c r="CH38" s="142">
        <f t="shared" si="40"/>
        <v>120</v>
      </c>
      <c r="CI38" s="142">
        <f t="shared" si="40"/>
        <v>0</v>
      </c>
      <c r="CJ38" s="142">
        <f t="shared" si="40"/>
        <v>1580</v>
      </c>
      <c r="CK38" s="142">
        <f t="shared" si="40"/>
        <v>1690</v>
      </c>
      <c r="CL38" s="142">
        <f t="shared" si="40"/>
        <v>1470</v>
      </c>
      <c r="CM38" s="142">
        <f t="shared" si="40"/>
        <v>1460</v>
      </c>
      <c r="CN38" s="142">
        <f t="shared" si="40"/>
        <v>1350</v>
      </c>
      <c r="CO38" s="142">
        <f t="shared" si="40"/>
        <v>650</v>
      </c>
      <c r="CP38" s="142">
        <f t="shared" si="40"/>
        <v>0</v>
      </c>
      <c r="CQ38" s="142">
        <f t="shared" si="41"/>
        <v>0</v>
      </c>
      <c r="CR38" s="142">
        <f t="shared" si="41"/>
        <v>0</v>
      </c>
      <c r="CS38" s="142">
        <f t="shared" si="41"/>
        <v>0</v>
      </c>
      <c r="CT38" s="142">
        <f t="shared" si="41"/>
        <v>0</v>
      </c>
      <c r="CU38" s="142">
        <f t="shared" si="41"/>
        <v>0</v>
      </c>
      <c r="CV38" s="142">
        <f t="shared" si="41"/>
        <v>0</v>
      </c>
      <c r="CW38" s="142">
        <f t="shared" si="41"/>
        <v>0</v>
      </c>
      <c r="CX38" s="142">
        <f t="shared" si="41"/>
        <v>0</v>
      </c>
      <c r="CY38" s="142">
        <f t="shared" si="41"/>
        <v>0</v>
      </c>
      <c r="CZ38" s="142">
        <f t="shared" si="41"/>
        <v>0</v>
      </c>
      <c r="DA38" s="282">
        <f t="shared" si="31"/>
        <v>0</v>
      </c>
      <c r="DB38" s="283">
        <f t="shared" si="31"/>
        <v>0</v>
      </c>
      <c r="DC38" s="29">
        <f t="shared" ca="1" si="29"/>
        <v>16943.52095059412</v>
      </c>
      <c r="DD38" s="6">
        <f t="shared" ca="1" si="30"/>
        <v>668.14017762527237</v>
      </c>
      <c r="EI38" t="s">
        <v>24</v>
      </c>
      <c r="EJ38" s="142">
        <f ca="1">SUM((INDIRECT(EJ$9&amp;ROW()):(INDIRECT(EJ$10&amp;ROW()))))</f>
        <v>2800</v>
      </c>
      <c r="EK38" s="142">
        <f ca="1">SUM((INDIRECT(EK$9&amp;ROW()):(INDIRECT(EK$10&amp;ROW()))))</f>
        <v>2160</v>
      </c>
      <c r="EL38" s="142">
        <f ca="1">SUM((INDIRECT(EL$9&amp;ROW()):(INDIRECT(EL$10&amp;ROW()))))</f>
        <v>2013.5209505941216</v>
      </c>
      <c r="EM38" s="142">
        <f ca="1">SUM((INDIRECT(EM$9&amp;ROW()):(INDIRECT(EM$10&amp;ROW()))))</f>
        <v>9970</v>
      </c>
      <c r="EN38" s="142" t="e">
        <f ca="1">SUM((INDIRECT(EN$9&amp;ROW()):(INDIRECT(EN$10&amp;ROW()))))</f>
        <v>#REF!</v>
      </c>
      <c r="EO38" s="142" t="e">
        <f ca="1">SUM((INDIRECT(EO$9&amp;ROW()):(INDIRECT(EO$10&amp;ROW()))))</f>
        <v>#REF!</v>
      </c>
      <c r="EP38" s="142" t="e">
        <f ca="1">SUM((INDIRECT(EP$9&amp;ROW()):(INDIRECT(EP$10&amp;ROW()))))</f>
        <v>#REF!</v>
      </c>
      <c r="EQ38" s="142" t="e">
        <f ca="1">SUM((INDIRECT(EQ$9&amp;ROW()):(INDIRECT(EQ$10&amp;ROW()))))</f>
        <v>#REF!</v>
      </c>
    </row>
    <row r="39" spans="1:147" outlineLevel="1">
      <c r="A39" t="s">
        <v>70</v>
      </c>
      <c r="C39" s="2" t="s">
        <v>558</v>
      </c>
      <c r="E39" s="142">
        <f>SUMIF($B$12:$B$29,$C39,E$12:E$29)</f>
        <v>0</v>
      </c>
      <c r="F39" s="142">
        <f t="shared" si="32"/>
        <v>60000</v>
      </c>
      <c r="G39" s="142">
        <f t="shared" si="32"/>
        <v>0</v>
      </c>
      <c r="H39" s="142">
        <f t="shared" si="32"/>
        <v>0</v>
      </c>
      <c r="I39" s="142">
        <f t="shared" si="32"/>
        <v>0</v>
      </c>
      <c r="J39" s="142">
        <f t="shared" si="32"/>
        <v>0</v>
      </c>
      <c r="K39" s="142">
        <f t="shared" si="32"/>
        <v>0</v>
      </c>
      <c r="L39" s="142">
        <f t="shared" si="32"/>
        <v>0</v>
      </c>
      <c r="M39" s="142">
        <f t="shared" si="32"/>
        <v>0</v>
      </c>
      <c r="N39" s="142">
        <f t="shared" si="32"/>
        <v>0</v>
      </c>
      <c r="O39" s="142">
        <f t="shared" si="32"/>
        <v>0</v>
      </c>
      <c r="P39" s="142">
        <f t="shared" si="33"/>
        <v>0</v>
      </c>
      <c r="Q39" s="142">
        <f t="shared" si="33"/>
        <v>12000</v>
      </c>
      <c r="R39" s="142">
        <f t="shared" si="33"/>
        <v>0</v>
      </c>
      <c r="S39" s="142">
        <f t="shared" si="33"/>
        <v>0</v>
      </c>
      <c r="T39" s="142">
        <f t="shared" si="33"/>
        <v>0</v>
      </c>
      <c r="U39" s="142">
        <f t="shared" si="33"/>
        <v>0</v>
      </c>
      <c r="V39" s="142">
        <f t="shared" si="33"/>
        <v>0</v>
      </c>
      <c r="W39" s="142">
        <f t="shared" si="33"/>
        <v>0</v>
      </c>
      <c r="X39" s="142">
        <f t="shared" si="33"/>
        <v>0</v>
      </c>
      <c r="Y39" s="142">
        <f t="shared" si="33"/>
        <v>0</v>
      </c>
      <c r="Z39" s="142">
        <f t="shared" si="34"/>
        <v>0</v>
      </c>
      <c r="AA39" s="142">
        <f t="shared" si="34"/>
        <v>0</v>
      </c>
      <c r="AB39" s="142">
        <f t="shared" si="34"/>
        <v>0</v>
      </c>
      <c r="AC39" s="142">
        <f t="shared" si="34"/>
        <v>0</v>
      </c>
      <c r="AD39" s="142">
        <f t="shared" si="34"/>
        <v>0</v>
      </c>
      <c r="AE39" s="142">
        <f t="shared" si="34"/>
        <v>0</v>
      </c>
      <c r="AF39" s="142">
        <f t="shared" si="34"/>
        <v>0</v>
      </c>
      <c r="AG39" s="142">
        <f t="shared" si="34"/>
        <v>0</v>
      </c>
      <c r="AH39" s="142">
        <f t="shared" si="34"/>
        <v>0</v>
      </c>
      <c r="AI39" s="142">
        <f t="shared" si="34"/>
        <v>0</v>
      </c>
      <c r="AJ39" s="142">
        <f t="shared" si="35"/>
        <v>0</v>
      </c>
      <c r="AK39" s="142">
        <f t="shared" si="35"/>
        <v>0</v>
      </c>
      <c r="AL39" s="142">
        <f t="shared" si="35"/>
        <v>0</v>
      </c>
      <c r="AM39" s="142">
        <f t="shared" si="35"/>
        <v>0</v>
      </c>
      <c r="AN39" s="142">
        <f t="shared" si="35"/>
        <v>0</v>
      </c>
      <c r="AO39" s="142">
        <f t="shared" si="35"/>
        <v>0</v>
      </c>
      <c r="AP39" s="142">
        <f t="shared" si="35"/>
        <v>0</v>
      </c>
      <c r="AQ39" s="142">
        <f t="shared" si="35"/>
        <v>0</v>
      </c>
      <c r="AR39" s="142">
        <f t="shared" si="35"/>
        <v>0</v>
      </c>
      <c r="AS39" s="142">
        <f t="shared" si="35"/>
        <v>0</v>
      </c>
      <c r="AT39" s="142">
        <f t="shared" si="36"/>
        <v>0</v>
      </c>
      <c r="AU39" s="142">
        <f t="shared" si="36"/>
        <v>0</v>
      </c>
      <c r="AV39" s="142">
        <f t="shared" si="36"/>
        <v>0</v>
      </c>
      <c r="AW39" s="142">
        <f t="shared" si="36"/>
        <v>0</v>
      </c>
      <c r="AX39" s="142">
        <f t="shared" si="36"/>
        <v>10240</v>
      </c>
      <c r="AY39" s="142">
        <f t="shared" si="36"/>
        <v>0</v>
      </c>
      <c r="AZ39" s="142">
        <f t="shared" si="36"/>
        <v>0</v>
      </c>
      <c r="BA39" s="142">
        <f t="shared" si="36"/>
        <v>0</v>
      </c>
      <c r="BB39" s="142">
        <f t="shared" si="36"/>
        <v>0</v>
      </c>
      <c r="BC39" s="142">
        <f t="shared" si="36"/>
        <v>0</v>
      </c>
      <c r="BD39" s="142">
        <f t="shared" si="36"/>
        <v>0</v>
      </c>
      <c r="BE39" s="142">
        <f t="shared" si="36"/>
        <v>0</v>
      </c>
      <c r="BF39" s="142">
        <f t="shared" si="36"/>
        <v>0</v>
      </c>
      <c r="BG39" s="142">
        <f t="shared" si="36"/>
        <v>0</v>
      </c>
      <c r="BH39" s="142">
        <f t="shared" si="36"/>
        <v>0</v>
      </c>
      <c r="BI39" s="142">
        <f t="shared" ref="BI39:BS39" si="42">SUMIF($B$12:$B$29,$C39,BI$12:BI$29)</f>
        <v>0</v>
      </c>
      <c r="BJ39" s="142">
        <f t="shared" si="42"/>
        <v>0</v>
      </c>
      <c r="BK39" s="142">
        <f t="shared" si="42"/>
        <v>0</v>
      </c>
      <c r="BL39" s="142">
        <f t="shared" si="42"/>
        <v>0</v>
      </c>
      <c r="BM39" s="142">
        <f t="shared" si="42"/>
        <v>0</v>
      </c>
      <c r="BN39" s="142">
        <f t="shared" si="42"/>
        <v>0</v>
      </c>
      <c r="BO39" s="142">
        <f t="shared" si="42"/>
        <v>0</v>
      </c>
      <c r="BP39" s="142">
        <f t="shared" si="42"/>
        <v>0</v>
      </c>
      <c r="BQ39" s="142">
        <f t="shared" si="42"/>
        <v>0</v>
      </c>
      <c r="BR39" s="142">
        <f t="shared" si="42"/>
        <v>0</v>
      </c>
      <c r="BS39" s="142">
        <f t="shared" si="42"/>
        <v>0</v>
      </c>
      <c r="BT39" s="142">
        <f t="shared" si="38"/>
        <v>0</v>
      </c>
      <c r="BU39" s="142">
        <f t="shared" si="38"/>
        <v>0</v>
      </c>
      <c r="BV39" s="142">
        <f t="shared" si="38"/>
        <v>0</v>
      </c>
      <c r="BW39" s="142">
        <f t="shared" si="38"/>
        <v>0</v>
      </c>
      <c r="BX39" s="142">
        <f t="shared" si="38"/>
        <v>0</v>
      </c>
      <c r="BY39" s="142">
        <f t="shared" si="38"/>
        <v>0</v>
      </c>
      <c r="BZ39" s="142">
        <f t="shared" si="38"/>
        <v>0</v>
      </c>
      <c r="CA39" s="142">
        <f t="shared" ref="CA39:CP39" si="43">SUMIF($B$12:$B$29,$C39,CA$12:CA$29)</f>
        <v>0</v>
      </c>
      <c r="CB39" s="142">
        <f t="shared" si="43"/>
        <v>0</v>
      </c>
      <c r="CC39" s="142">
        <f t="shared" si="43"/>
        <v>11480</v>
      </c>
      <c r="CD39" s="142">
        <f t="shared" si="43"/>
        <v>0</v>
      </c>
      <c r="CE39" s="142">
        <f t="shared" si="43"/>
        <v>0</v>
      </c>
      <c r="CF39" s="142">
        <f t="shared" si="43"/>
        <v>0</v>
      </c>
      <c r="CG39" s="142">
        <f t="shared" si="43"/>
        <v>0</v>
      </c>
      <c r="CH39" s="142">
        <f t="shared" si="43"/>
        <v>0</v>
      </c>
      <c r="CI39" s="142">
        <f t="shared" si="43"/>
        <v>0</v>
      </c>
      <c r="CJ39" s="142">
        <f t="shared" si="43"/>
        <v>0</v>
      </c>
      <c r="CK39" s="142">
        <f t="shared" si="43"/>
        <v>0</v>
      </c>
      <c r="CL39" s="142">
        <f t="shared" si="43"/>
        <v>0</v>
      </c>
      <c r="CM39" s="142">
        <f t="shared" si="43"/>
        <v>0</v>
      </c>
      <c r="CN39" s="142">
        <f t="shared" si="43"/>
        <v>0</v>
      </c>
      <c r="CO39" s="142">
        <f t="shared" si="43"/>
        <v>93260</v>
      </c>
      <c r="CP39" s="142">
        <f t="shared" si="43"/>
        <v>0</v>
      </c>
      <c r="CQ39" s="142">
        <f t="shared" ref="CQ39:CZ39" si="44">SUMIF($B$12:$B$27,$C39,CQ$12:CQ$27)</f>
        <v>0</v>
      </c>
      <c r="CR39" s="142">
        <f t="shared" si="44"/>
        <v>0</v>
      </c>
      <c r="CS39" s="142">
        <f t="shared" si="44"/>
        <v>0</v>
      </c>
      <c r="CT39" s="142">
        <f t="shared" si="44"/>
        <v>0</v>
      </c>
      <c r="CU39" s="142">
        <f t="shared" si="44"/>
        <v>0</v>
      </c>
      <c r="CV39" s="142">
        <f t="shared" si="44"/>
        <v>0</v>
      </c>
      <c r="CW39" s="142">
        <f t="shared" si="44"/>
        <v>0</v>
      </c>
      <c r="CX39" s="142">
        <f t="shared" si="44"/>
        <v>0</v>
      </c>
      <c r="CY39" s="142">
        <f t="shared" si="44"/>
        <v>0</v>
      </c>
      <c r="CZ39" s="142">
        <f t="shared" si="44"/>
        <v>0</v>
      </c>
      <c r="DA39" s="282">
        <f t="shared" si="31"/>
        <v>0</v>
      </c>
      <c r="DB39" s="283">
        <f t="shared" si="31"/>
        <v>0</v>
      </c>
      <c r="DC39" s="29">
        <f t="shared" si="29"/>
        <v>186980</v>
      </c>
      <c r="DD39" s="6">
        <f t="shared" si="30"/>
        <v>7373.252039918706</v>
      </c>
      <c r="EI39" t="s">
        <v>558</v>
      </c>
      <c r="EJ39" s="142">
        <f ca="1">SUM((INDIRECT(EJ$9&amp;ROW()):(INDIRECT(EJ$10&amp;ROW()))))</f>
        <v>72000</v>
      </c>
      <c r="EK39" s="142">
        <f ca="1">SUM((INDIRECT(EK$9&amp;ROW()):(INDIRECT(EK$10&amp;ROW()))))</f>
        <v>0</v>
      </c>
      <c r="EL39" s="142">
        <f ca="1">SUM((INDIRECT(EL$9&amp;ROW()):(INDIRECT(EL$10&amp;ROW()))))</f>
        <v>10240</v>
      </c>
      <c r="EM39" s="142">
        <f ca="1">SUM((INDIRECT(EM$9&amp;ROW()):(INDIRECT(EM$10&amp;ROW()))))</f>
        <v>104740</v>
      </c>
      <c r="EN39" s="142" t="e">
        <f ca="1">SUM((INDIRECT(EN$9&amp;ROW()):(INDIRECT(EN$10&amp;ROW()))))</f>
        <v>#REF!</v>
      </c>
      <c r="EO39" s="142" t="e">
        <f ca="1">SUM((INDIRECT(EO$9&amp;ROW()):(INDIRECT(EO$10&amp;ROW()))))</f>
        <v>#REF!</v>
      </c>
      <c r="EP39" s="142" t="e">
        <f ca="1">SUM((INDIRECT(EP$9&amp;ROW()):(INDIRECT(EP$10&amp;ROW()))))</f>
        <v>#REF!</v>
      </c>
      <c r="EQ39" s="142" t="e">
        <f ca="1">SUM((INDIRECT(EQ$9&amp;ROW()):(INDIRECT(EQ$10&amp;ROW()))))</f>
        <v>#REF!</v>
      </c>
    </row>
    <row r="40" spans="1:147" outlineLevel="1">
      <c r="C40" s="9" t="s">
        <v>14</v>
      </c>
      <c r="E40" s="161">
        <f t="shared" ref="E40:R40" si="45">SUM(E34:E39)</f>
        <v>0</v>
      </c>
      <c r="F40" s="161">
        <f t="shared" si="45"/>
        <v>62849</v>
      </c>
      <c r="G40" s="161">
        <f t="shared" si="45"/>
        <v>1135</v>
      </c>
      <c r="H40" s="161">
        <f t="shared" si="45"/>
        <v>1161</v>
      </c>
      <c r="I40" s="161">
        <f t="shared" si="45"/>
        <v>1850</v>
      </c>
      <c r="J40" s="161">
        <f t="shared" si="45"/>
        <v>815</v>
      </c>
      <c r="K40" s="161">
        <f t="shared" si="45"/>
        <v>1090</v>
      </c>
      <c r="L40" s="161">
        <f t="shared" si="45"/>
        <v>930</v>
      </c>
      <c r="M40" s="161">
        <f t="shared" si="45"/>
        <v>1630</v>
      </c>
      <c r="N40" s="161">
        <f t="shared" si="45"/>
        <v>1934</v>
      </c>
      <c r="O40" s="161">
        <f t="shared" si="45"/>
        <v>1000</v>
      </c>
      <c r="P40" s="161">
        <f t="shared" si="45"/>
        <v>795</v>
      </c>
      <c r="Q40" s="161">
        <f t="shared" si="45"/>
        <v>15135</v>
      </c>
      <c r="R40" s="161">
        <f t="shared" si="45"/>
        <v>1390</v>
      </c>
      <c r="S40" s="161">
        <f>SUM(S34:S39)</f>
        <v>1010</v>
      </c>
      <c r="T40" s="161">
        <f t="shared" ref="T40:CE40" si="46">SUM(T34:T39)</f>
        <v>5516</v>
      </c>
      <c r="U40" s="161">
        <f t="shared" si="46"/>
        <v>1826.181</v>
      </c>
      <c r="V40" s="161">
        <f t="shared" si="46"/>
        <v>5414.8570069930065</v>
      </c>
      <c r="W40" s="161">
        <f t="shared" si="46"/>
        <v>739.74299999999994</v>
      </c>
      <c r="X40" s="161">
        <f t="shared" si="46"/>
        <v>905</v>
      </c>
      <c r="Y40" s="161">
        <f t="shared" si="46"/>
        <v>865</v>
      </c>
      <c r="Z40" s="161">
        <f t="shared" si="46"/>
        <v>3091</v>
      </c>
      <c r="AA40" s="161">
        <f t="shared" si="46"/>
        <v>1163</v>
      </c>
      <c r="AB40" s="161">
        <f t="shared" si="46"/>
        <v>1163</v>
      </c>
      <c r="AC40" s="161">
        <f t="shared" si="46"/>
        <v>749</v>
      </c>
      <c r="AD40" s="161">
        <f t="shared" si="46"/>
        <v>1068</v>
      </c>
      <c r="AE40" s="161">
        <f t="shared" si="46"/>
        <v>5573</v>
      </c>
      <c r="AF40" s="161">
        <f t="shared" si="46"/>
        <v>2218</v>
      </c>
      <c r="AG40" s="161">
        <f t="shared" si="46"/>
        <v>2775</v>
      </c>
      <c r="AH40" s="161">
        <f t="shared" si="46"/>
        <v>578</v>
      </c>
      <c r="AI40" s="161">
        <f t="shared" si="46"/>
        <v>1108</v>
      </c>
      <c r="AJ40" s="161">
        <f t="shared" si="46"/>
        <v>3252</v>
      </c>
      <c r="AK40" s="161">
        <f t="shared" si="46"/>
        <v>638</v>
      </c>
      <c r="AL40" s="161">
        <f t="shared" si="46"/>
        <v>1158</v>
      </c>
      <c r="AM40" s="161">
        <f t="shared" si="46"/>
        <v>726</v>
      </c>
      <c r="AN40" s="161">
        <f t="shared" si="46"/>
        <v>599</v>
      </c>
      <c r="AO40" s="161">
        <f t="shared" si="46"/>
        <v>659</v>
      </c>
      <c r="AP40" s="161">
        <f t="shared" si="46"/>
        <v>738</v>
      </c>
      <c r="AQ40" s="161">
        <f t="shared" si="46"/>
        <v>1603</v>
      </c>
      <c r="AR40" s="161">
        <f t="shared" si="46"/>
        <v>713</v>
      </c>
      <c r="AS40" s="161">
        <f t="shared" si="46"/>
        <v>708</v>
      </c>
      <c r="AT40" s="161">
        <f t="shared" si="46"/>
        <v>868</v>
      </c>
      <c r="AU40" s="161">
        <f t="shared" si="46"/>
        <v>648</v>
      </c>
      <c r="AV40" s="161">
        <f t="shared" si="46"/>
        <v>553</v>
      </c>
      <c r="AW40" s="161">
        <f t="shared" si="46"/>
        <v>798</v>
      </c>
      <c r="AX40" s="161">
        <f t="shared" si="46"/>
        <v>16088</v>
      </c>
      <c r="AY40" s="161">
        <f t="shared" si="46"/>
        <v>2422.233896185116</v>
      </c>
      <c r="AZ40" s="161">
        <f t="shared" si="46"/>
        <v>1552.4702939337085</v>
      </c>
      <c r="BA40" s="161">
        <f t="shared" si="46"/>
        <v>1062.0806754221387</v>
      </c>
      <c r="BB40" s="161">
        <f t="shared" si="46"/>
        <v>742.8811757348343</v>
      </c>
      <c r="BC40" s="161">
        <f t="shared" si="46"/>
        <v>2338.1532207629771</v>
      </c>
      <c r="BD40" s="161">
        <f t="shared" si="46"/>
        <v>2251.1988742964354</v>
      </c>
      <c r="BE40" s="161">
        <f t="shared" si="46"/>
        <v>948</v>
      </c>
      <c r="BF40" s="161">
        <f t="shared" si="46"/>
        <v>928</v>
      </c>
      <c r="BG40" s="161">
        <f t="shared" si="46"/>
        <v>611</v>
      </c>
      <c r="BH40" s="161">
        <f t="shared" si="46"/>
        <v>858</v>
      </c>
      <c r="BI40" s="161">
        <f t="shared" si="46"/>
        <v>-50</v>
      </c>
      <c r="BJ40" s="161">
        <f t="shared" si="46"/>
        <v>2043</v>
      </c>
      <c r="BK40" s="161">
        <f t="shared" si="46"/>
        <v>1705</v>
      </c>
      <c r="BL40" s="161">
        <f t="shared" si="46"/>
        <v>773</v>
      </c>
      <c r="BM40" s="161">
        <f t="shared" si="46"/>
        <v>553</v>
      </c>
      <c r="BN40" s="161">
        <f t="shared" si="46"/>
        <v>1231</v>
      </c>
      <c r="BO40" s="161">
        <f t="shared" si="46"/>
        <v>1713</v>
      </c>
      <c r="BP40" s="161">
        <f t="shared" si="46"/>
        <v>973</v>
      </c>
      <c r="BQ40" s="161">
        <f t="shared" si="46"/>
        <v>1243</v>
      </c>
      <c r="BR40" s="161">
        <f t="shared" si="46"/>
        <v>693</v>
      </c>
      <c r="BS40" s="161">
        <f t="shared" si="46"/>
        <v>563</v>
      </c>
      <c r="BT40" s="161">
        <f t="shared" si="46"/>
        <v>1238</v>
      </c>
      <c r="BU40" s="161">
        <f t="shared" si="46"/>
        <v>806</v>
      </c>
      <c r="BV40" s="161">
        <f t="shared" si="46"/>
        <v>578</v>
      </c>
      <c r="BW40" s="161">
        <f t="shared" si="46"/>
        <v>513</v>
      </c>
      <c r="BX40" s="161">
        <f t="shared" si="46"/>
        <v>-217</v>
      </c>
      <c r="BY40" s="161">
        <f t="shared" si="46"/>
        <v>1445</v>
      </c>
      <c r="BZ40" s="161">
        <f t="shared" si="46"/>
        <v>1533</v>
      </c>
      <c r="CA40" s="161">
        <f t="shared" si="46"/>
        <v>958</v>
      </c>
      <c r="CB40" s="161">
        <f t="shared" si="46"/>
        <v>833</v>
      </c>
      <c r="CC40" s="161">
        <f t="shared" si="46"/>
        <v>12588</v>
      </c>
      <c r="CD40" s="161">
        <f t="shared" si="46"/>
        <v>3908</v>
      </c>
      <c r="CE40" s="161">
        <f t="shared" si="46"/>
        <v>1733</v>
      </c>
      <c r="CF40" s="161">
        <f t="shared" ref="CF40:CZ40" ca="1" si="47">SUM(CF34:CF39)</f>
        <v>2278</v>
      </c>
      <c r="CG40" s="161">
        <f t="shared" si="47"/>
        <v>693</v>
      </c>
      <c r="CH40" s="161">
        <f t="shared" si="47"/>
        <v>1343</v>
      </c>
      <c r="CI40" s="161">
        <f t="shared" si="47"/>
        <v>723</v>
      </c>
      <c r="CJ40" s="161">
        <f t="shared" si="47"/>
        <v>3623</v>
      </c>
      <c r="CK40" s="161">
        <f t="shared" si="47"/>
        <v>2852</v>
      </c>
      <c r="CL40" s="161">
        <f t="shared" si="47"/>
        <v>2113</v>
      </c>
      <c r="CM40" s="161">
        <f t="shared" si="47"/>
        <v>2671</v>
      </c>
      <c r="CN40" s="161">
        <f t="shared" si="47"/>
        <v>2705</v>
      </c>
      <c r="CO40" s="161">
        <f t="shared" si="47"/>
        <v>98820</v>
      </c>
      <c r="CP40" s="161">
        <f t="shared" si="47"/>
        <v>0</v>
      </c>
      <c r="CQ40" s="161">
        <f t="shared" si="47"/>
        <v>0</v>
      </c>
      <c r="CR40" s="161">
        <f t="shared" si="47"/>
        <v>0</v>
      </c>
      <c r="CS40" s="161">
        <f t="shared" si="47"/>
        <v>0</v>
      </c>
      <c r="CT40" s="161">
        <f t="shared" si="47"/>
        <v>0</v>
      </c>
      <c r="CU40" s="161">
        <f t="shared" si="47"/>
        <v>0</v>
      </c>
      <c r="CV40" s="161">
        <f t="shared" si="47"/>
        <v>0</v>
      </c>
      <c r="CW40" s="161">
        <f t="shared" si="47"/>
        <v>0</v>
      </c>
      <c r="CX40" s="161">
        <f t="shared" si="47"/>
        <v>0</v>
      </c>
      <c r="CY40" s="161">
        <f t="shared" si="47"/>
        <v>0</v>
      </c>
      <c r="CZ40" s="161">
        <f t="shared" si="47"/>
        <v>0</v>
      </c>
      <c r="DA40" s="284">
        <f>SUM(DA35:DA39)</f>
        <v>0</v>
      </c>
      <c r="DB40" s="285">
        <f>SUM(DB35:DB39)</f>
        <v>0</v>
      </c>
      <c r="DC40" s="29">
        <f t="shared" ca="1" si="29"/>
        <v>326116.79914332821</v>
      </c>
      <c r="DD40" s="6">
        <f ca="1">DC40/cashVIII!O22</f>
        <v>12923.572718178357</v>
      </c>
      <c r="EI40" s="9" t="s">
        <v>14</v>
      </c>
      <c r="EJ40" s="161">
        <f ca="1">SUM((INDIRECT(EJ$9&amp;ROW()):(INDIRECT(EJ$10&amp;ROW()))))</f>
        <v>92724</v>
      </c>
      <c r="EK40" s="161">
        <f ca="1">SUM((INDIRECT(EK$9&amp;ROW()):(INDIRECT(EK$10&amp;ROW()))))</f>
        <v>48413.781006993006</v>
      </c>
      <c r="EL40" s="161">
        <f ca="1">SUM((INDIRECT(EL$9&amp;ROW()):(INDIRECT(EL$10&amp;ROW()))))</f>
        <v>48929.018136335202</v>
      </c>
      <c r="EM40" s="161">
        <f ca="1">SUM((INDIRECT(EM$9&amp;ROW()):(INDIRECT(EM$10&amp;ROW()))))</f>
        <v>136050</v>
      </c>
      <c r="EN40" s="161" t="e">
        <f ca="1">SUM((INDIRECT(EN$9&amp;ROW()):(INDIRECT(EN$10&amp;ROW()))))</f>
        <v>#REF!</v>
      </c>
      <c r="EO40" s="161" t="e">
        <f ca="1">SUM((INDIRECT(EO$9&amp;ROW()):(INDIRECT(EO$10&amp;ROW()))))</f>
        <v>#REF!</v>
      </c>
      <c r="EP40" s="161" t="e">
        <f ca="1">SUM((INDIRECT(EP$9&amp;ROW()):(INDIRECT(EP$10&amp;ROW()))))</f>
        <v>#REF!</v>
      </c>
      <c r="EQ40" s="161" t="e">
        <f ca="1">SUM((INDIRECT(EQ$9&amp;ROW()):(INDIRECT(EQ$10&amp;ROW()))))</f>
        <v>#REF!</v>
      </c>
    </row>
    <row r="41" spans="1:147">
      <c r="A41" s="9" t="s">
        <v>96</v>
      </c>
      <c r="C41" s="9"/>
      <c r="E41" s="233">
        <f>E40-E31</f>
        <v>0</v>
      </c>
      <c r="F41" s="233">
        <f t="shared" ref="F41:AF41" si="48">F40-F31</f>
        <v>0</v>
      </c>
      <c r="G41" s="233">
        <f t="shared" si="48"/>
        <v>0</v>
      </c>
      <c r="H41" s="233">
        <f t="shared" si="48"/>
        <v>0</v>
      </c>
      <c r="I41" s="233">
        <f t="shared" si="48"/>
        <v>0</v>
      </c>
      <c r="J41" s="233">
        <f t="shared" si="48"/>
        <v>0</v>
      </c>
      <c r="K41" s="233">
        <f t="shared" si="48"/>
        <v>0</v>
      </c>
      <c r="L41" s="233">
        <f t="shared" si="48"/>
        <v>0</v>
      </c>
      <c r="M41" s="233">
        <f t="shared" si="48"/>
        <v>0</v>
      </c>
      <c r="N41" s="233">
        <f t="shared" si="48"/>
        <v>0</v>
      </c>
      <c r="O41" s="233">
        <f t="shared" si="48"/>
        <v>0</v>
      </c>
      <c r="P41" s="233">
        <f t="shared" si="48"/>
        <v>0</v>
      </c>
      <c r="Q41" s="233">
        <f t="shared" si="48"/>
        <v>0</v>
      </c>
      <c r="R41" s="233">
        <f t="shared" si="48"/>
        <v>0</v>
      </c>
      <c r="S41" s="233">
        <f t="shared" si="48"/>
        <v>0</v>
      </c>
      <c r="T41" s="233">
        <f t="shared" si="48"/>
        <v>0</v>
      </c>
      <c r="U41" s="233">
        <f t="shared" si="48"/>
        <v>0</v>
      </c>
      <c r="V41" s="233">
        <f t="shared" si="48"/>
        <v>0</v>
      </c>
      <c r="W41" s="233">
        <f t="shared" si="48"/>
        <v>0</v>
      </c>
      <c r="X41" s="233">
        <f t="shared" si="48"/>
        <v>0</v>
      </c>
      <c r="Y41" s="233">
        <f t="shared" si="48"/>
        <v>0</v>
      </c>
      <c r="Z41" s="233">
        <f t="shared" si="48"/>
        <v>0</v>
      </c>
      <c r="AA41" s="233">
        <f t="shared" si="48"/>
        <v>0</v>
      </c>
      <c r="AB41" s="233">
        <f t="shared" si="48"/>
        <v>0</v>
      </c>
      <c r="AC41" s="233">
        <f t="shared" si="48"/>
        <v>0</v>
      </c>
      <c r="AD41" s="233">
        <f t="shared" si="48"/>
        <v>0</v>
      </c>
      <c r="AE41" s="233">
        <f t="shared" si="48"/>
        <v>0</v>
      </c>
      <c r="AF41" s="233">
        <f t="shared" si="48"/>
        <v>0</v>
      </c>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DD41" s="14"/>
      <c r="EI41" s="9" t="s">
        <v>96</v>
      </c>
    </row>
    <row r="42" spans="1:147">
      <c r="A42" s="9"/>
      <c r="C42" s="9"/>
      <c r="F42" s="4"/>
      <c r="G42" s="4"/>
      <c r="H42" s="4"/>
      <c r="I42" s="4"/>
      <c r="J42" s="4"/>
      <c r="K42" s="4"/>
      <c r="L42" s="4"/>
      <c r="M42" s="4"/>
      <c r="N42" s="4"/>
      <c r="O42" s="4"/>
      <c r="P42" s="4"/>
      <c r="Q42" s="4"/>
      <c r="R42" s="4"/>
      <c r="S42" s="4"/>
      <c r="T42" s="4"/>
      <c r="U42" s="4"/>
      <c r="V42" s="4"/>
      <c r="W42" s="4"/>
      <c r="X42" s="4"/>
      <c r="DD42" s="14"/>
      <c r="EI42" s="9">
        <v>0</v>
      </c>
    </row>
    <row r="43" spans="1:147" outlineLevel="1">
      <c r="A43" s="9"/>
      <c r="C43" s="9"/>
      <c r="F43" s="2" t="str">
        <f t="shared" ref="F43:BC43" si="49">F$8</f>
        <v>Ven</v>
      </c>
      <c r="G43" s="2" t="str">
        <f t="shared" si="49"/>
        <v>Sam</v>
      </c>
      <c r="H43" s="2" t="str">
        <f t="shared" si="49"/>
        <v>Dim</v>
      </c>
      <c r="I43" s="2" t="str">
        <f t="shared" si="49"/>
        <v>Lundi</v>
      </c>
      <c r="J43" s="2" t="str">
        <f t="shared" si="49"/>
        <v>mardi</v>
      </c>
      <c r="K43" s="2" t="str">
        <f t="shared" si="49"/>
        <v>Mer</v>
      </c>
      <c r="L43" s="2" t="str">
        <f t="shared" si="49"/>
        <v>Jeu</v>
      </c>
      <c r="M43" s="2" t="str">
        <f t="shared" si="49"/>
        <v>Ven</v>
      </c>
      <c r="N43" s="2" t="str">
        <f t="shared" si="49"/>
        <v>Sam</v>
      </c>
      <c r="O43" s="2" t="str">
        <f t="shared" si="49"/>
        <v>Dim</v>
      </c>
      <c r="P43" s="2" t="str">
        <f t="shared" si="49"/>
        <v>Lundi</v>
      </c>
      <c r="Q43" s="2" t="str">
        <f t="shared" si="49"/>
        <v>mardi</v>
      </c>
      <c r="R43" s="2" t="str">
        <f t="shared" si="49"/>
        <v>Mer</v>
      </c>
      <c r="S43" s="2" t="str">
        <f t="shared" si="49"/>
        <v>Jeu</v>
      </c>
      <c r="T43" s="2" t="str">
        <f t="shared" si="49"/>
        <v>Ven</v>
      </c>
      <c r="U43" s="2" t="str">
        <f t="shared" si="49"/>
        <v>Sam</v>
      </c>
      <c r="V43" s="2" t="str">
        <f t="shared" si="49"/>
        <v>Dim</v>
      </c>
      <c r="W43" s="2" t="str">
        <f t="shared" si="49"/>
        <v>Lundi</v>
      </c>
      <c r="X43" s="2" t="str">
        <f t="shared" si="49"/>
        <v>mardi</v>
      </c>
      <c r="Y43" s="2" t="str">
        <f t="shared" si="49"/>
        <v>Mer</v>
      </c>
      <c r="Z43" s="2" t="str">
        <f t="shared" si="49"/>
        <v>Jeu</v>
      </c>
      <c r="AA43" s="2" t="str">
        <f t="shared" si="49"/>
        <v>Ven</v>
      </c>
      <c r="AB43" s="2" t="str">
        <f t="shared" si="49"/>
        <v>Sam</v>
      </c>
      <c r="AC43" s="2" t="str">
        <f t="shared" si="49"/>
        <v>Dim</v>
      </c>
      <c r="AD43" s="2" t="str">
        <f t="shared" si="49"/>
        <v>Lundi</v>
      </c>
      <c r="AE43" s="2" t="str">
        <f t="shared" si="49"/>
        <v>mardi</v>
      </c>
      <c r="AF43" s="2" t="str">
        <f t="shared" si="49"/>
        <v>Mer</v>
      </c>
      <c r="AG43" s="2" t="str">
        <f t="shared" si="49"/>
        <v>Jeu</v>
      </c>
      <c r="AH43" s="2" t="str">
        <f t="shared" si="49"/>
        <v>Ven</v>
      </c>
      <c r="AI43" s="2" t="str">
        <f t="shared" si="49"/>
        <v>Sam</v>
      </c>
      <c r="AJ43" s="2" t="str">
        <f t="shared" si="49"/>
        <v>Dim</v>
      </c>
      <c r="AK43" s="2" t="str">
        <f t="shared" si="49"/>
        <v>Lundi</v>
      </c>
      <c r="AL43" s="2" t="str">
        <f t="shared" si="49"/>
        <v>mardi</v>
      </c>
      <c r="AM43" s="2" t="str">
        <f t="shared" si="49"/>
        <v>Mer</v>
      </c>
      <c r="AN43" s="2" t="str">
        <f t="shared" si="49"/>
        <v>Jeu</v>
      </c>
      <c r="AO43" s="2" t="str">
        <f t="shared" si="49"/>
        <v>Ven</v>
      </c>
      <c r="AP43" s="2" t="str">
        <f t="shared" si="49"/>
        <v>Sam</v>
      </c>
      <c r="AQ43" s="2" t="str">
        <f t="shared" si="49"/>
        <v>Dim</v>
      </c>
      <c r="AR43" s="2" t="str">
        <f t="shared" si="49"/>
        <v>Lundi</v>
      </c>
      <c r="AS43" s="2" t="str">
        <f t="shared" si="49"/>
        <v>mardi</v>
      </c>
      <c r="AT43" s="2" t="str">
        <f t="shared" si="49"/>
        <v>Mer</v>
      </c>
      <c r="AU43" s="2" t="str">
        <f t="shared" si="49"/>
        <v>Jeu</v>
      </c>
      <c r="AV43" s="2" t="str">
        <f t="shared" si="49"/>
        <v>Ven</v>
      </c>
      <c r="AW43" s="2" t="str">
        <f t="shared" si="49"/>
        <v>Sam</v>
      </c>
      <c r="AX43" s="2" t="str">
        <f t="shared" si="49"/>
        <v>Dim</v>
      </c>
      <c r="AY43" s="2" t="str">
        <f t="shared" si="49"/>
        <v>Lundi</v>
      </c>
      <c r="AZ43" s="2" t="str">
        <f t="shared" si="49"/>
        <v>mardi</v>
      </c>
      <c r="BA43" s="2" t="str">
        <f t="shared" si="49"/>
        <v>Mer</v>
      </c>
      <c r="BB43" s="2" t="str">
        <f t="shared" si="49"/>
        <v>Jeu</v>
      </c>
      <c r="BC43" s="2" t="str">
        <f t="shared" si="49"/>
        <v>Ven</v>
      </c>
      <c r="DC43" s="4" t="s">
        <v>9</v>
      </c>
      <c r="DD43" s="14"/>
      <c r="EI43" s="9">
        <v>0</v>
      </c>
    </row>
    <row r="44" spans="1:147" outlineLevel="1">
      <c r="C44" s="9"/>
      <c r="E44" s="39"/>
      <c r="F44" s="39">
        <f t="shared" ref="F44:BC44" si="50">F$9</f>
        <v>44638</v>
      </c>
      <c r="G44" s="39">
        <f t="shared" si="50"/>
        <v>44639</v>
      </c>
      <c r="H44" s="39">
        <f t="shared" si="50"/>
        <v>44640</v>
      </c>
      <c r="I44" s="39">
        <f t="shared" si="50"/>
        <v>44641</v>
      </c>
      <c r="J44" s="39">
        <f t="shared" si="50"/>
        <v>44642</v>
      </c>
      <c r="K44" s="39">
        <f t="shared" si="50"/>
        <v>44643</v>
      </c>
      <c r="L44" s="39">
        <f t="shared" si="50"/>
        <v>44644</v>
      </c>
      <c r="M44" s="39">
        <f t="shared" si="50"/>
        <v>44645</v>
      </c>
      <c r="N44" s="39">
        <f t="shared" si="50"/>
        <v>44646</v>
      </c>
      <c r="O44" s="39">
        <f t="shared" si="50"/>
        <v>44647</v>
      </c>
      <c r="P44" s="39">
        <f t="shared" si="50"/>
        <v>44648</v>
      </c>
      <c r="Q44" s="39">
        <f t="shared" si="50"/>
        <v>44649</v>
      </c>
      <c r="R44" s="39">
        <f t="shared" si="50"/>
        <v>44650</v>
      </c>
      <c r="S44" s="39">
        <f t="shared" si="50"/>
        <v>44651</v>
      </c>
      <c r="T44" s="39">
        <f t="shared" si="50"/>
        <v>44652</v>
      </c>
      <c r="U44" s="39">
        <f t="shared" si="50"/>
        <v>44653</v>
      </c>
      <c r="V44" s="39">
        <f t="shared" si="50"/>
        <v>44654</v>
      </c>
      <c r="W44" s="39">
        <f t="shared" si="50"/>
        <v>44655</v>
      </c>
      <c r="X44" s="39">
        <f t="shared" si="50"/>
        <v>44656</v>
      </c>
      <c r="Y44" s="39">
        <f t="shared" si="50"/>
        <v>44657</v>
      </c>
      <c r="Z44" s="39">
        <f t="shared" si="50"/>
        <v>44658</v>
      </c>
      <c r="AA44" s="39">
        <f t="shared" si="50"/>
        <v>44659</v>
      </c>
      <c r="AB44" s="39">
        <f t="shared" si="50"/>
        <v>44660</v>
      </c>
      <c r="AC44" s="39">
        <f t="shared" si="50"/>
        <v>44661</v>
      </c>
      <c r="AD44" s="39">
        <f t="shared" si="50"/>
        <v>44662</v>
      </c>
      <c r="AE44" s="39">
        <f t="shared" si="50"/>
        <v>44663</v>
      </c>
      <c r="AF44" s="39">
        <f t="shared" si="50"/>
        <v>44664</v>
      </c>
      <c r="AG44" s="39">
        <f t="shared" si="50"/>
        <v>44665</v>
      </c>
      <c r="AH44" s="39">
        <f t="shared" si="50"/>
        <v>44666</v>
      </c>
      <c r="AI44" s="39">
        <f t="shared" si="50"/>
        <v>44667</v>
      </c>
      <c r="AJ44" s="39">
        <f t="shared" si="50"/>
        <v>44668</v>
      </c>
      <c r="AK44" s="39">
        <f t="shared" si="50"/>
        <v>44669</v>
      </c>
      <c r="AL44" s="39">
        <f t="shared" si="50"/>
        <v>44670</v>
      </c>
      <c r="AM44" s="39">
        <f t="shared" si="50"/>
        <v>44671</v>
      </c>
      <c r="AN44" s="39">
        <f t="shared" si="50"/>
        <v>44672</v>
      </c>
      <c r="AO44" s="39">
        <f t="shared" si="50"/>
        <v>44673</v>
      </c>
      <c r="AP44" s="39">
        <f t="shared" si="50"/>
        <v>44674</v>
      </c>
      <c r="AQ44" s="39">
        <f t="shared" si="50"/>
        <v>44675</v>
      </c>
      <c r="AR44" s="39">
        <f t="shared" si="50"/>
        <v>44676</v>
      </c>
      <c r="AS44" s="39">
        <f t="shared" si="50"/>
        <v>44677</v>
      </c>
      <c r="AT44" s="39">
        <f t="shared" si="50"/>
        <v>44678</v>
      </c>
      <c r="AU44" s="39">
        <f t="shared" si="50"/>
        <v>44679</v>
      </c>
      <c r="AV44" s="39">
        <f t="shared" si="50"/>
        <v>44680</v>
      </c>
      <c r="AW44" s="39">
        <f t="shared" si="50"/>
        <v>44681</v>
      </c>
      <c r="AX44" s="39">
        <f t="shared" si="50"/>
        <v>44682</v>
      </c>
      <c r="AY44" s="39">
        <f t="shared" si="50"/>
        <v>44683</v>
      </c>
      <c r="AZ44" s="39">
        <f t="shared" si="50"/>
        <v>44684</v>
      </c>
      <c r="BA44" s="39">
        <f t="shared" si="50"/>
        <v>44685</v>
      </c>
      <c r="BB44" s="39">
        <f t="shared" si="50"/>
        <v>44686</v>
      </c>
      <c r="BC44" s="39">
        <f t="shared" si="50"/>
        <v>44687</v>
      </c>
      <c r="BD44" s="2" t="str">
        <f t="shared" ref="BD44:DB44" si="51">BD$8</f>
        <v>Sam</v>
      </c>
      <c r="BE44" s="2" t="str">
        <f t="shared" si="51"/>
        <v>Dim</v>
      </c>
      <c r="BF44" s="2" t="str">
        <f t="shared" si="51"/>
        <v>Lundi</v>
      </c>
      <c r="BG44" s="2" t="str">
        <f t="shared" si="51"/>
        <v>mardi</v>
      </c>
      <c r="BH44" s="2" t="str">
        <f t="shared" si="51"/>
        <v>Mer</v>
      </c>
      <c r="BI44" s="2" t="str">
        <f t="shared" si="51"/>
        <v>Jeu</v>
      </c>
      <c r="BJ44" s="2" t="str">
        <f t="shared" si="51"/>
        <v>Ven</v>
      </c>
      <c r="BK44" s="2" t="str">
        <f t="shared" si="51"/>
        <v>Sam</v>
      </c>
      <c r="BL44" s="2" t="str">
        <f t="shared" si="51"/>
        <v>Dim</v>
      </c>
      <c r="BM44" s="2" t="str">
        <f t="shared" si="51"/>
        <v>Lundi</v>
      </c>
      <c r="BN44" s="2" t="str">
        <f t="shared" si="51"/>
        <v>mardi</v>
      </c>
      <c r="BO44" s="2" t="str">
        <f t="shared" si="51"/>
        <v>Mer</v>
      </c>
      <c r="BP44" s="2" t="str">
        <f t="shared" si="51"/>
        <v>Jeu</v>
      </c>
      <c r="BQ44" s="2" t="str">
        <f t="shared" si="51"/>
        <v>Ven</v>
      </c>
      <c r="BR44" s="2" t="str">
        <f t="shared" si="51"/>
        <v>Sam</v>
      </c>
      <c r="BS44" s="2" t="str">
        <f t="shared" si="51"/>
        <v>Dim</v>
      </c>
      <c r="BT44" s="2" t="str">
        <f t="shared" si="51"/>
        <v>Lundi</v>
      </c>
      <c r="BU44" s="2" t="str">
        <f t="shared" si="51"/>
        <v>mardi</v>
      </c>
      <c r="BV44" s="2" t="str">
        <f t="shared" si="51"/>
        <v>Mer</v>
      </c>
      <c r="BW44" s="2" t="str">
        <f t="shared" si="51"/>
        <v>Jeu</v>
      </c>
      <c r="BX44" s="2" t="str">
        <f t="shared" si="51"/>
        <v>Ven</v>
      </c>
      <c r="BY44" s="2" t="str">
        <f t="shared" si="51"/>
        <v>Sam</v>
      </c>
      <c r="BZ44" s="2" t="str">
        <f t="shared" si="51"/>
        <v>Dim</v>
      </c>
      <c r="CA44" s="2" t="str">
        <f t="shared" si="51"/>
        <v>Lundi</v>
      </c>
      <c r="CB44" s="2" t="str">
        <f t="shared" si="51"/>
        <v>mardi</v>
      </c>
      <c r="CC44" s="2" t="str">
        <f t="shared" si="51"/>
        <v>Mer</v>
      </c>
      <c r="CD44" s="2" t="str">
        <f t="shared" si="51"/>
        <v>Jeu</v>
      </c>
      <c r="CE44" s="2" t="str">
        <f t="shared" si="51"/>
        <v>Ven</v>
      </c>
      <c r="CF44" s="2" t="str">
        <f t="shared" si="51"/>
        <v>Sam</v>
      </c>
      <c r="CG44" s="2" t="str">
        <f t="shared" si="51"/>
        <v>Dim</v>
      </c>
      <c r="CH44" s="2" t="str">
        <f t="shared" si="51"/>
        <v>Lundi</v>
      </c>
      <c r="CI44" s="2" t="str">
        <f t="shared" si="51"/>
        <v>mardi</v>
      </c>
      <c r="CJ44" s="2" t="str">
        <f t="shared" si="51"/>
        <v>Mer</v>
      </c>
      <c r="CK44" s="2" t="str">
        <f t="shared" si="51"/>
        <v>Jeu</v>
      </c>
      <c r="CL44" s="2" t="str">
        <f t="shared" si="51"/>
        <v>Ven</v>
      </c>
      <c r="CM44" s="2" t="str">
        <f t="shared" si="51"/>
        <v>Sam</v>
      </c>
      <c r="CN44" s="2" t="str">
        <f t="shared" si="51"/>
        <v>Dim</v>
      </c>
      <c r="CO44" s="2" t="str">
        <f t="shared" si="51"/>
        <v>Lundi</v>
      </c>
      <c r="CP44" s="2" t="str">
        <f t="shared" si="51"/>
        <v>mardi</v>
      </c>
      <c r="CQ44" s="2" t="str">
        <f t="shared" si="51"/>
        <v>Mer</v>
      </c>
      <c r="CR44" s="2" t="str">
        <f t="shared" si="51"/>
        <v>Jeu</v>
      </c>
      <c r="CS44" s="2" t="str">
        <f t="shared" si="51"/>
        <v>Ven</v>
      </c>
      <c r="CT44" s="2" t="str">
        <f t="shared" si="51"/>
        <v>Sam</v>
      </c>
      <c r="CU44" s="2" t="str">
        <f t="shared" si="51"/>
        <v>Dim</v>
      </c>
      <c r="CV44" s="2" t="str">
        <f t="shared" si="51"/>
        <v>Lundi</v>
      </c>
      <c r="CW44" s="2" t="str">
        <f t="shared" si="51"/>
        <v>mardi</v>
      </c>
      <c r="CX44" s="2" t="str">
        <f t="shared" si="51"/>
        <v>Mer</v>
      </c>
      <c r="CY44" s="2" t="str">
        <f t="shared" si="51"/>
        <v>Jeu</v>
      </c>
      <c r="CZ44" s="2" t="str">
        <f t="shared" si="51"/>
        <v>Ven</v>
      </c>
      <c r="DA44" s="11" t="str">
        <f t="shared" si="51"/>
        <v>Ven</v>
      </c>
      <c r="DB44" s="177">
        <f t="shared" si="51"/>
        <v>0</v>
      </c>
      <c r="DD44" s="14"/>
      <c r="EI44" s="9">
        <v>0</v>
      </c>
    </row>
    <row r="45" spans="1:147" outlineLevel="1">
      <c r="F45" s="2" t="str">
        <f t="shared" ref="F45:AK45" si="52">F$10</f>
        <v>Hanoi</v>
      </c>
      <c r="G45" s="2" t="str">
        <f t="shared" si="52"/>
        <v>Hanoi</v>
      </c>
      <c r="H45" s="2" t="str">
        <f t="shared" si="52"/>
        <v>Hanoi</v>
      </c>
      <c r="I45" s="2" t="str">
        <f t="shared" si="52"/>
        <v>Hanoi</v>
      </c>
      <c r="J45" s="2" t="str">
        <f t="shared" si="52"/>
        <v>Hanoi</v>
      </c>
      <c r="K45" s="2" t="str">
        <f t="shared" si="52"/>
        <v>Hanoi</v>
      </c>
      <c r="L45" s="2" t="str">
        <f t="shared" si="52"/>
        <v>Hanoi</v>
      </c>
      <c r="M45" s="2" t="str">
        <f t="shared" si="52"/>
        <v>Hanoi</v>
      </c>
      <c r="N45" s="2" t="str">
        <f t="shared" si="52"/>
        <v>Hanoi</v>
      </c>
      <c r="O45" s="2" t="str">
        <f t="shared" si="52"/>
        <v>Hanoi</v>
      </c>
      <c r="P45" s="2" t="str">
        <f t="shared" si="52"/>
        <v>Hanoi</v>
      </c>
      <c r="Q45" s="2" t="str">
        <f t="shared" si="52"/>
        <v>Hanoi</v>
      </c>
      <c r="R45" s="2" t="str">
        <f t="shared" si="52"/>
        <v>Hanoi</v>
      </c>
      <c r="S45" s="2" t="str">
        <f t="shared" si="52"/>
        <v>Hanoi</v>
      </c>
      <c r="T45" s="2" t="str">
        <f t="shared" si="52"/>
        <v>Singapore</v>
      </c>
      <c r="U45" s="2" t="str">
        <f t="shared" si="52"/>
        <v>Singapore</v>
      </c>
      <c r="V45" s="2" t="str">
        <f t="shared" si="52"/>
        <v>Singapore</v>
      </c>
      <c r="W45" s="2" t="str">
        <f t="shared" si="52"/>
        <v>Hanoi</v>
      </c>
      <c r="X45" s="2" t="str">
        <f t="shared" si="52"/>
        <v>Hanoi</v>
      </c>
      <c r="Y45" s="2" t="str">
        <f t="shared" si="52"/>
        <v>Hanoi</v>
      </c>
      <c r="Z45" s="2" t="str">
        <f t="shared" si="52"/>
        <v>Thai Nguyen</v>
      </c>
      <c r="AA45" s="2" t="str">
        <f t="shared" si="52"/>
        <v>Hanoi</v>
      </c>
      <c r="AB45" s="2" t="str">
        <f t="shared" si="52"/>
        <v>Hanoi</v>
      </c>
      <c r="AC45" s="2" t="str">
        <f t="shared" si="52"/>
        <v>Hanoi</v>
      </c>
      <c r="AD45" s="2" t="str">
        <f t="shared" si="52"/>
        <v>Hanoi</v>
      </c>
      <c r="AE45" s="2" t="str">
        <f t="shared" si="52"/>
        <v>Da nang</v>
      </c>
      <c r="AF45" s="2" t="str">
        <f t="shared" si="52"/>
        <v>Da nang</v>
      </c>
      <c r="AG45" s="2" t="str">
        <f t="shared" si="52"/>
        <v>Da nang</v>
      </c>
      <c r="AH45" s="2" t="str">
        <f t="shared" si="52"/>
        <v>Hanoi</v>
      </c>
      <c r="AI45" s="2" t="str">
        <f t="shared" si="52"/>
        <v>Hanoi</v>
      </c>
      <c r="AJ45" s="2" t="str">
        <f t="shared" si="52"/>
        <v>Hai Phong</v>
      </c>
      <c r="AK45" s="2" t="str">
        <f t="shared" si="52"/>
        <v>Hanoi</v>
      </c>
      <c r="AL45" s="2" t="str">
        <f>AL$10</f>
        <v>Hanoi</v>
      </c>
      <c r="AM45" s="2" t="str">
        <f t="shared" ref="AM45:BC45" si="53">AM$10</f>
        <v>Hanoi</v>
      </c>
      <c r="AN45" s="2" t="str">
        <f t="shared" si="53"/>
        <v>Hanoi</v>
      </c>
      <c r="AO45" s="2" t="str">
        <f t="shared" si="53"/>
        <v>Hanoi</v>
      </c>
      <c r="AP45" s="2" t="str">
        <f t="shared" si="53"/>
        <v>Hanoi</v>
      </c>
      <c r="AQ45" s="2" t="str">
        <f t="shared" si="53"/>
        <v>Hanoi</v>
      </c>
      <c r="AR45" s="2" t="str">
        <f t="shared" si="53"/>
        <v>Hanoi</v>
      </c>
      <c r="AS45" s="2" t="str">
        <f t="shared" si="53"/>
        <v>Hanoi</v>
      </c>
      <c r="AT45" s="2" t="str">
        <f t="shared" si="53"/>
        <v>Hanoi</v>
      </c>
      <c r="AU45" s="2" t="str">
        <f t="shared" si="53"/>
        <v>Hanoi</v>
      </c>
      <c r="AV45" s="2" t="str">
        <f t="shared" si="53"/>
        <v>Hanoi</v>
      </c>
      <c r="AW45" s="2" t="str">
        <f t="shared" si="53"/>
        <v>Hanoi</v>
      </c>
      <c r="AX45" s="2" t="str">
        <f t="shared" si="53"/>
        <v>Hanoi</v>
      </c>
      <c r="AY45" s="2" t="str">
        <f t="shared" si="53"/>
        <v>Thailand</v>
      </c>
      <c r="AZ45" s="2" t="str">
        <f t="shared" si="53"/>
        <v>Thailand</v>
      </c>
      <c r="BA45" s="2" t="str">
        <f t="shared" si="53"/>
        <v>Thailand</v>
      </c>
      <c r="BB45" s="2" t="str">
        <f t="shared" si="53"/>
        <v>Thailand</v>
      </c>
      <c r="BC45" s="2" t="str">
        <f t="shared" si="53"/>
        <v>Thailand</v>
      </c>
      <c r="BD45" s="39">
        <f t="shared" ref="BD45:DB45" si="54">BD$9</f>
        <v>44688</v>
      </c>
      <c r="BE45" s="39">
        <f t="shared" si="54"/>
        <v>44689</v>
      </c>
      <c r="BF45" s="39">
        <f t="shared" si="54"/>
        <v>44690</v>
      </c>
      <c r="BG45" s="39">
        <f t="shared" si="54"/>
        <v>44691</v>
      </c>
      <c r="BH45" s="39">
        <f t="shared" si="54"/>
        <v>44692</v>
      </c>
      <c r="BI45" s="39">
        <f t="shared" si="54"/>
        <v>44693</v>
      </c>
      <c r="BJ45" s="39">
        <f t="shared" si="54"/>
        <v>44694</v>
      </c>
      <c r="BK45" s="39">
        <f t="shared" si="54"/>
        <v>44695</v>
      </c>
      <c r="BL45" s="39">
        <f t="shared" si="54"/>
        <v>44696</v>
      </c>
      <c r="BM45" s="39">
        <f t="shared" si="54"/>
        <v>44697</v>
      </c>
      <c r="BN45" s="39">
        <f t="shared" si="54"/>
        <v>44698</v>
      </c>
      <c r="BO45" s="39">
        <f t="shared" si="54"/>
        <v>44699</v>
      </c>
      <c r="BP45" s="39">
        <f t="shared" si="54"/>
        <v>44700</v>
      </c>
      <c r="BQ45" s="39">
        <f t="shared" si="54"/>
        <v>44701</v>
      </c>
      <c r="BR45" s="39">
        <f t="shared" si="54"/>
        <v>44702</v>
      </c>
      <c r="BS45" s="39">
        <f t="shared" si="54"/>
        <v>44703</v>
      </c>
      <c r="BT45" s="39">
        <f t="shared" si="54"/>
        <v>44704</v>
      </c>
      <c r="BU45" s="39">
        <f t="shared" si="54"/>
        <v>44705</v>
      </c>
      <c r="BV45" s="39">
        <f t="shared" si="54"/>
        <v>44706</v>
      </c>
      <c r="BW45" s="39">
        <f t="shared" si="54"/>
        <v>44707</v>
      </c>
      <c r="BX45" s="39">
        <f t="shared" si="54"/>
        <v>44708</v>
      </c>
      <c r="BY45" s="39">
        <f t="shared" si="54"/>
        <v>44709</v>
      </c>
      <c r="BZ45" s="39">
        <f t="shared" si="54"/>
        <v>44710</v>
      </c>
      <c r="CA45" s="39">
        <f t="shared" si="54"/>
        <v>44711</v>
      </c>
      <c r="CB45" s="39">
        <f t="shared" si="54"/>
        <v>44712</v>
      </c>
      <c r="CC45" s="39">
        <f t="shared" si="54"/>
        <v>44713</v>
      </c>
      <c r="CD45" s="39">
        <f t="shared" si="54"/>
        <v>44714</v>
      </c>
      <c r="CE45" s="39">
        <f t="shared" si="54"/>
        <v>44715</v>
      </c>
      <c r="CF45" s="39">
        <f t="shared" si="54"/>
        <v>44716</v>
      </c>
      <c r="CG45" s="39">
        <f t="shared" si="54"/>
        <v>44717</v>
      </c>
      <c r="CH45" s="39">
        <f t="shared" si="54"/>
        <v>44718</v>
      </c>
      <c r="CI45" s="39">
        <f t="shared" si="54"/>
        <v>44719</v>
      </c>
      <c r="CJ45" s="39">
        <f t="shared" si="54"/>
        <v>44720</v>
      </c>
      <c r="CK45" s="39">
        <f t="shared" si="54"/>
        <v>44721</v>
      </c>
      <c r="CL45" s="39">
        <f t="shared" si="54"/>
        <v>44722</v>
      </c>
      <c r="CM45" s="39">
        <f t="shared" si="54"/>
        <v>44723</v>
      </c>
      <c r="CN45" s="39">
        <f t="shared" si="54"/>
        <v>44724</v>
      </c>
      <c r="CO45" s="39">
        <f t="shared" si="54"/>
        <v>44725</v>
      </c>
      <c r="CP45" s="39">
        <f t="shared" si="54"/>
        <v>44726</v>
      </c>
      <c r="CQ45" s="39">
        <f t="shared" si="54"/>
        <v>44727</v>
      </c>
      <c r="CR45" s="39">
        <f t="shared" si="54"/>
        <v>44728</v>
      </c>
      <c r="CS45" s="39">
        <f t="shared" si="54"/>
        <v>44729</v>
      </c>
      <c r="CT45" s="39">
        <f t="shared" si="54"/>
        <v>44730</v>
      </c>
      <c r="CU45" s="39">
        <f t="shared" si="54"/>
        <v>44731</v>
      </c>
      <c r="CV45" s="39">
        <f t="shared" si="54"/>
        <v>44732</v>
      </c>
      <c r="CW45" s="39">
        <f t="shared" si="54"/>
        <v>44733</v>
      </c>
      <c r="CX45" s="39">
        <f t="shared" si="54"/>
        <v>44734</v>
      </c>
      <c r="CY45" s="39">
        <f t="shared" si="54"/>
        <v>44735</v>
      </c>
      <c r="CZ45" s="39">
        <f t="shared" si="54"/>
        <v>44736</v>
      </c>
      <c r="DA45" s="197">
        <f t="shared" si="54"/>
        <v>44008</v>
      </c>
      <c r="DB45" s="183">
        <f t="shared" si="54"/>
        <v>0</v>
      </c>
      <c r="EI45">
        <v>0</v>
      </c>
    </row>
    <row r="46" spans="1:147" ht="15" outlineLevel="1" thickBot="1">
      <c r="C46" s="9" t="s">
        <v>33</v>
      </c>
      <c r="D46" s="2">
        <f>D$7</f>
        <v>0</v>
      </c>
      <c r="F46" s="2">
        <f>F$7</f>
        <v>1</v>
      </c>
      <c r="G46" s="2">
        <f t="shared" ref="G46:DB46" si="55">G$7</f>
        <v>2</v>
      </c>
      <c r="H46" s="2">
        <f t="shared" si="55"/>
        <v>3</v>
      </c>
      <c r="I46" s="2">
        <f t="shared" si="55"/>
        <v>4</v>
      </c>
      <c r="J46" s="2">
        <f t="shared" si="55"/>
        <v>5</v>
      </c>
      <c r="K46" s="2">
        <f t="shared" si="55"/>
        <v>6</v>
      </c>
      <c r="L46" s="2">
        <f t="shared" si="55"/>
        <v>7</v>
      </c>
      <c r="M46" s="2">
        <f t="shared" si="55"/>
        <v>8</v>
      </c>
      <c r="N46" s="2">
        <f t="shared" si="55"/>
        <v>9</v>
      </c>
      <c r="O46" s="2">
        <f t="shared" si="55"/>
        <v>10</v>
      </c>
      <c r="P46" s="2">
        <f t="shared" si="55"/>
        <v>11</v>
      </c>
      <c r="Q46" s="2">
        <f t="shared" si="55"/>
        <v>12</v>
      </c>
      <c r="R46" s="2">
        <f t="shared" si="55"/>
        <v>13</v>
      </c>
      <c r="S46" s="2">
        <f t="shared" si="55"/>
        <v>14</v>
      </c>
      <c r="T46" s="2">
        <f t="shared" si="55"/>
        <v>15</v>
      </c>
      <c r="U46" s="2">
        <f t="shared" si="55"/>
        <v>16</v>
      </c>
      <c r="V46" s="2">
        <f t="shared" si="55"/>
        <v>17</v>
      </c>
      <c r="W46" s="2">
        <f t="shared" si="55"/>
        <v>18</v>
      </c>
      <c r="X46" s="2">
        <f t="shared" si="55"/>
        <v>19</v>
      </c>
      <c r="Y46" s="2">
        <f t="shared" si="55"/>
        <v>20</v>
      </c>
      <c r="Z46" s="2">
        <f t="shared" si="55"/>
        <v>21</v>
      </c>
      <c r="AA46" s="2">
        <f t="shared" si="55"/>
        <v>22</v>
      </c>
      <c r="AB46" s="2">
        <f t="shared" si="55"/>
        <v>23</v>
      </c>
      <c r="AC46" s="2">
        <f t="shared" si="55"/>
        <v>24</v>
      </c>
      <c r="AD46" s="2">
        <f t="shared" si="55"/>
        <v>25</v>
      </c>
      <c r="AE46" s="2">
        <f t="shared" si="55"/>
        <v>26</v>
      </c>
      <c r="AF46" s="2">
        <f t="shared" si="55"/>
        <v>27</v>
      </c>
      <c r="AG46" s="2">
        <f t="shared" si="55"/>
        <v>28</v>
      </c>
      <c r="AH46" s="2">
        <f t="shared" si="55"/>
        <v>29</v>
      </c>
      <c r="AI46" s="2">
        <f t="shared" si="55"/>
        <v>30</v>
      </c>
      <c r="AJ46" s="2">
        <f t="shared" si="55"/>
        <v>31</v>
      </c>
      <c r="AK46" s="2">
        <f t="shared" si="55"/>
        <v>32</v>
      </c>
      <c r="AL46" s="2">
        <f t="shared" si="55"/>
        <v>33</v>
      </c>
      <c r="AM46" s="2">
        <f t="shared" si="55"/>
        <v>34</v>
      </c>
      <c r="AN46" s="2">
        <f t="shared" si="55"/>
        <v>35</v>
      </c>
      <c r="AO46" s="2">
        <f t="shared" si="55"/>
        <v>36</v>
      </c>
      <c r="AP46" s="2">
        <f t="shared" si="55"/>
        <v>37</v>
      </c>
      <c r="AQ46" s="2">
        <f t="shared" si="55"/>
        <v>38</v>
      </c>
      <c r="AR46" s="2">
        <f t="shared" si="55"/>
        <v>39</v>
      </c>
      <c r="AS46" s="2">
        <f t="shared" si="55"/>
        <v>40</v>
      </c>
      <c r="AT46" s="2">
        <f t="shared" si="55"/>
        <v>41</v>
      </c>
      <c r="AU46" s="2">
        <f t="shared" si="55"/>
        <v>42</v>
      </c>
      <c r="AV46" s="2">
        <f t="shared" si="55"/>
        <v>43</v>
      </c>
      <c r="AW46" s="2">
        <f t="shared" si="55"/>
        <v>44</v>
      </c>
      <c r="AX46" s="2">
        <f t="shared" si="55"/>
        <v>45</v>
      </c>
      <c r="AY46" s="2">
        <f t="shared" si="55"/>
        <v>46</v>
      </c>
      <c r="AZ46" s="2">
        <f t="shared" si="55"/>
        <v>47</v>
      </c>
      <c r="BA46" s="2">
        <f t="shared" si="55"/>
        <v>48</v>
      </c>
      <c r="BB46" s="2">
        <f t="shared" si="55"/>
        <v>49</v>
      </c>
      <c r="BC46" s="2">
        <f t="shared" si="55"/>
        <v>50</v>
      </c>
      <c r="BD46" s="2">
        <f t="shared" si="55"/>
        <v>51</v>
      </c>
      <c r="BE46" s="2">
        <f t="shared" si="55"/>
        <v>52</v>
      </c>
      <c r="BF46" s="2">
        <f t="shared" si="55"/>
        <v>53</v>
      </c>
      <c r="BG46" s="2">
        <f t="shared" si="55"/>
        <v>54</v>
      </c>
      <c r="BH46" s="2">
        <f t="shared" si="55"/>
        <v>55</v>
      </c>
      <c r="BI46" s="2">
        <f t="shared" si="55"/>
        <v>56</v>
      </c>
      <c r="BJ46" s="2">
        <f t="shared" si="55"/>
        <v>57</v>
      </c>
      <c r="BK46" s="2">
        <f t="shared" si="55"/>
        <v>58</v>
      </c>
      <c r="BL46" s="2">
        <f t="shared" si="55"/>
        <v>59</v>
      </c>
      <c r="BM46" s="2">
        <f t="shared" si="55"/>
        <v>60</v>
      </c>
      <c r="BN46" s="2">
        <f t="shared" si="55"/>
        <v>61</v>
      </c>
      <c r="BO46" s="2">
        <f t="shared" si="55"/>
        <v>62</v>
      </c>
      <c r="BP46" s="2">
        <f t="shared" si="55"/>
        <v>63</v>
      </c>
      <c r="BQ46" s="2">
        <f t="shared" si="55"/>
        <v>64</v>
      </c>
      <c r="BR46" s="2">
        <f t="shared" si="55"/>
        <v>65</v>
      </c>
      <c r="BS46" s="2">
        <f t="shared" si="55"/>
        <v>66</v>
      </c>
      <c r="BT46" s="2">
        <f t="shared" si="55"/>
        <v>67</v>
      </c>
      <c r="BU46" s="2">
        <f t="shared" si="55"/>
        <v>68</v>
      </c>
      <c r="BV46" s="2">
        <f t="shared" si="55"/>
        <v>69</v>
      </c>
      <c r="BW46" s="2">
        <f t="shared" si="55"/>
        <v>70</v>
      </c>
      <c r="BX46" s="2">
        <f t="shared" si="55"/>
        <v>71</v>
      </c>
      <c r="BY46" s="2">
        <f t="shared" si="55"/>
        <v>72</v>
      </c>
      <c r="BZ46" s="2">
        <f t="shared" si="55"/>
        <v>73</v>
      </c>
      <c r="CA46" s="2">
        <f t="shared" si="55"/>
        <v>74</v>
      </c>
      <c r="CB46" s="2">
        <f t="shared" si="55"/>
        <v>75</v>
      </c>
      <c r="CC46" s="2">
        <f t="shared" si="55"/>
        <v>76</v>
      </c>
      <c r="CD46" s="2">
        <f t="shared" si="55"/>
        <v>77</v>
      </c>
      <c r="CE46" s="2">
        <f t="shared" si="55"/>
        <v>78</v>
      </c>
      <c r="CF46" s="2">
        <f t="shared" si="55"/>
        <v>79</v>
      </c>
      <c r="CG46" s="2">
        <f t="shared" si="55"/>
        <v>80</v>
      </c>
      <c r="CH46" s="2">
        <f t="shared" si="55"/>
        <v>81</v>
      </c>
      <c r="CI46" s="2">
        <f t="shared" si="55"/>
        <v>82</v>
      </c>
      <c r="CJ46" s="2">
        <f t="shared" si="55"/>
        <v>83</v>
      </c>
      <c r="CK46" s="2">
        <f t="shared" si="55"/>
        <v>84</v>
      </c>
      <c r="CL46" s="2">
        <f t="shared" si="55"/>
        <v>85</v>
      </c>
      <c r="CM46" s="2">
        <f t="shared" si="55"/>
        <v>86</v>
      </c>
      <c r="CN46" s="2">
        <f t="shared" si="55"/>
        <v>87</v>
      </c>
      <c r="CO46" s="2">
        <f t="shared" si="55"/>
        <v>88</v>
      </c>
      <c r="CP46" s="2">
        <f t="shared" si="55"/>
        <v>89</v>
      </c>
      <c r="CQ46" s="2">
        <f t="shared" si="55"/>
        <v>90</v>
      </c>
      <c r="CR46" s="2">
        <f t="shared" si="55"/>
        <v>91</v>
      </c>
      <c r="CS46" s="2">
        <f t="shared" si="55"/>
        <v>92</v>
      </c>
      <c r="CT46" s="2">
        <f t="shared" si="55"/>
        <v>93</v>
      </c>
      <c r="CU46" s="2">
        <f t="shared" si="55"/>
        <v>94</v>
      </c>
      <c r="CV46" s="2">
        <f t="shared" si="55"/>
        <v>95</v>
      </c>
      <c r="CW46" s="2">
        <f t="shared" si="55"/>
        <v>96</v>
      </c>
      <c r="CX46" s="2">
        <f t="shared" si="55"/>
        <v>97</v>
      </c>
      <c r="CY46" s="2">
        <f t="shared" si="55"/>
        <v>98</v>
      </c>
      <c r="CZ46" s="2">
        <f t="shared" si="55"/>
        <v>224</v>
      </c>
      <c r="DA46" s="11">
        <f t="shared" si="55"/>
        <v>120</v>
      </c>
      <c r="DB46" s="177">
        <f t="shared" si="55"/>
        <v>0</v>
      </c>
      <c r="EI46" s="9" t="s">
        <v>33</v>
      </c>
      <c r="EJ46" s="118" t="str">
        <f t="shared" ref="EJ46:EQ46" si="56">+EJ$11</f>
        <v>MARS</v>
      </c>
      <c r="EK46" s="118" t="str">
        <f t="shared" si="56"/>
        <v>AVRIL</v>
      </c>
      <c r="EL46" s="118" t="str">
        <f t="shared" si="56"/>
        <v>MAI</v>
      </c>
      <c r="EM46" s="118" t="str">
        <f t="shared" si="56"/>
        <v>JUIN</v>
      </c>
      <c r="EN46" s="118" t="str">
        <f t="shared" si="56"/>
        <v>JUIL</v>
      </c>
      <c r="EO46" s="118" t="str">
        <f t="shared" si="56"/>
        <v>AOUT</v>
      </c>
      <c r="EP46" s="118" t="str">
        <f t="shared" si="56"/>
        <v>SEPT</v>
      </c>
      <c r="EQ46" s="118" t="str">
        <f t="shared" si="56"/>
        <v>OCT</v>
      </c>
    </row>
    <row r="47" spans="1:147" outlineLevel="1">
      <c r="A47" t="s">
        <v>9</v>
      </c>
      <c r="B47" t="s">
        <v>328</v>
      </c>
      <c r="C47" s="72" t="s">
        <v>205</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s="198"/>
      <c r="DB47" s="63"/>
      <c r="DC47" s="29">
        <f>SUM(E47:DB47)</f>
        <v>0</v>
      </c>
      <c r="EI47" s="72" t="s">
        <v>205</v>
      </c>
      <c r="EJ47" s="28">
        <f ca="1">SUM((INDIRECT(EJ$9&amp;ROW()):(INDIRECT(EJ$10&amp;ROW()))))</f>
        <v>0</v>
      </c>
      <c r="EK47" s="28">
        <f ca="1">SUM((INDIRECT(EK$9&amp;ROW()):(INDIRECT(EK$10&amp;ROW()))))</f>
        <v>0</v>
      </c>
      <c r="EL47" s="28">
        <f ca="1">SUM((INDIRECT(EL$9&amp;ROW()):(INDIRECT(EL$10&amp;ROW()))))</f>
        <v>0</v>
      </c>
      <c r="EM47" s="28">
        <f ca="1">SUM((INDIRECT(EM$9&amp;ROW()):(INDIRECT(EM$10&amp;ROW()))))</f>
        <v>0</v>
      </c>
      <c r="EN47" s="28" t="e">
        <f ca="1">SUM((INDIRECT(EN$9&amp;ROW()):(INDIRECT(EN$10&amp;ROW()))))</f>
        <v>#REF!</v>
      </c>
      <c r="EO47" s="28" t="e">
        <f ca="1">SUM((INDIRECT(EO$9&amp;ROW()):(INDIRECT(EO$10&amp;ROW()))))</f>
        <v>#REF!</v>
      </c>
      <c r="EP47" s="28" t="e">
        <f ca="1">SUM((INDIRECT(EP$9&amp;ROW()):(INDIRECT(EP$10&amp;ROW()))))</f>
        <v>#REF!</v>
      </c>
      <c r="EQ47" s="28" t="e">
        <f ca="1">SUM((INDIRECT(EQ$9&amp;ROW()):(INDIRECT(EQ$10&amp;ROW()))))</f>
        <v>#REF!</v>
      </c>
    </row>
    <row r="48" spans="1:147" outlineLevel="1">
      <c r="A48" t="s">
        <v>9</v>
      </c>
      <c r="B48" t="s">
        <v>328</v>
      </c>
      <c r="C48" s="73" t="s">
        <v>203</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s="198"/>
      <c r="DB48" s="63"/>
      <c r="DC48" s="29">
        <f>SUM(E48:DB48)</f>
        <v>0</v>
      </c>
      <c r="EI48" s="73" t="s">
        <v>203</v>
      </c>
      <c r="EJ48" s="28">
        <f ca="1">SUM((INDIRECT(EJ$9&amp;ROW()):(INDIRECT(EJ$10&amp;ROW()))))</f>
        <v>0</v>
      </c>
      <c r="EK48" s="28">
        <f ca="1">SUM((INDIRECT(EK$9&amp;ROW()):(INDIRECT(EK$10&amp;ROW()))))</f>
        <v>0</v>
      </c>
      <c r="EL48" s="28">
        <f ca="1">SUM((INDIRECT(EL$9&amp;ROW()):(INDIRECT(EL$10&amp;ROW()))))</f>
        <v>0</v>
      </c>
      <c r="EM48" s="28">
        <f ca="1">SUM((INDIRECT(EM$9&amp;ROW()):(INDIRECT(EM$10&amp;ROW()))))</f>
        <v>0</v>
      </c>
      <c r="EN48" s="28" t="e">
        <f ca="1">SUM((INDIRECT(EN$9&amp;ROW()):(INDIRECT(EN$10&amp;ROW()))))</f>
        <v>#REF!</v>
      </c>
      <c r="EO48" s="28" t="e">
        <f ca="1">SUM((INDIRECT(EO$9&amp;ROW()):(INDIRECT(EO$10&amp;ROW()))))</f>
        <v>#REF!</v>
      </c>
      <c r="EP48" s="28" t="e">
        <f ca="1">SUM((INDIRECT(EP$9&amp;ROW()):(INDIRECT(EP$10&amp;ROW()))))</f>
        <v>#REF!</v>
      </c>
      <c r="EQ48" s="28" t="e">
        <f ca="1">SUM((INDIRECT(EQ$9&amp;ROW()):(INDIRECT(EQ$10&amp;ROW()))))</f>
        <v>#REF!</v>
      </c>
    </row>
    <row r="49" spans="1:147" outlineLevel="1">
      <c r="A49" t="s">
        <v>9</v>
      </c>
      <c r="B49" t="s">
        <v>328</v>
      </c>
      <c r="C49" s="73" t="s">
        <v>204</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s="198"/>
      <c r="DB49" s="63"/>
      <c r="DC49" s="29">
        <f>SUM(E49:DB49)</f>
        <v>0</v>
      </c>
      <c r="EI49" s="73" t="s">
        <v>204</v>
      </c>
      <c r="EJ49" s="28">
        <f ca="1">SUM((INDIRECT(EJ$9&amp;ROW()):(INDIRECT(EJ$10&amp;ROW()))))</f>
        <v>0</v>
      </c>
      <c r="EK49" s="28">
        <f ca="1">SUM((INDIRECT(EK$9&amp;ROW()):(INDIRECT(EK$10&amp;ROW()))))</f>
        <v>0</v>
      </c>
      <c r="EL49" s="28">
        <f ca="1">SUM((INDIRECT(EL$9&amp;ROW()):(INDIRECT(EL$10&amp;ROW()))))</f>
        <v>0</v>
      </c>
      <c r="EM49" s="28">
        <f ca="1">SUM((INDIRECT(EM$9&amp;ROW()):(INDIRECT(EM$10&amp;ROW()))))</f>
        <v>0</v>
      </c>
      <c r="EN49" s="28" t="e">
        <f ca="1">SUM((INDIRECT(EN$9&amp;ROW()):(INDIRECT(EN$10&amp;ROW()))))</f>
        <v>#REF!</v>
      </c>
      <c r="EO49" s="28" t="e">
        <f ca="1">SUM((INDIRECT(EO$9&amp;ROW()):(INDIRECT(EO$10&amp;ROW()))))</f>
        <v>#REF!</v>
      </c>
      <c r="EP49" s="28" t="e">
        <f ca="1">SUM((INDIRECT(EP$9&amp;ROW()):(INDIRECT(EP$10&amp;ROW()))))</f>
        <v>#REF!</v>
      </c>
      <c r="EQ49" s="28" t="e">
        <f ca="1">SUM((INDIRECT(EQ$9&amp;ROW()):(INDIRECT(EQ$10&amp;ROW()))))</f>
        <v>#REF!</v>
      </c>
    </row>
    <row r="50" spans="1:147" outlineLevel="1">
      <c r="A50" t="s">
        <v>9</v>
      </c>
      <c r="B50" t="s">
        <v>328</v>
      </c>
      <c r="C50" s="73" t="s">
        <v>146</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s="198"/>
      <c r="DB50" s="63"/>
      <c r="DC50" s="29">
        <f>SUM(E50:DB50)</f>
        <v>0</v>
      </c>
      <c r="EI50" s="73" t="s">
        <v>146</v>
      </c>
      <c r="EJ50" s="28">
        <f ca="1">SUM((INDIRECT(EJ$9&amp;ROW()):(INDIRECT(EJ$10&amp;ROW()))))</f>
        <v>0</v>
      </c>
      <c r="EK50" s="28">
        <f ca="1">SUM((INDIRECT(EK$9&amp;ROW()):(INDIRECT(EK$10&amp;ROW()))))</f>
        <v>0</v>
      </c>
      <c r="EL50" s="28">
        <f ca="1">SUM((INDIRECT(EL$9&amp;ROW()):(INDIRECT(EL$10&amp;ROW()))))</f>
        <v>0</v>
      </c>
      <c r="EM50" s="28">
        <f ca="1">SUM((INDIRECT(EM$9&amp;ROW()):(INDIRECT(EM$10&amp;ROW()))))</f>
        <v>0</v>
      </c>
      <c r="EN50" s="28" t="e">
        <f ca="1">SUM((INDIRECT(EN$9&amp;ROW()):(INDIRECT(EN$10&amp;ROW()))))</f>
        <v>#REF!</v>
      </c>
      <c r="EO50" s="28" t="e">
        <f ca="1">SUM((INDIRECT(EO$9&amp;ROW()):(INDIRECT(EO$10&amp;ROW()))))</f>
        <v>#REF!</v>
      </c>
      <c r="EP50" s="28" t="e">
        <f ca="1">SUM((INDIRECT(EP$9&amp;ROW()):(INDIRECT(EP$10&amp;ROW()))))</f>
        <v>#REF!</v>
      </c>
      <c r="EQ50" s="28" t="e">
        <f ca="1">SUM((INDIRECT(EQ$9&amp;ROW()):(INDIRECT(EQ$10&amp;ROW()))))</f>
        <v>#REF!</v>
      </c>
    </row>
    <row r="51" spans="1:147" ht="15" outlineLevel="1" thickBot="1">
      <c r="A51" t="s">
        <v>9</v>
      </c>
      <c r="B51" t="s">
        <v>328</v>
      </c>
      <c r="C51" s="73" t="s">
        <v>630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s="198"/>
      <c r="DB51" s="63"/>
      <c r="DC51" s="29">
        <f>SUM(E51:DB51)</f>
        <v>0</v>
      </c>
      <c r="EI51" s="73" t="s">
        <v>630</v>
      </c>
      <c r="EJ51" s="28">
        <f ca="1">SUM((INDIRECT(EJ$9&amp;ROW()):(INDIRECT(EJ$10&amp;ROW()))))</f>
        <v>0</v>
      </c>
      <c r="EK51" s="28">
        <f ca="1">SUM((INDIRECT(EK$9&amp;ROW()):(INDIRECT(EK$10&amp;ROW()))))</f>
        <v>0</v>
      </c>
      <c r="EL51" s="28">
        <f ca="1">SUM((INDIRECT(EL$9&amp;ROW()):(INDIRECT(EL$10&amp;ROW()))))</f>
        <v>0</v>
      </c>
      <c r="EM51" s="28">
        <f ca="1">SUM((INDIRECT(EM$9&amp;ROW()):(INDIRECT(EM$10&amp;ROW()))))</f>
        <v>0</v>
      </c>
      <c r="EN51" s="28" t="e">
        <f ca="1">SUM((INDIRECT(EN$9&amp;ROW()):(INDIRECT(EN$10&amp;ROW()))))</f>
        <v>#REF!</v>
      </c>
      <c r="EO51" s="28" t="e">
        <f ca="1">SUM((INDIRECT(EO$9&amp;ROW()):(INDIRECT(EO$10&amp;ROW()))))</f>
        <v>#REF!</v>
      </c>
      <c r="EP51" s="28" t="e">
        <f ca="1">SUM((INDIRECT(EP$9&amp;ROW()):(INDIRECT(EP$10&amp;ROW()))))</f>
        <v>#REF!</v>
      </c>
      <c r="EQ51" s="28" t="e">
        <f ca="1">SUM((INDIRECT(EQ$9&amp;ROW()):(INDIRECT(EQ$10&amp;ROW()))))</f>
        <v>#REF!</v>
      </c>
    </row>
    <row r="52" spans="1:147" outlineLevel="1">
      <c r="A52" t="s">
        <v>9</v>
      </c>
      <c r="B52" t="s">
        <v>559</v>
      </c>
      <c r="C52" s="72" t="s">
        <v>149</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s="198"/>
      <c r="DB52" s="63"/>
      <c r="DC52" s="28">
        <f t="shared" ref="DC52:DC62" si="57">SUM(D52:DB52)</f>
        <v>0</v>
      </c>
      <c r="EI52" s="72" t="s">
        <v>149</v>
      </c>
      <c r="EJ52" s="28">
        <f ca="1">SUM((INDIRECT(EJ$9&amp;ROW()):(INDIRECT(EJ$10&amp;ROW()))))</f>
        <v>0</v>
      </c>
      <c r="EK52" s="28">
        <f ca="1">SUM((INDIRECT(EK$9&amp;ROW()):(INDIRECT(EK$10&amp;ROW()))))</f>
        <v>0</v>
      </c>
      <c r="EL52" s="28">
        <f ca="1">SUM((INDIRECT(EL$9&amp;ROW()):(INDIRECT(EL$10&amp;ROW()))))</f>
        <v>0</v>
      </c>
      <c r="EM52" s="28">
        <f ca="1">SUM((INDIRECT(EM$9&amp;ROW()):(INDIRECT(EM$10&amp;ROW()))))</f>
        <v>0</v>
      </c>
      <c r="EN52" s="28" t="e">
        <f ca="1">SUM((INDIRECT(EN$9&amp;ROW()):(INDIRECT(EN$10&amp;ROW()))))</f>
        <v>#REF!</v>
      </c>
      <c r="EO52" s="28" t="e">
        <f ca="1">SUM((INDIRECT(EO$9&amp;ROW()):(INDIRECT(EO$10&amp;ROW()))))</f>
        <v>#REF!</v>
      </c>
      <c r="EP52" s="28" t="e">
        <f ca="1">SUM((INDIRECT(EP$9&amp;ROW()):(INDIRECT(EP$10&amp;ROW()))))</f>
        <v>#REF!</v>
      </c>
      <c r="EQ52" s="28" t="e">
        <f ca="1">SUM((INDIRECT(EQ$9&amp;ROW()):(INDIRECT(EQ$10&amp;ROW()))))</f>
        <v>#REF!</v>
      </c>
    </row>
    <row r="53" spans="1:147" outlineLevel="1">
      <c r="A53" t="s">
        <v>9</v>
      </c>
      <c r="B53" t="s">
        <v>559</v>
      </c>
      <c r="C53" s="73" t="s">
        <v>632</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s="198"/>
      <c r="DB53" s="63"/>
      <c r="DC53" s="28">
        <f t="shared" si="57"/>
        <v>0</v>
      </c>
      <c r="EI53" s="73" t="s">
        <v>560</v>
      </c>
      <c r="EJ53" s="28">
        <f ca="1">SUM((INDIRECT(EJ$9&amp;ROW()):(INDIRECT(EJ$10&amp;ROW()))))</f>
        <v>0</v>
      </c>
      <c r="EK53" s="28">
        <f ca="1">SUM((INDIRECT(EK$9&amp;ROW()):(INDIRECT(EK$10&amp;ROW()))))</f>
        <v>0</v>
      </c>
      <c r="EL53" s="28">
        <f ca="1">SUM((INDIRECT(EL$9&amp;ROW()):(INDIRECT(EL$10&amp;ROW()))))</f>
        <v>0</v>
      </c>
      <c r="EM53" s="28">
        <f ca="1">SUM((INDIRECT(EM$9&amp;ROW()):(INDIRECT(EM$10&amp;ROW()))))</f>
        <v>0</v>
      </c>
      <c r="EN53" s="28" t="e">
        <f ca="1">SUM((INDIRECT(EN$9&amp;ROW()):(INDIRECT(EN$10&amp;ROW()))))</f>
        <v>#REF!</v>
      </c>
      <c r="EO53" s="28" t="e">
        <f ca="1">SUM((INDIRECT(EO$9&amp;ROW()):(INDIRECT(EO$10&amp;ROW()))))</f>
        <v>#REF!</v>
      </c>
      <c r="EP53" s="28" t="e">
        <f ca="1">SUM((INDIRECT(EP$9&amp;ROW()):(INDIRECT(EP$10&amp;ROW()))))</f>
        <v>#REF!</v>
      </c>
      <c r="EQ53" s="28" t="e">
        <f ca="1">SUM((INDIRECT(EQ$9&amp;ROW()):(INDIRECT(EQ$10&amp;ROW()))))</f>
        <v>#REF!</v>
      </c>
    </row>
    <row r="54" spans="1:147" ht="15" outlineLevel="1" thickBot="1">
      <c r="A54" t="s">
        <v>9</v>
      </c>
      <c r="B54" t="s">
        <v>559</v>
      </c>
      <c r="C54" s="74" t="s">
        <v>629</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s="198"/>
      <c r="DB54" s="63"/>
      <c r="DC54" s="28">
        <f t="shared" si="57"/>
        <v>0</v>
      </c>
      <c r="EI54" s="74" t="s">
        <v>629</v>
      </c>
      <c r="EJ54" s="28">
        <f ca="1">SUM((INDIRECT(EJ$9&amp;ROW()):(INDIRECT(EJ$10&amp;ROW()))))</f>
        <v>0</v>
      </c>
      <c r="EK54" s="28">
        <f ca="1">SUM((INDIRECT(EK$9&amp;ROW()):(INDIRECT(EK$10&amp;ROW()))))</f>
        <v>0</v>
      </c>
      <c r="EL54" s="28">
        <f ca="1">SUM((INDIRECT(EL$9&amp;ROW()):(INDIRECT(EL$10&amp;ROW()))))</f>
        <v>0</v>
      </c>
      <c r="EM54" s="28">
        <f ca="1">SUM((INDIRECT(EM$9&amp;ROW()):(INDIRECT(EM$10&amp;ROW()))))</f>
        <v>0</v>
      </c>
      <c r="EN54" s="28" t="e">
        <f ca="1">SUM((INDIRECT(EN$9&amp;ROW()):(INDIRECT(EN$10&amp;ROW()))))</f>
        <v>#REF!</v>
      </c>
      <c r="EO54" s="28" t="e">
        <f ca="1">SUM((INDIRECT(EO$9&amp;ROW()):(INDIRECT(EO$10&amp;ROW()))))</f>
        <v>#REF!</v>
      </c>
      <c r="EP54" s="28" t="e">
        <f ca="1">SUM((INDIRECT(EP$9&amp;ROW()):(INDIRECT(EP$10&amp;ROW()))))</f>
        <v>#REF!</v>
      </c>
      <c r="EQ54" s="28" t="e">
        <f ca="1">SUM((INDIRECT(EQ$9&amp;ROW()):(INDIRECT(EQ$10&amp;ROW()))))</f>
        <v>#REF!</v>
      </c>
    </row>
    <row r="55" spans="1:147" outlineLevel="1">
      <c r="A55" t="s">
        <v>9</v>
      </c>
      <c r="B55" t="s">
        <v>23</v>
      </c>
      <c r="C55" s="72" t="s">
        <v>23</v>
      </c>
      <c r="E55"/>
      <c r="F55"/>
      <c r="G55"/>
      <c r="H55"/>
      <c r="I55"/>
      <c r="J55"/>
      <c r="K55"/>
      <c r="L55"/>
      <c r="M55"/>
      <c r="O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s="198"/>
      <c r="DB55" s="63"/>
      <c r="DC55" s="28">
        <f t="shared" si="57"/>
        <v>0</v>
      </c>
      <c r="EI55" s="72" t="s">
        <v>23</v>
      </c>
      <c r="EJ55" s="28">
        <f ca="1">SUM((INDIRECT(EJ$9&amp;ROW()):(INDIRECT(EJ$10&amp;ROW()))))</f>
        <v>0</v>
      </c>
      <c r="EK55" s="28">
        <f ca="1">SUM((INDIRECT(EK$9&amp;ROW()):(INDIRECT(EK$10&amp;ROW()))))</f>
        <v>0</v>
      </c>
      <c r="EL55" s="28">
        <f ca="1">SUM((INDIRECT(EL$9&amp;ROW()):(INDIRECT(EL$10&amp;ROW()))))</f>
        <v>0</v>
      </c>
      <c r="EM55" s="28">
        <f ca="1">SUM((INDIRECT(EM$9&amp;ROW()):(INDIRECT(EM$10&amp;ROW()))))</f>
        <v>0</v>
      </c>
      <c r="EN55" s="28" t="e">
        <f ca="1">SUM((INDIRECT(EN$9&amp;ROW()):(INDIRECT(EN$10&amp;ROW()))))</f>
        <v>#REF!</v>
      </c>
      <c r="EO55" s="28" t="e">
        <f ca="1">SUM((INDIRECT(EO$9&amp;ROW()):(INDIRECT(EO$10&amp;ROW()))))</f>
        <v>#REF!</v>
      </c>
      <c r="EP55" s="28" t="e">
        <f ca="1">SUM((INDIRECT(EP$9&amp;ROW()):(INDIRECT(EP$10&amp;ROW()))))</f>
        <v>#REF!</v>
      </c>
      <c r="EQ55" s="28" t="e">
        <f ca="1">SUM((INDIRECT(EQ$9&amp;ROW()):(INDIRECT(EQ$10&amp;ROW()))))</f>
        <v>#REF!</v>
      </c>
    </row>
    <row r="56" spans="1:147" outlineLevel="1">
      <c r="A56" t="s">
        <v>9</v>
      </c>
      <c r="B56" t="s">
        <v>23</v>
      </c>
      <c r="C56" s="73" t="s">
        <v>151</v>
      </c>
      <c r="E56"/>
      <c r="F56"/>
      <c r="G56"/>
      <c r="H56"/>
      <c r="I56"/>
      <c r="J56"/>
      <c r="K56"/>
      <c r="L56"/>
      <c r="M56"/>
      <c r="N56"/>
      <c r="O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s="198"/>
      <c r="DB56" s="63"/>
      <c r="DC56" s="28">
        <f t="shared" si="57"/>
        <v>0</v>
      </c>
      <c r="EI56" s="73" t="s">
        <v>151</v>
      </c>
      <c r="EJ56" s="28">
        <f ca="1">SUM((INDIRECT(EJ$9&amp;ROW()):(INDIRECT(EJ$10&amp;ROW()))))</f>
        <v>0</v>
      </c>
      <c r="EK56" s="28">
        <f ca="1">SUM((INDIRECT(EK$9&amp;ROW()):(INDIRECT(EK$10&amp;ROW()))))</f>
        <v>0</v>
      </c>
      <c r="EL56" s="28">
        <f ca="1">SUM((INDIRECT(EL$9&amp;ROW()):(INDIRECT(EL$10&amp;ROW()))))</f>
        <v>0</v>
      </c>
      <c r="EM56" s="28">
        <f ca="1">SUM((INDIRECT(EM$9&amp;ROW()):(INDIRECT(EM$10&amp;ROW()))))</f>
        <v>0</v>
      </c>
      <c r="EN56" s="28" t="e">
        <f ca="1">SUM((INDIRECT(EN$9&amp;ROW()):(INDIRECT(EN$10&amp;ROW()))))</f>
        <v>#REF!</v>
      </c>
      <c r="EO56" s="28" t="e">
        <f ca="1">SUM((INDIRECT(EO$9&amp;ROW()):(INDIRECT(EO$10&amp;ROW()))))</f>
        <v>#REF!</v>
      </c>
      <c r="EP56" s="28" t="e">
        <f ca="1">SUM((INDIRECT(EP$9&amp;ROW()):(INDIRECT(EP$10&amp;ROW()))))</f>
        <v>#REF!</v>
      </c>
      <c r="EQ56" s="28" t="e">
        <f ca="1">SUM((INDIRECT(EQ$9&amp;ROW()):(INDIRECT(EQ$10&amp;ROW()))))</f>
        <v>#REF!</v>
      </c>
    </row>
    <row r="57" spans="1:147" ht="15" outlineLevel="1" thickBot="1">
      <c r="A57" t="s">
        <v>9</v>
      </c>
      <c r="B57" t="s">
        <v>23</v>
      </c>
      <c r="C57" s="74" t="s">
        <v>8</v>
      </c>
      <c r="E57"/>
      <c r="F57"/>
      <c r="G57"/>
      <c r="H57"/>
      <c r="I57"/>
      <c r="J57"/>
      <c r="K57"/>
      <c r="L57"/>
      <c r="M57"/>
      <c r="N57"/>
      <c r="O57"/>
      <c r="P57"/>
      <c r="Q57"/>
      <c r="T57">
        <v>50.73</v>
      </c>
      <c r="U57">
        <v>48.51</v>
      </c>
      <c r="V57">
        <v>118.37</v>
      </c>
      <c r="W57"/>
      <c r="X57"/>
      <c r="Y57"/>
      <c r="Z57"/>
      <c r="AA57"/>
      <c r="AB57"/>
      <c r="AC57"/>
      <c r="AD57"/>
      <c r="AE57"/>
      <c r="AF57"/>
      <c r="AG57"/>
      <c r="AH57"/>
      <c r="AI57"/>
      <c r="AJ57"/>
      <c r="AK57"/>
      <c r="AL57"/>
      <c r="AM57"/>
      <c r="AN57"/>
      <c r="AO57"/>
      <c r="AP57"/>
      <c r="AQ57"/>
      <c r="AR57"/>
      <c r="AS57"/>
      <c r="AT57"/>
      <c r="AU57"/>
      <c r="AV57"/>
      <c r="AW57"/>
      <c r="AX57"/>
      <c r="AY57" s="2">
        <v>26.48</v>
      </c>
      <c r="AZ57" s="2">
        <v>25.13</v>
      </c>
      <c r="BA57" s="2">
        <v>19.309999999999999</v>
      </c>
      <c r="BB57" s="2">
        <v>38.659999999999997</v>
      </c>
      <c r="BC57" s="2">
        <v>41.87</v>
      </c>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s="198"/>
      <c r="DB57" s="63"/>
      <c r="DC57" s="28">
        <f t="shared" si="57"/>
        <v>369.06000000000006</v>
      </c>
      <c r="EI57" s="74" t="s">
        <v>8</v>
      </c>
      <c r="EJ57" s="28">
        <f ca="1">SUM((INDIRECT(EJ$9&amp;ROW()):(INDIRECT(EJ$10&amp;ROW()))))</f>
        <v>0</v>
      </c>
      <c r="EK57" s="28">
        <f ca="1">SUM((INDIRECT(EK$9&amp;ROW()):(INDIRECT(EK$10&amp;ROW()))))</f>
        <v>217.61</v>
      </c>
      <c r="EL57" s="28">
        <f ca="1">SUM((INDIRECT(EL$9&amp;ROW()):(INDIRECT(EL$10&amp;ROW()))))</f>
        <v>151.44999999999999</v>
      </c>
      <c r="EM57" s="28">
        <f ca="1">SUM((INDIRECT(EM$9&amp;ROW()):(INDIRECT(EM$10&amp;ROW()))))</f>
        <v>0</v>
      </c>
      <c r="EN57" s="28" t="e">
        <f ca="1">SUM((INDIRECT(EN$9&amp;ROW()):(INDIRECT(EN$10&amp;ROW()))))</f>
        <v>#REF!</v>
      </c>
      <c r="EO57" s="28" t="e">
        <f ca="1">SUM((INDIRECT(EO$9&amp;ROW()):(INDIRECT(EO$10&amp;ROW()))))</f>
        <v>#REF!</v>
      </c>
      <c r="EP57" s="28" t="e">
        <f ca="1">SUM((INDIRECT(EP$9&amp;ROW()):(INDIRECT(EP$10&amp;ROW()))))</f>
        <v>#REF!</v>
      </c>
      <c r="EQ57" s="28" t="e">
        <f ca="1">SUM((INDIRECT(EQ$9&amp;ROW()):(INDIRECT(EQ$10&amp;ROW()))))</f>
        <v>#REF!</v>
      </c>
    </row>
    <row r="58" spans="1:147" outlineLevel="1">
      <c r="A58" t="s">
        <v>9</v>
      </c>
      <c r="B58" t="s">
        <v>25</v>
      </c>
      <c r="C58" s="72" t="s">
        <v>150</v>
      </c>
      <c r="E58"/>
      <c r="F58"/>
      <c r="G58"/>
      <c r="H58"/>
      <c r="I58"/>
      <c r="J58"/>
      <c r="K58"/>
      <c r="L58"/>
      <c r="M58"/>
      <c r="N58"/>
      <c r="O58"/>
      <c r="Q58"/>
      <c r="R58"/>
      <c r="S58"/>
      <c r="T58">
        <v>27.42</v>
      </c>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s="198"/>
      <c r="DB58" s="63"/>
      <c r="DC58" s="28">
        <f t="shared" si="57"/>
        <v>27.42</v>
      </c>
      <c r="EI58" s="72" t="s">
        <v>150</v>
      </c>
      <c r="EJ58" s="28">
        <f ca="1">SUM((INDIRECT(EJ$9&amp;ROW()):(INDIRECT(EJ$10&amp;ROW()))))</f>
        <v>0</v>
      </c>
      <c r="EK58" s="28">
        <f ca="1">SUM((INDIRECT(EK$9&amp;ROW()):(INDIRECT(EK$10&amp;ROW()))))</f>
        <v>27.42</v>
      </c>
      <c r="EL58" s="28">
        <f ca="1">SUM((INDIRECT(EL$9&amp;ROW()):(INDIRECT(EL$10&amp;ROW()))))</f>
        <v>0</v>
      </c>
      <c r="EM58" s="28">
        <f ca="1">SUM((INDIRECT(EM$9&amp;ROW()):(INDIRECT(EM$10&amp;ROW()))))</f>
        <v>0</v>
      </c>
      <c r="EN58" s="28" t="e">
        <f ca="1">SUM((INDIRECT(EN$9&amp;ROW()):(INDIRECT(EN$10&amp;ROW()))))</f>
        <v>#REF!</v>
      </c>
      <c r="EO58" s="28" t="e">
        <f ca="1">SUM((INDIRECT(EO$9&amp;ROW()):(INDIRECT(EO$10&amp;ROW()))))</f>
        <v>#REF!</v>
      </c>
      <c r="EP58" s="28" t="e">
        <f ca="1">SUM((INDIRECT(EP$9&amp;ROW()):(INDIRECT(EP$10&amp;ROW()))))</f>
        <v>#REF!</v>
      </c>
      <c r="EQ58" s="28" t="e">
        <f ca="1">SUM((INDIRECT(EQ$9&amp;ROW()):(INDIRECT(EQ$10&amp;ROW()))))</f>
        <v>#REF!</v>
      </c>
    </row>
    <row r="59" spans="1:147" ht="15" outlineLevel="1" thickBot="1">
      <c r="A59" t="s">
        <v>9</v>
      </c>
      <c r="B59" t="s">
        <v>25</v>
      </c>
      <c r="C59" s="74" t="s">
        <v>144</v>
      </c>
      <c r="E59" s="2">
        <v>1014.55</v>
      </c>
      <c r="F59"/>
      <c r="G59"/>
      <c r="H59"/>
      <c r="I59"/>
      <c r="J59"/>
      <c r="K59"/>
      <c r="L59"/>
      <c r="M59"/>
      <c r="N59"/>
      <c r="O59"/>
      <c r="Q59"/>
      <c r="R59"/>
      <c r="S59"/>
      <c r="T59">
        <v>208.81</v>
      </c>
      <c r="U59">
        <f>95.35+121.3</f>
        <v>216.64999999999998</v>
      </c>
      <c r="V59"/>
      <c r="W59"/>
      <c r="X59"/>
      <c r="Y59"/>
      <c r="Z59"/>
      <c r="AA59"/>
      <c r="AB59"/>
      <c r="AC59"/>
      <c r="AD59"/>
      <c r="AE59"/>
      <c r="AF59"/>
      <c r="AG59"/>
      <c r="AH59"/>
      <c r="AI59"/>
      <c r="AJ59"/>
      <c r="AK59"/>
      <c r="AL59"/>
      <c r="AM59"/>
      <c r="AN59"/>
      <c r="AO59"/>
      <c r="AP59"/>
      <c r="AQ59"/>
      <c r="AR59"/>
      <c r="AS59"/>
      <c r="AT59"/>
      <c r="AU59"/>
      <c r="AV59"/>
      <c r="AW59"/>
      <c r="AX59"/>
      <c r="AZ59"/>
      <c r="BA59"/>
      <c r="BB59"/>
      <c r="BC59" s="2">
        <v>73.02</v>
      </c>
      <c r="BD59">
        <v>17.34</v>
      </c>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s="198"/>
      <c r="DB59" s="63"/>
      <c r="DC59" s="28">
        <f t="shared" si="57"/>
        <v>1530.3699999999997</v>
      </c>
      <c r="EI59" s="74" t="s">
        <v>144</v>
      </c>
      <c r="EJ59" s="28">
        <f ca="1">SUM((INDIRECT(EJ$9&amp;ROW()):(INDIRECT(EJ$10&amp;ROW()))))</f>
        <v>1014.55</v>
      </c>
      <c r="EK59" s="28">
        <f ca="1">SUM((INDIRECT(EK$9&amp;ROW()):(INDIRECT(EK$10&amp;ROW()))))</f>
        <v>425.46</v>
      </c>
      <c r="EL59" s="28">
        <f ca="1">SUM((INDIRECT(EL$9&amp;ROW()):(INDIRECT(EL$10&amp;ROW()))))</f>
        <v>90.36</v>
      </c>
      <c r="EM59" s="28">
        <f ca="1">SUM((INDIRECT(EM$9&amp;ROW()):(INDIRECT(EM$10&amp;ROW()))))</f>
        <v>0</v>
      </c>
      <c r="EN59" s="28" t="e">
        <f ca="1">SUM((INDIRECT(EN$9&amp;ROW()):(INDIRECT(EN$10&amp;ROW()))))</f>
        <v>#REF!</v>
      </c>
      <c r="EO59" s="28" t="e">
        <f ca="1">SUM((INDIRECT(EO$9&amp;ROW()):(INDIRECT(EO$10&amp;ROW()))))</f>
        <v>#REF!</v>
      </c>
      <c r="EP59" s="28" t="e">
        <f ca="1">SUM((INDIRECT(EP$9&amp;ROW()):(INDIRECT(EP$10&amp;ROW()))))</f>
        <v>#REF!</v>
      </c>
      <c r="EQ59" s="28" t="e">
        <f ca="1">SUM((INDIRECT(EQ$9&amp;ROW()):(INDIRECT(EQ$10&amp;ROW()))))</f>
        <v>#REF!</v>
      </c>
    </row>
    <row r="60" spans="1:147" outlineLevel="1">
      <c r="A60" t="s">
        <v>9</v>
      </c>
      <c r="B60" t="s">
        <v>24</v>
      </c>
      <c r="C60" s="72" t="s">
        <v>145</v>
      </c>
      <c r="E60"/>
      <c r="F60"/>
      <c r="G60"/>
      <c r="H60"/>
      <c r="I60"/>
      <c r="J60"/>
      <c r="K60"/>
      <c r="L60"/>
      <c r="M60"/>
      <c r="N60"/>
      <c r="O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s="198"/>
      <c r="DB60" s="63"/>
      <c r="DC60" s="28">
        <f t="shared" si="57"/>
        <v>0</v>
      </c>
      <c r="EI60" s="72" t="s">
        <v>145</v>
      </c>
      <c r="EJ60" s="28">
        <f ca="1">SUM((INDIRECT(EJ$9&amp;ROW()):(INDIRECT(EJ$10&amp;ROW()))))</f>
        <v>0</v>
      </c>
      <c r="EK60" s="28">
        <f ca="1">SUM((INDIRECT(EK$9&amp;ROW()):(INDIRECT(EK$10&amp;ROW()))))</f>
        <v>0</v>
      </c>
      <c r="EL60" s="28">
        <f ca="1">SUM((INDIRECT(EL$9&amp;ROW()):(INDIRECT(EL$10&amp;ROW()))))</f>
        <v>0</v>
      </c>
      <c r="EM60" s="28">
        <f ca="1">SUM((INDIRECT(EM$9&amp;ROW()):(INDIRECT(EM$10&amp;ROW()))))</f>
        <v>0</v>
      </c>
      <c r="EN60" s="28" t="e">
        <f ca="1">SUM((INDIRECT(EN$9&amp;ROW()):(INDIRECT(EN$10&amp;ROW()))))</f>
        <v>#REF!</v>
      </c>
      <c r="EO60" s="28" t="e">
        <f ca="1">SUM((INDIRECT(EO$9&amp;ROW()):(INDIRECT(EO$10&amp;ROW()))))</f>
        <v>#REF!</v>
      </c>
      <c r="EP60" s="28" t="e">
        <f ca="1">SUM((INDIRECT(EP$9&amp;ROW()):(INDIRECT(EP$10&amp;ROW()))))</f>
        <v>#REF!</v>
      </c>
      <c r="EQ60" s="28" t="e">
        <f ca="1">SUM((INDIRECT(EQ$9&amp;ROW()):(INDIRECT(EQ$10&amp;ROW()))))</f>
        <v>#REF!</v>
      </c>
    </row>
    <row r="61" spans="1:147" outlineLevel="1">
      <c r="A61" t="s">
        <v>9</v>
      </c>
      <c r="B61" t="s">
        <v>24</v>
      </c>
      <c r="C61" s="73" t="s">
        <v>206</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s="198"/>
      <c r="DB61" s="63"/>
      <c r="DC61" s="28">
        <f t="shared" si="57"/>
        <v>0</v>
      </c>
      <c r="EI61" s="73" t="s">
        <v>206</v>
      </c>
      <c r="EJ61" s="28">
        <f ca="1">SUM((INDIRECT(EJ$9&amp;ROW()):(INDIRECT(EJ$10&amp;ROW()))))</f>
        <v>0</v>
      </c>
      <c r="EK61" s="28">
        <f ca="1">SUM((INDIRECT(EK$9&amp;ROW()):(INDIRECT(EK$10&amp;ROW()))))</f>
        <v>0</v>
      </c>
      <c r="EL61" s="28">
        <f ca="1">SUM((INDIRECT(EL$9&amp;ROW()):(INDIRECT(EL$10&amp;ROW()))))</f>
        <v>0</v>
      </c>
      <c r="EM61" s="28">
        <f ca="1">SUM((INDIRECT(EM$9&amp;ROW()):(INDIRECT(EM$10&amp;ROW()))))</f>
        <v>0</v>
      </c>
      <c r="EN61" s="28" t="e">
        <f ca="1">SUM((INDIRECT(EN$9&amp;ROW()):(INDIRECT(EN$10&amp;ROW()))))</f>
        <v>#REF!</v>
      </c>
      <c r="EO61" s="28" t="e">
        <f ca="1">SUM((INDIRECT(EO$9&amp;ROW()):(INDIRECT(EO$10&amp;ROW()))))</f>
        <v>#REF!</v>
      </c>
      <c r="EP61" s="28" t="e">
        <f ca="1">SUM((INDIRECT(EP$9&amp;ROW()):(INDIRECT(EP$10&amp;ROW()))))</f>
        <v>#REF!</v>
      </c>
      <c r="EQ61" s="28" t="e">
        <f ca="1">SUM((INDIRECT(EQ$9&amp;ROW()):(INDIRECT(EQ$10&amp;ROW()))))</f>
        <v>#REF!</v>
      </c>
    </row>
    <row r="62" spans="1:147" ht="15" outlineLevel="1" thickBot="1">
      <c r="A62" t="s">
        <v>9</v>
      </c>
      <c r="B62" t="s">
        <v>24</v>
      </c>
      <c r="C62" s="74" t="s">
        <v>136</v>
      </c>
      <c r="E62">
        <v>226</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s="198"/>
      <c r="DB62" s="63"/>
      <c r="DC62" s="28">
        <f t="shared" si="57"/>
        <v>226</v>
      </c>
      <c r="EI62" s="74" t="s">
        <v>136</v>
      </c>
      <c r="EJ62" s="28">
        <f ca="1">SUM((INDIRECT(EJ$9&amp;ROW()):(INDIRECT(EJ$10&amp;ROW()))))</f>
        <v>226</v>
      </c>
      <c r="EK62" s="28">
        <f ca="1">SUM((INDIRECT(EK$9&amp;ROW()):(INDIRECT(EK$10&amp;ROW()))))</f>
        <v>0</v>
      </c>
      <c r="EL62" s="28">
        <f ca="1">SUM((INDIRECT(EL$9&amp;ROW()):(INDIRECT(EL$10&amp;ROW()))))</f>
        <v>0</v>
      </c>
      <c r="EM62" s="28">
        <f ca="1">SUM((INDIRECT(EM$9&amp;ROW()):(INDIRECT(EM$10&amp;ROW()))))</f>
        <v>0</v>
      </c>
      <c r="EN62" s="28" t="e">
        <f ca="1">SUM((INDIRECT(EN$9&amp;ROW()):(INDIRECT(EN$10&amp;ROW()))))</f>
        <v>#REF!</v>
      </c>
      <c r="EO62" s="28" t="e">
        <f ca="1">SUM((INDIRECT(EO$9&amp;ROW()):(INDIRECT(EO$10&amp;ROW()))))</f>
        <v>#REF!</v>
      </c>
      <c r="EP62" s="28" t="e">
        <f ca="1">SUM((INDIRECT(EP$9&amp;ROW()):(INDIRECT(EP$10&amp;ROW()))))</f>
        <v>#REF!</v>
      </c>
      <c r="EQ62" s="28" t="e">
        <f ca="1">SUM((INDIRECT(EQ$9&amp;ROW()):(INDIRECT(EQ$10&amp;ROW()))))</f>
        <v>#REF!</v>
      </c>
    </row>
    <row r="63" spans="1:147" ht="15" outlineLevel="1" thickBot="1">
      <c r="A63" t="s">
        <v>9</v>
      </c>
      <c r="B63" t="s">
        <v>558</v>
      </c>
      <c r="C63" s="74" t="s">
        <v>564</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s="199"/>
      <c r="DB63" s="179"/>
      <c r="DC63" s="28">
        <v>0</v>
      </c>
      <c r="EI63" s="74" t="s">
        <v>564</v>
      </c>
      <c r="EJ63" s="28"/>
      <c r="EK63" s="28"/>
      <c r="EL63" s="28"/>
      <c r="EM63" s="28"/>
      <c r="EN63" s="28"/>
      <c r="EO63" s="28"/>
      <c r="EP63" s="28"/>
      <c r="EQ63" s="28"/>
    </row>
    <row r="64" spans="1:147" ht="15" outlineLevel="1" thickBot="1">
      <c r="A64" t="s">
        <v>9</v>
      </c>
      <c r="B64" t="s">
        <v>558</v>
      </c>
      <c r="C64" s="74" t="s">
        <v>549</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s="199"/>
      <c r="DB64" s="179"/>
      <c r="DC64" s="28"/>
      <c r="EI64" s="74" t="s">
        <v>549</v>
      </c>
      <c r="EJ64" s="28"/>
      <c r="EK64" s="28"/>
      <c r="EL64" s="28"/>
      <c r="EM64" s="28"/>
      <c r="EN64" s="28"/>
      <c r="EO64" s="28"/>
      <c r="EP64" s="28"/>
      <c r="EQ64" s="28"/>
    </row>
    <row r="65" spans="1:151" outlineLevel="2">
      <c r="C65" s="2"/>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s="199"/>
      <c r="DB65" s="179"/>
      <c r="DC65" s="28"/>
      <c r="EJ65" s="28"/>
      <c r="EK65" s="28"/>
      <c r="EL65" s="28"/>
      <c r="EM65" s="28"/>
      <c r="EN65" s="28"/>
      <c r="EO65" s="28"/>
      <c r="EP65" s="28"/>
      <c r="EQ65" s="28"/>
    </row>
    <row r="66" spans="1:151" outlineLevel="1">
      <c r="C66" s="9" t="s">
        <v>14</v>
      </c>
      <c r="D66" s="28">
        <v>0</v>
      </c>
      <c r="E66" s="28">
        <f>SUM(E47:E63)</f>
        <v>1240.55</v>
      </c>
      <c r="F66" s="28">
        <f>SUM(F47:F63)</f>
        <v>0</v>
      </c>
      <c r="G66" s="28">
        <f>SUM(G47:G63)</f>
        <v>0</v>
      </c>
      <c r="H66" s="28">
        <f>SUM(H47:H63)</f>
        <v>0</v>
      </c>
      <c r="I66" s="28"/>
      <c r="J66" s="28"/>
      <c r="K66" s="28"/>
      <c r="L66" s="28"/>
      <c r="M66" s="28">
        <f t="shared" ref="M66:AR66" si="58">SUM(M47:M63)</f>
        <v>0</v>
      </c>
      <c r="N66" s="28">
        <f t="shared" si="58"/>
        <v>0</v>
      </c>
      <c r="O66" s="28">
        <f t="shared" si="58"/>
        <v>0</v>
      </c>
      <c r="P66" s="28">
        <f t="shared" si="58"/>
        <v>0</v>
      </c>
      <c r="Q66" s="28">
        <f t="shared" si="58"/>
        <v>0</v>
      </c>
      <c r="R66" s="28">
        <f t="shared" si="58"/>
        <v>0</v>
      </c>
      <c r="S66" s="28">
        <f t="shared" si="58"/>
        <v>0</v>
      </c>
      <c r="T66" s="28">
        <f t="shared" si="58"/>
        <v>286.96000000000004</v>
      </c>
      <c r="U66" s="28">
        <f t="shared" si="58"/>
        <v>265.15999999999997</v>
      </c>
      <c r="V66" s="28">
        <f t="shared" si="58"/>
        <v>118.37</v>
      </c>
      <c r="W66" s="28">
        <f t="shared" si="58"/>
        <v>0</v>
      </c>
      <c r="X66" s="28">
        <f t="shared" si="58"/>
        <v>0</v>
      </c>
      <c r="Y66" s="28">
        <f t="shared" si="58"/>
        <v>0</v>
      </c>
      <c r="Z66" s="28">
        <f t="shared" si="58"/>
        <v>0</v>
      </c>
      <c r="AA66" s="28">
        <f t="shared" si="58"/>
        <v>0</v>
      </c>
      <c r="AB66" s="28">
        <f t="shared" si="58"/>
        <v>0</v>
      </c>
      <c r="AC66" s="28">
        <f t="shared" si="58"/>
        <v>0</v>
      </c>
      <c r="AD66" s="28">
        <f t="shared" si="58"/>
        <v>0</v>
      </c>
      <c r="AE66" s="28">
        <f t="shared" si="58"/>
        <v>0</v>
      </c>
      <c r="AF66" s="28">
        <f t="shared" si="58"/>
        <v>0</v>
      </c>
      <c r="AG66" s="28">
        <f t="shared" si="58"/>
        <v>0</v>
      </c>
      <c r="AH66" s="28">
        <f t="shared" si="58"/>
        <v>0</v>
      </c>
      <c r="AI66" s="28">
        <f t="shared" si="58"/>
        <v>0</v>
      </c>
      <c r="AJ66" s="28">
        <f t="shared" si="58"/>
        <v>0</v>
      </c>
      <c r="AK66" s="28">
        <f t="shared" si="58"/>
        <v>0</v>
      </c>
      <c r="AL66" s="28">
        <f t="shared" si="58"/>
        <v>0</v>
      </c>
      <c r="AM66" s="28">
        <f t="shared" si="58"/>
        <v>0</v>
      </c>
      <c r="AN66" s="28">
        <f t="shared" si="58"/>
        <v>0</v>
      </c>
      <c r="AO66" s="28">
        <f t="shared" si="58"/>
        <v>0</v>
      </c>
      <c r="AP66" s="28">
        <f t="shared" si="58"/>
        <v>0</v>
      </c>
      <c r="AQ66" s="28">
        <f t="shared" si="58"/>
        <v>0</v>
      </c>
      <c r="AR66" s="28">
        <f t="shared" si="58"/>
        <v>0</v>
      </c>
      <c r="AS66" s="28">
        <f t="shared" ref="AS66:BX66" si="59">SUM(AS47:AS63)</f>
        <v>0</v>
      </c>
      <c r="AT66" s="28">
        <f t="shared" si="59"/>
        <v>0</v>
      </c>
      <c r="AU66" s="28">
        <f t="shared" si="59"/>
        <v>0</v>
      </c>
      <c r="AV66" s="28">
        <f t="shared" si="59"/>
        <v>0</v>
      </c>
      <c r="AW66" s="28">
        <f t="shared" si="59"/>
        <v>0</v>
      </c>
      <c r="AX66" s="28">
        <f t="shared" si="59"/>
        <v>0</v>
      </c>
      <c r="AY66" s="28">
        <f t="shared" si="59"/>
        <v>26.48</v>
      </c>
      <c r="AZ66" s="28">
        <f t="shared" si="59"/>
        <v>25.13</v>
      </c>
      <c r="BA66" s="28">
        <f t="shared" si="59"/>
        <v>19.309999999999999</v>
      </c>
      <c r="BB66" s="28">
        <f t="shared" si="59"/>
        <v>38.659999999999997</v>
      </c>
      <c r="BC66" s="28">
        <f t="shared" si="59"/>
        <v>114.88999999999999</v>
      </c>
      <c r="BD66" s="28">
        <f t="shared" si="59"/>
        <v>17.34</v>
      </c>
      <c r="BE66" s="28">
        <f t="shared" si="59"/>
        <v>0</v>
      </c>
      <c r="BF66" s="28">
        <f t="shared" si="59"/>
        <v>0</v>
      </c>
      <c r="BG66" s="28">
        <f t="shared" si="59"/>
        <v>0</v>
      </c>
      <c r="BH66" s="28">
        <f t="shared" si="59"/>
        <v>0</v>
      </c>
      <c r="BI66" s="28">
        <f t="shared" si="59"/>
        <v>0</v>
      </c>
      <c r="BJ66" s="28">
        <f t="shared" si="59"/>
        <v>0</v>
      </c>
      <c r="BK66" s="28">
        <f t="shared" si="59"/>
        <v>0</v>
      </c>
      <c r="BL66" s="28">
        <f t="shared" si="59"/>
        <v>0</v>
      </c>
      <c r="BM66" s="28">
        <f t="shared" si="59"/>
        <v>0</v>
      </c>
      <c r="BN66" s="28">
        <f t="shared" si="59"/>
        <v>0</v>
      </c>
      <c r="BO66" s="28">
        <f t="shared" si="59"/>
        <v>0</v>
      </c>
      <c r="BP66" s="28">
        <f t="shared" si="59"/>
        <v>0</v>
      </c>
      <c r="BQ66" s="28">
        <f t="shared" si="59"/>
        <v>0</v>
      </c>
      <c r="BR66" s="28">
        <f t="shared" si="59"/>
        <v>0</v>
      </c>
      <c r="BS66" s="28">
        <f t="shared" si="59"/>
        <v>0</v>
      </c>
      <c r="BT66" s="28">
        <f t="shared" si="59"/>
        <v>0</v>
      </c>
      <c r="BU66" s="28">
        <f t="shared" si="59"/>
        <v>0</v>
      </c>
      <c r="BV66" s="28">
        <f t="shared" si="59"/>
        <v>0</v>
      </c>
      <c r="BW66" s="28">
        <f t="shared" si="59"/>
        <v>0</v>
      </c>
      <c r="BX66" s="28">
        <f t="shared" si="59"/>
        <v>0</v>
      </c>
      <c r="BY66" s="28">
        <f t="shared" ref="BY66:CZ66" si="60">SUM(BY47:BY63)</f>
        <v>0</v>
      </c>
      <c r="BZ66" s="28">
        <f t="shared" si="60"/>
        <v>0</v>
      </c>
      <c r="CA66" s="28">
        <f t="shared" si="60"/>
        <v>0</v>
      </c>
      <c r="CB66" s="28">
        <f t="shared" si="60"/>
        <v>0</v>
      </c>
      <c r="CC66" s="28">
        <f t="shared" si="60"/>
        <v>0</v>
      </c>
      <c r="CD66" s="28">
        <f t="shared" si="60"/>
        <v>0</v>
      </c>
      <c r="CE66" s="28">
        <f t="shared" si="60"/>
        <v>0</v>
      </c>
      <c r="CF66" s="28">
        <f t="shared" si="60"/>
        <v>0</v>
      </c>
      <c r="CG66" s="28">
        <f t="shared" si="60"/>
        <v>0</v>
      </c>
      <c r="CH66" s="28">
        <f t="shared" si="60"/>
        <v>0</v>
      </c>
      <c r="CI66" s="28">
        <f t="shared" si="60"/>
        <v>0</v>
      </c>
      <c r="CJ66" s="28">
        <f t="shared" si="60"/>
        <v>0</v>
      </c>
      <c r="CK66" s="28">
        <f t="shared" si="60"/>
        <v>0</v>
      </c>
      <c r="CL66" s="28">
        <f t="shared" si="60"/>
        <v>0</v>
      </c>
      <c r="CM66" s="28">
        <f t="shared" si="60"/>
        <v>0</v>
      </c>
      <c r="CN66" s="28">
        <f t="shared" si="60"/>
        <v>0</v>
      </c>
      <c r="CO66" s="28">
        <f t="shared" si="60"/>
        <v>0</v>
      </c>
      <c r="CP66" s="28">
        <f t="shared" si="60"/>
        <v>0</v>
      </c>
      <c r="CQ66" s="28">
        <f t="shared" si="60"/>
        <v>0</v>
      </c>
      <c r="CR66" s="28">
        <f t="shared" si="60"/>
        <v>0</v>
      </c>
      <c r="CS66" s="28">
        <f t="shared" si="60"/>
        <v>0</v>
      </c>
      <c r="CT66" s="28">
        <f t="shared" si="60"/>
        <v>0</v>
      </c>
      <c r="CU66" s="28">
        <f t="shared" si="60"/>
        <v>0</v>
      </c>
      <c r="CV66" s="28">
        <f t="shared" si="60"/>
        <v>0</v>
      </c>
      <c r="CW66" s="28">
        <f t="shared" si="60"/>
        <v>0</v>
      </c>
      <c r="CX66" s="28">
        <f t="shared" si="60"/>
        <v>0</v>
      </c>
      <c r="CY66" s="28">
        <f t="shared" si="60"/>
        <v>0</v>
      </c>
      <c r="CZ66" s="28">
        <f t="shared" si="60"/>
        <v>0</v>
      </c>
      <c r="DA66" s="200"/>
      <c r="DB66" s="184"/>
      <c r="DC66" s="28">
        <f>SUM(D66:DB66)</f>
        <v>2152.8500000000004</v>
      </c>
      <c r="EI66" s="4" t="str">
        <f>+A67</f>
        <v>EUROS</v>
      </c>
      <c r="EJ66" s="28">
        <f t="shared" ref="EJ66:EQ66" ca="1" si="61">SUM(EJ47:EJ63)</f>
        <v>1240.55</v>
      </c>
      <c r="EK66" s="28">
        <f t="shared" ca="1" si="61"/>
        <v>670.49</v>
      </c>
      <c r="EL66" s="28">
        <f t="shared" ca="1" si="61"/>
        <v>241.81</v>
      </c>
      <c r="EM66" s="28">
        <f t="shared" ca="1" si="61"/>
        <v>0</v>
      </c>
      <c r="EN66" s="28" t="e">
        <f t="shared" ca="1" si="61"/>
        <v>#REF!</v>
      </c>
      <c r="EO66" s="28" t="e">
        <f t="shared" ca="1" si="61"/>
        <v>#REF!</v>
      </c>
      <c r="EP66" s="28" t="e">
        <f t="shared" ca="1" si="61"/>
        <v>#REF!</v>
      </c>
      <c r="EQ66" s="28" t="e">
        <f t="shared" ca="1" si="61"/>
        <v>#REF!</v>
      </c>
      <c r="ER66" s="61" t="e">
        <f ca="1">SUM(EJ66:EQ66)</f>
        <v>#REF!</v>
      </c>
      <c r="ES66" s="6">
        <f ca="1">SUM(EJ66:EM66)</f>
        <v>2152.85</v>
      </c>
    </row>
    <row r="67" spans="1:151">
      <c r="A67" s="9" t="s">
        <v>75</v>
      </c>
      <c r="EI67">
        <v>0</v>
      </c>
      <c r="EJ67" s="28"/>
      <c r="EK67" s="28"/>
      <c r="EL67" s="28"/>
      <c r="EM67" s="28"/>
      <c r="EN67" s="28"/>
      <c r="EO67" s="28"/>
      <c r="EP67" s="28"/>
      <c r="EQ67" s="28"/>
    </row>
    <row r="68" spans="1:151">
      <c r="EI68">
        <v>0</v>
      </c>
    </row>
    <row r="69" spans="1:151" outlineLevel="1">
      <c r="E69" s="2" t="str">
        <f>E$8</f>
        <v>Jeu</v>
      </c>
      <c r="F69" s="2" t="str">
        <f t="shared" ref="F69:BQ69" si="62">F$8</f>
        <v>Ven</v>
      </c>
      <c r="G69" s="2" t="str">
        <f t="shared" si="62"/>
        <v>Sam</v>
      </c>
      <c r="H69" s="2" t="str">
        <f t="shared" si="62"/>
        <v>Dim</v>
      </c>
      <c r="I69" s="2" t="str">
        <f t="shared" si="62"/>
        <v>Lundi</v>
      </c>
      <c r="J69" s="2" t="str">
        <f t="shared" si="62"/>
        <v>mardi</v>
      </c>
      <c r="K69" s="2" t="str">
        <f t="shared" si="62"/>
        <v>Mer</v>
      </c>
      <c r="L69" s="2" t="str">
        <f t="shared" si="62"/>
        <v>Jeu</v>
      </c>
      <c r="M69" s="2" t="str">
        <f t="shared" si="62"/>
        <v>Ven</v>
      </c>
      <c r="N69" s="2" t="str">
        <f t="shared" si="62"/>
        <v>Sam</v>
      </c>
      <c r="O69" s="2" t="str">
        <f t="shared" si="62"/>
        <v>Dim</v>
      </c>
      <c r="P69" s="2" t="str">
        <f t="shared" si="62"/>
        <v>Lundi</v>
      </c>
      <c r="Q69" s="2" t="str">
        <f t="shared" si="62"/>
        <v>mardi</v>
      </c>
      <c r="R69" s="2" t="str">
        <f t="shared" si="62"/>
        <v>Mer</v>
      </c>
      <c r="S69" s="2" t="str">
        <f t="shared" si="62"/>
        <v>Jeu</v>
      </c>
      <c r="T69" s="2" t="str">
        <f t="shared" si="62"/>
        <v>Ven</v>
      </c>
      <c r="U69" s="2" t="str">
        <f t="shared" si="62"/>
        <v>Sam</v>
      </c>
      <c r="V69" s="2" t="str">
        <f t="shared" si="62"/>
        <v>Dim</v>
      </c>
      <c r="W69" s="2" t="str">
        <f t="shared" si="62"/>
        <v>Lundi</v>
      </c>
      <c r="X69" s="2" t="str">
        <f t="shared" si="62"/>
        <v>mardi</v>
      </c>
      <c r="Y69" s="2" t="str">
        <f t="shared" si="62"/>
        <v>Mer</v>
      </c>
      <c r="Z69" s="2" t="str">
        <f t="shared" si="62"/>
        <v>Jeu</v>
      </c>
      <c r="AA69" s="2" t="str">
        <f t="shared" si="62"/>
        <v>Ven</v>
      </c>
      <c r="AB69" s="2" t="str">
        <f t="shared" si="62"/>
        <v>Sam</v>
      </c>
      <c r="AC69" s="2" t="str">
        <f t="shared" si="62"/>
        <v>Dim</v>
      </c>
      <c r="AD69" s="2" t="str">
        <f t="shared" si="62"/>
        <v>Lundi</v>
      </c>
      <c r="AE69" s="2" t="str">
        <f t="shared" si="62"/>
        <v>mardi</v>
      </c>
      <c r="AF69" s="2" t="str">
        <f t="shared" si="62"/>
        <v>Mer</v>
      </c>
      <c r="AG69" s="2" t="str">
        <f t="shared" si="62"/>
        <v>Jeu</v>
      </c>
      <c r="AH69" s="2" t="str">
        <f t="shared" si="62"/>
        <v>Ven</v>
      </c>
      <c r="AI69" s="2" t="str">
        <f t="shared" si="62"/>
        <v>Sam</v>
      </c>
      <c r="AJ69" s="2" t="str">
        <f t="shared" si="62"/>
        <v>Dim</v>
      </c>
      <c r="AK69" s="2" t="str">
        <f t="shared" si="62"/>
        <v>Lundi</v>
      </c>
      <c r="AL69" s="2" t="str">
        <f t="shared" si="62"/>
        <v>mardi</v>
      </c>
      <c r="AM69" s="2" t="str">
        <f t="shared" si="62"/>
        <v>Mer</v>
      </c>
      <c r="AN69" s="2" t="str">
        <f t="shared" si="62"/>
        <v>Jeu</v>
      </c>
      <c r="AO69" s="2" t="str">
        <f t="shared" si="62"/>
        <v>Ven</v>
      </c>
      <c r="AP69" s="2" t="str">
        <f t="shared" si="62"/>
        <v>Sam</v>
      </c>
      <c r="AQ69" s="2" t="str">
        <f t="shared" si="62"/>
        <v>Dim</v>
      </c>
      <c r="AR69" s="2" t="str">
        <f t="shared" si="62"/>
        <v>Lundi</v>
      </c>
      <c r="AS69" s="2" t="str">
        <f t="shared" si="62"/>
        <v>mardi</v>
      </c>
      <c r="AT69" s="2" t="str">
        <f t="shared" si="62"/>
        <v>Mer</v>
      </c>
      <c r="AU69" s="2" t="str">
        <f t="shared" si="62"/>
        <v>Jeu</v>
      </c>
      <c r="AV69" s="2" t="str">
        <f t="shared" si="62"/>
        <v>Ven</v>
      </c>
      <c r="AW69" s="2" t="str">
        <f t="shared" si="62"/>
        <v>Sam</v>
      </c>
      <c r="AX69" s="2" t="str">
        <f t="shared" si="62"/>
        <v>Dim</v>
      </c>
      <c r="AY69" s="2" t="str">
        <f t="shared" si="62"/>
        <v>Lundi</v>
      </c>
      <c r="AZ69" s="2" t="str">
        <f t="shared" si="62"/>
        <v>mardi</v>
      </c>
      <c r="BA69" s="2" t="str">
        <f t="shared" si="62"/>
        <v>Mer</v>
      </c>
      <c r="BB69" s="2" t="str">
        <f t="shared" si="62"/>
        <v>Jeu</v>
      </c>
      <c r="BC69" s="2" t="str">
        <f t="shared" si="62"/>
        <v>Ven</v>
      </c>
      <c r="BD69" s="2" t="str">
        <f t="shared" si="62"/>
        <v>Sam</v>
      </c>
      <c r="BE69" s="2" t="str">
        <f t="shared" si="62"/>
        <v>Dim</v>
      </c>
      <c r="BF69" s="2" t="str">
        <f t="shared" si="62"/>
        <v>Lundi</v>
      </c>
      <c r="BG69" s="2" t="str">
        <f t="shared" si="62"/>
        <v>mardi</v>
      </c>
      <c r="BH69" s="2" t="str">
        <f t="shared" si="62"/>
        <v>Mer</v>
      </c>
      <c r="BI69" s="2" t="str">
        <f t="shared" si="62"/>
        <v>Jeu</v>
      </c>
      <c r="BJ69" s="2" t="str">
        <f t="shared" si="62"/>
        <v>Ven</v>
      </c>
      <c r="BK69" s="2" t="str">
        <f t="shared" si="62"/>
        <v>Sam</v>
      </c>
      <c r="BL69" s="2" t="str">
        <f t="shared" si="62"/>
        <v>Dim</v>
      </c>
      <c r="BM69" s="2" t="str">
        <f t="shared" si="62"/>
        <v>Lundi</v>
      </c>
      <c r="BN69" s="2" t="str">
        <f t="shared" si="62"/>
        <v>mardi</v>
      </c>
      <c r="BO69" s="2" t="str">
        <f t="shared" si="62"/>
        <v>Mer</v>
      </c>
      <c r="BP69" s="2" t="str">
        <f t="shared" si="62"/>
        <v>Jeu</v>
      </c>
      <c r="BQ69" s="2" t="str">
        <f t="shared" si="62"/>
        <v>Ven</v>
      </c>
      <c r="BR69" s="2" t="str">
        <f t="shared" ref="BR69:DB69" si="63">BR$8</f>
        <v>Sam</v>
      </c>
      <c r="BS69" s="2" t="str">
        <f t="shared" si="63"/>
        <v>Dim</v>
      </c>
      <c r="BT69" s="2" t="str">
        <f t="shared" si="63"/>
        <v>Lundi</v>
      </c>
      <c r="BU69" s="2" t="str">
        <f t="shared" si="63"/>
        <v>mardi</v>
      </c>
      <c r="BV69" s="2" t="str">
        <f t="shared" si="63"/>
        <v>Mer</v>
      </c>
      <c r="BW69" s="2" t="str">
        <f t="shared" si="63"/>
        <v>Jeu</v>
      </c>
      <c r="BX69" s="2" t="str">
        <f t="shared" si="63"/>
        <v>Ven</v>
      </c>
      <c r="BY69" s="2" t="str">
        <f t="shared" si="63"/>
        <v>Sam</v>
      </c>
      <c r="BZ69" s="2" t="str">
        <f t="shared" si="63"/>
        <v>Dim</v>
      </c>
      <c r="CA69" s="2" t="str">
        <f t="shared" si="63"/>
        <v>Lundi</v>
      </c>
      <c r="CB69" s="2" t="str">
        <f t="shared" si="63"/>
        <v>mardi</v>
      </c>
      <c r="CC69" s="2" t="str">
        <f t="shared" si="63"/>
        <v>Mer</v>
      </c>
      <c r="CD69" s="2" t="str">
        <f t="shared" si="63"/>
        <v>Jeu</v>
      </c>
      <c r="CE69" s="2" t="str">
        <f t="shared" si="63"/>
        <v>Ven</v>
      </c>
      <c r="CF69" s="2" t="str">
        <f t="shared" si="63"/>
        <v>Sam</v>
      </c>
      <c r="CG69" s="2" t="str">
        <f t="shared" si="63"/>
        <v>Dim</v>
      </c>
      <c r="CH69" s="2" t="str">
        <f t="shared" si="63"/>
        <v>Lundi</v>
      </c>
      <c r="CI69" s="2" t="str">
        <f t="shared" si="63"/>
        <v>mardi</v>
      </c>
      <c r="CJ69" s="2" t="str">
        <f t="shared" si="63"/>
        <v>Mer</v>
      </c>
      <c r="CK69" s="2" t="str">
        <f t="shared" si="63"/>
        <v>Jeu</v>
      </c>
      <c r="CL69" s="2" t="str">
        <f t="shared" si="63"/>
        <v>Ven</v>
      </c>
      <c r="CM69" s="2" t="str">
        <f t="shared" si="63"/>
        <v>Sam</v>
      </c>
      <c r="CN69" s="2" t="str">
        <f t="shared" si="63"/>
        <v>Dim</v>
      </c>
      <c r="CO69" s="2" t="str">
        <f t="shared" si="63"/>
        <v>Lundi</v>
      </c>
      <c r="CP69" s="2" t="str">
        <f t="shared" si="63"/>
        <v>mardi</v>
      </c>
      <c r="CQ69" s="2" t="str">
        <f t="shared" si="63"/>
        <v>Mer</v>
      </c>
      <c r="CR69" s="2" t="str">
        <f t="shared" si="63"/>
        <v>Jeu</v>
      </c>
      <c r="CS69" s="2" t="str">
        <f t="shared" si="63"/>
        <v>Ven</v>
      </c>
      <c r="CT69" s="2" t="str">
        <f t="shared" si="63"/>
        <v>Sam</v>
      </c>
      <c r="CU69" s="2" t="str">
        <f t="shared" si="63"/>
        <v>Dim</v>
      </c>
      <c r="CV69" s="2" t="str">
        <f t="shared" si="63"/>
        <v>Lundi</v>
      </c>
      <c r="CW69" s="2" t="str">
        <f t="shared" si="63"/>
        <v>mardi</v>
      </c>
      <c r="CX69" s="2" t="str">
        <f t="shared" si="63"/>
        <v>Mer</v>
      </c>
      <c r="CY69" s="2" t="str">
        <f t="shared" si="63"/>
        <v>Jeu</v>
      </c>
      <c r="CZ69" s="2" t="str">
        <f t="shared" si="63"/>
        <v>Ven</v>
      </c>
      <c r="DA69" s="11" t="str">
        <f t="shared" si="63"/>
        <v>Ven</v>
      </c>
      <c r="DB69" s="177">
        <f t="shared" si="63"/>
        <v>0</v>
      </c>
      <c r="EI69">
        <v>0</v>
      </c>
    </row>
    <row r="70" spans="1:151" outlineLevel="1">
      <c r="E70" s="39">
        <f>E$9</f>
        <v>44637</v>
      </c>
      <c r="F70" s="39">
        <f t="shared" ref="F70:BQ70" si="64">F$9</f>
        <v>44638</v>
      </c>
      <c r="G70" s="39">
        <f t="shared" si="64"/>
        <v>44639</v>
      </c>
      <c r="H70" s="39">
        <f t="shared" si="64"/>
        <v>44640</v>
      </c>
      <c r="I70" s="39">
        <f t="shared" si="64"/>
        <v>44641</v>
      </c>
      <c r="J70" s="39">
        <f t="shared" si="64"/>
        <v>44642</v>
      </c>
      <c r="K70" s="39">
        <f t="shared" si="64"/>
        <v>44643</v>
      </c>
      <c r="L70" s="39">
        <f t="shared" si="64"/>
        <v>44644</v>
      </c>
      <c r="M70" s="39">
        <f t="shared" si="64"/>
        <v>44645</v>
      </c>
      <c r="N70" s="39">
        <f t="shared" si="64"/>
        <v>44646</v>
      </c>
      <c r="O70" s="39">
        <f t="shared" si="64"/>
        <v>44647</v>
      </c>
      <c r="P70" s="39">
        <f t="shared" si="64"/>
        <v>44648</v>
      </c>
      <c r="Q70" s="39">
        <f t="shared" si="64"/>
        <v>44649</v>
      </c>
      <c r="R70" s="39">
        <f t="shared" si="64"/>
        <v>44650</v>
      </c>
      <c r="S70" s="39">
        <f t="shared" si="64"/>
        <v>44651</v>
      </c>
      <c r="T70" s="39">
        <f t="shared" si="64"/>
        <v>44652</v>
      </c>
      <c r="U70" s="39">
        <f t="shared" si="64"/>
        <v>44653</v>
      </c>
      <c r="V70" s="39">
        <f t="shared" si="64"/>
        <v>44654</v>
      </c>
      <c r="W70" s="39">
        <f t="shared" si="64"/>
        <v>44655</v>
      </c>
      <c r="X70" s="39">
        <f t="shared" si="64"/>
        <v>44656</v>
      </c>
      <c r="Y70" s="39">
        <f t="shared" si="64"/>
        <v>44657</v>
      </c>
      <c r="Z70" s="39">
        <f t="shared" si="64"/>
        <v>44658</v>
      </c>
      <c r="AA70" s="39">
        <f t="shared" si="64"/>
        <v>44659</v>
      </c>
      <c r="AB70" s="39">
        <f t="shared" si="64"/>
        <v>44660</v>
      </c>
      <c r="AC70" s="39">
        <f t="shared" si="64"/>
        <v>44661</v>
      </c>
      <c r="AD70" s="39">
        <f t="shared" si="64"/>
        <v>44662</v>
      </c>
      <c r="AE70" s="39">
        <f t="shared" si="64"/>
        <v>44663</v>
      </c>
      <c r="AF70" s="39">
        <f t="shared" si="64"/>
        <v>44664</v>
      </c>
      <c r="AG70" s="39">
        <f t="shared" si="64"/>
        <v>44665</v>
      </c>
      <c r="AH70" s="39">
        <f t="shared" si="64"/>
        <v>44666</v>
      </c>
      <c r="AI70" s="39">
        <f t="shared" si="64"/>
        <v>44667</v>
      </c>
      <c r="AJ70" s="39">
        <f t="shared" si="64"/>
        <v>44668</v>
      </c>
      <c r="AK70" s="39">
        <f t="shared" si="64"/>
        <v>44669</v>
      </c>
      <c r="AL70" s="39">
        <f t="shared" si="64"/>
        <v>44670</v>
      </c>
      <c r="AM70" s="39">
        <f t="shared" si="64"/>
        <v>44671</v>
      </c>
      <c r="AN70" s="39">
        <f t="shared" si="64"/>
        <v>44672</v>
      </c>
      <c r="AO70" s="39">
        <f t="shared" si="64"/>
        <v>44673</v>
      </c>
      <c r="AP70" s="39">
        <f t="shared" si="64"/>
        <v>44674</v>
      </c>
      <c r="AQ70" s="39">
        <f t="shared" si="64"/>
        <v>44675</v>
      </c>
      <c r="AR70" s="39">
        <f t="shared" si="64"/>
        <v>44676</v>
      </c>
      <c r="AS70" s="39">
        <f t="shared" si="64"/>
        <v>44677</v>
      </c>
      <c r="AT70" s="39">
        <f t="shared" si="64"/>
        <v>44678</v>
      </c>
      <c r="AU70" s="39">
        <f t="shared" si="64"/>
        <v>44679</v>
      </c>
      <c r="AV70" s="39">
        <f t="shared" si="64"/>
        <v>44680</v>
      </c>
      <c r="AW70" s="39">
        <f t="shared" si="64"/>
        <v>44681</v>
      </c>
      <c r="AX70" s="39">
        <f t="shared" si="64"/>
        <v>44682</v>
      </c>
      <c r="AY70" s="39">
        <f t="shared" si="64"/>
        <v>44683</v>
      </c>
      <c r="AZ70" s="39">
        <f t="shared" si="64"/>
        <v>44684</v>
      </c>
      <c r="BA70" s="39">
        <f t="shared" si="64"/>
        <v>44685</v>
      </c>
      <c r="BB70" s="39">
        <f t="shared" si="64"/>
        <v>44686</v>
      </c>
      <c r="BC70" s="39">
        <f t="shared" si="64"/>
        <v>44687</v>
      </c>
      <c r="BD70" s="39">
        <f t="shared" si="64"/>
        <v>44688</v>
      </c>
      <c r="BE70" s="39">
        <f t="shared" si="64"/>
        <v>44689</v>
      </c>
      <c r="BF70" s="39">
        <f t="shared" si="64"/>
        <v>44690</v>
      </c>
      <c r="BG70" s="39">
        <f t="shared" si="64"/>
        <v>44691</v>
      </c>
      <c r="BH70" s="39">
        <f t="shared" si="64"/>
        <v>44692</v>
      </c>
      <c r="BI70" s="39">
        <f t="shared" si="64"/>
        <v>44693</v>
      </c>
      <c r="BJ70" s="39">
        <f t="shared" si="64"/>
        <v>44694</v>
      </c>
      <c r="BK70" s="39">
        <f t="shared" si="64"/>
        <v>44695</v>
      </c>
      <c r="BL70" s="39">
        <f t="shared" si="64"/>
        <v>44696</v>
      </c>
      <c r="BM70" s="39">
        <f t="shared" si="64"/>
        <v>44697</v>
      </c>
      <c r="BN70" s="39">
        <f t="shared" si="64"/>
        <v>44698</v>
      </c>
      <c r="BO70" s="39">
        <f t="shared" si="64"/>
        <v>44699</v>
      </c>
      <c r="BP70" s="39">
        <f t="shared" si="64"/>
        <v>44700</v>
      </c>
      <c r="BQ70" s="39">
        <f t="shared" si="64"/>
        <v>44701</v>
      </c>
      <c r="BR70" s="39">
        <f t="shared" ref="BR70:DB70" si="65">BR$9</f>
        <v>44702</v>
      </c>
      <c r="BS70" s="39">
        <f t="shared" si="65"/>
        <v>44703</v>
      </c>
      <c r="BT70" s="39">
        <f t="shared" si="65"/>
        <v>44704</v>
      </c>
      <c r="BU70" s="39">
        <f t="shared" si="65"/>
        <v>44705</v>
      </c>
      <c r="BV70" s="39">
        <f t="shared" si="65"/>
        <v>44706</v>
      </c>
      <c r="BW70" s="39">
        <f t="shared" si="65"/>
        <v>44707</v>
      </c>
      <c r="BX70" s="39">
        <f t="shared" si="65"/>
        <v>44708</v>
      </c>
      <c r="BY70" s="39">
        <f t="shared" si="65"/>
        <v>44709</v>
      </c>
      <c r="BZ70" s="39">
        <f t="shared" si="65"/>
        <v>44710</v>
      </c>
      <c r="CA70" s="39">
        <f t="shared" si="65"/>
        <v>44711</v>
      </c>
      <c r="CB70" s="39">
        <f t="shared" si="65"/>
        <v>44712</v>
      </c>
      <c r="CC70" s="39">
        <f t="shared" si="65"/>
        <v>44713</v>
      </c>
      <c r="CD70" s="39">
        <f t="shared" si="65"/>
        <v>44714</v>
      </c>
      <c r="CE70" s="39">
        <f t="shared" si="65"/>
        <v>44715</v>
      </c>
      <c r="CF70" s="39">
        <f t="shared" si="65"/>
        <v>44716</v>
      </c>
      <c r="CG70" s="39">
        <f t="shared" si="65"/>
        <v>44717</v>
      </c>
      <c r="CH70" s="39">
        <f t="shared" si="65"/>
        <v>44718</v>
      </c>
      <c r="CI70" s="39">
        <f t="shared" si="65"/>
        <v>44719</v>
      </c>
      <c r="CJ70" s="39">
        <f t="shared" si="65"/>
        <v>44720</v>
      </c>
      <c r="CK70" s="39">
        <f t="shared" si="65"/>
        <v>44721</v>
      </c>
      <c r="CL70" s="39">
        <f t="shared" si="65"/>
        <v>44722</v>
      </c>
      <c r="CM70" s="39">
        <f t="shared" si="65"/>
        <v>44723</v>
      </c>
      <c r="CN70" s="39">
        <f t="shared" si="65"/>
        <v>44724</v>
      </c>
      <c r="CO70" s="39">
        <f t="shared" si="65"/>
        <v>44725</v>
      </c>
      <c r="CP70" s="39">
        <f t="shared" si="65"/>
        <v>44726</v>
      </c>
      <c r="CQ70" s="39">
        <f t="shared" si="65"/>
        <v>44727</v>
      </c>
      <c r="CR70" s="39">
        <f t="shared" si="65"/>
        <v>44728</v>
      </c>
      <c r="CS70" s="39">
        <f t="shared" si="65"/>
        <v>44729</v>
      </c>
      <c r="CT70" s="39">
        <f t="shared" si="65"/>
        <v>44730</v>
      </c>
      <c r="CU70" s="39">
        <f t="shared" si="65"/>
        <v>44731</v>
      </c>
      <c r="CV70" s="39">
        <f t="shared" si="65"/>
        <v>44732</v>
      </c>
      <c r="CW70" s="39">
        <f t="shared" si="65"/>
        <v>44733</v>
      </c>
      <c r="CX70" s="39">
        <f t="shared" si="65"/>
        <v>44734</v>
      </c>
      <c r="CY70" s="39">
        <f t="shared" si="65"/>
        <v>44735</v>
      </c>
      <c r="CZ70" s="39">
        <f t="shared" si="65"/>
        <v>44736</v>
      </c>
      <c r="DA70" s="197">
        <f t="shared" si="65"/>
        <v>44008</v>
      </c>
      <c r="DB70" s="183">
        <f t="shared" si="65"/>
        <v>0</v>
      </c>
      <c r="EI70">
        <v>0</v>
      </c>
      <c r="ES70" s="2" t="s">
        <v>552</v>
      </c>
      <c r="ET70" t="s">
        <v>550</v>
      </c>
      <c r="EU70" t="s">
        <v>551</v>
      </c>
    </row>
    <row r="71" spans="1:151" ht="15" outlineLevel="1" thickBot="1">
      <c r="E71" s="2" t="str">
        <f>+E$7</f>
        <v>Nbre jours</v>
      </c>
      <c r="F71" s="2">
        <f t="shared" ref="F71:BD71" si="66">+F$7</f>
        <v>1</v>
      </c>
      <c r="G71" s="2">
        <f t="shared" si="66"/>
        <v>2</v>
      </c>
      <c r="H71" s="2">
        <f t="shared" si="66"/>
        <v>3</v>
      </c>
      <c r="I71" s="2">
        <f t="shared" si="66"/>
        <v>4</v>
      </c>
      <c r="J71" s="2">
        <f t="shared" si="66"/>
        <v>5</v>
      </c>
      <c r="K71" s="2">
        <f t="shared" si="66"/>
        <v>6</v>
      </c>
      <c r="L71" s="2">
        <f t="shared" si="66"/>
        <v>7</v>
      </c>
      <c r="M71" s="2">
        <f t="shared" si="66"/>
        <v>8</v>
      </c>
      <c r="N71" s="2">
        <f t="shared" si="66"/>
        <v>9</v>
      </c>
      <c r="O71" s="2">
        <f t="shared" si="66"/>
        <v>10</v>
      </c>
      <c r="P71" s="2">
        <f t="shared" si="66"/>
        <v>11</v>
      </c>
      <c r="Q71" s="2">
        <f t="shared" si="66"/>
        <v>12</v>
      </c>
      <c r="R71" s="2">
        <f t="shared" si="66"/>
        <v>13</v>
      </c>
      <c r="S71" s="2">
        <f t="shared" si="66"/>
        <v>14</v>
      </c>
      <c r="T71" s="2">
        <f t="shared" si="66"/>
        <v>15</v>
      </c>
      <c r="U71" s="2">
        <f t="shared" si="66"/>
        <v>16</v>
      </c>
      <c r="V71" s="2">
        <f t="shared" si="66"/>
        <v>17</v>
      </c>
      <c r="W71" s="2">
        <f t="shared" si="66"/>
        <v>18</v>
      </c>
      <c r="X71" s="2">
        <f t="shared" si="66"/>
        <v>19</v>
      </c>
      <c r="Y71" s="2">
        <f t="shared" si="66"/>
        <v>20</v>
      </c>
      <c r="Z71" s="2">
        <f t="shared" si="66"/>
        <v>21</v>
      </c>
      <c r="AA71" s="2">
        <f t="shared" si="66"/>
        <v>22</v>
      </c>
      <c r="AB71" s="2">
        <f t="shared" si="66"/>
        <v>23</v>
      </c>
      <c r="AC71" s="2">
        <f t="shared" si="66"/>
        <v>24</v>
      </c>
      <c r="AD71" s="2">
        <f t="shared" si="66"/>
        <v>25</v>
      </c>
      <c r="AE71" s="2">
        <f t="shared" si="66"/>
        <v>26</v>
      </c>
      <c r="AF71" s="2">
        <f t="shared" si="66"/>
        <v>27</v>
      </c>
      <c r="AG71" s="2">
        <f t="shared" si="66"/>
        <v>28</v>
      </c>
      <c r="AH71" s="2">
        <f t="shared" si="66"/>
        <v>29</v>
      </c>
      <c r="AI71" s="2">
        <f t="shared" si="66"/>
        <v>30</v>
      </c>
      <c r="AJ71" s="2">
        <f t="shared" si="66"/>
        <v>31</v>
      </c>
      <c r="AK71" s="2">
        <f t="shared" si="66"/>
        <v>32</v>
      </c>
      <c r="AL71" s="2">
        <f t="shared" si="66"/>
        <v>33</v>
      </c>
      <c r="AM71" s="2">
        <f t="shared" si="66"/>
        <v>34</v>
      </c>
      <c r="AN71" s="2">
        <f t="shared" si="66"/>
        <v>35</v>
      </c>
      <c r="AO71" s="2">
        <f t="shared" si="66"/>
        <v>36</v>
      </c>
      <c r="AP71" s="2">
        <f t="shared" si="66"/>
        <v>37</v>
      </c>
      <c r="AQ71" s="2">
        <f t="shared" si="66"/>
        <v>38</v>
      </c>
      <c r="AR71" s="2">
        <f t="shared" si="66"/>
        <v>39</v>
      </c>
      <c r="AS71" s="2">
        <f t="shared" si="66"/>
        <v>40</v>
      </c>
      <c r="AT71" s="2">
        <f t="shared" si="66"/>
        <v>41</v>
      </c>
      <c r="AU71" s="2">
        <f t="shared" si="66"/>
        <v>42</v>
      </c>
      <c r="AV71" s="2">
        <f t="shared" si="66"/>
        <v>43</v>
      </c>
      <c r="AW71" s="2">
        <f t="shared" si="66"/>
        <v>44</v>
      </c>
      <c r="AX71" s="2">
        <f t="shared" si="66"/>
        <v>45</v>
      </c>
      <c r="AY71" s="2">
        <f t="shared" si="66"/>
        <v>46</v>
      </c>
      <c r="AZ71" s="2">
        <f t="shared" si="66"/>
        <v>47</v>
      </c>
      <c r="BA71" s="2">
        <f t="shared" si="66"/>
        <v>48</v>
      </c>
      <c r="BB71" s="2">
        <f t="shared" si="66"/>
        <v>49</v>
      </c>
      <c r="BC71" s="2">
        <f t="shared" si="66"/>
        <v>50</v>
      </c>
      <c r="BD71" s="2">
        <f t="shared" si="66"/>
        <v>51</v>
      </c>
      <c r="BE71" s="2">
        <f t="shared" ref="BE71:DB71" si="67">BE$7</f>
        <v>52</v>
      </c>
      <c r="BF71" s="2">
        <f t="shared" si="67"/>
        <v>53</v>
      </c>
      <c r="BG71" s="2">
        <f t="shared" si="67"/>
        <v>54</v>
      </c>
      <c r="BH71" s="2">
        <f t="shared" si="67"/>
        <v>55</v>
      </c>
      <c r="BI71" s="2">
        <f t="shared" si="67"/>
        <v>56</v>
      </c>
      <c r="BJ71" s="2">
        <f t="shared" si="67"/>
        <v>57</v>
      </c>
      <c r="BK71" s="2">
        <f t="shared" si="67"/>
        <v>58</v>
      </c>
      <c r="BL71" s="2">
        <f t="shared" si="67"/>
        <v>59</v>
      </c>
      <c r="BM71" s="2">
        <f t="shared" si="67"/>
        <v>60</v>
      </c>
      <c r="BN71" s="2">
        <f t="shared" si="67"/>
        <v>61</v>
      </c>
      <c r="BO71" s="2">
        <f t="shared" si="67"/>
        <v>62</v>
      </c>
      <c r="BP71" s="2">
        <f t="shared" si="67"/>
        <v>63</v>
      </c>
      <c r="BQ71" s="2">
        <f t="shared" si="67"/>
        <v>64</v>
      </c>
      <c r="BR71" s="2">
        <f t="shared" si="67"/>
        <v>65</v>
      </c>
      <c r="BS71" s="2">
        <f t="shared" si="67"/>
        <v>66</v>
      </c>
      <c r="BT71" s="2">
        <f t="shared" si="67"/>
        <v>67</v>
      </c>
      <c r="BU71" s="2">
        <f t="shared" si="67"/>
        <v>68</v>
      </c>
      <c r="BV71" s="2">
        <f t="shared" si="67"/>
        <v>69</v>
      </c>
      <c r="BW71" s="2">
        <f t="shared" si="67"/>
        <v>70</v>
      </c>
      <c r="BX71" s="2">
        <f t="shared" si="67"/>
        <v>71</v>
      </c>
      <c r="BY71" s="2">
        <f t="shared" si="67"/>
        <v>72</v>
      </c>
      <c r="BZ71" s="2">
        <f t="shared" si="67"/>
        <v>73</v>
      </c>
      <c r="CA71" s="2">
        <f t="shared" si="67"/>
        <v>74</v>
      </c>
      <c r="CB71" s="2">
        <f t="shared" si="67"/>
        <v>75</v>
      </c>
      <c r="CC71" s="2">
        <f t="shared" si="67"/>
        <v>76</v>
      </c>
      <c r="CD71" s="2">
        <f t="shared" si="67"/>
        <v>77</v>
      </c>
      <c r="CE71" s="2">
        <f t="shared" si="67"/>
        <v>78</v>
      </c>
      <c r="CF71" s="2">
        <f t="shared" si="67"/>
        <v>79</v>
      </c>
      <c r="CG71" s="2">
        <f t="shared" si="67"/>
        <v>80</v>
      </c>
      <c r="CH71" s="2">
        <f t="shared" si="67"/>
        <v>81</v>
      </c>
      <c r="CI71" s="2">
        <f t="shared" si="67"/>
        <v>82</v>
      </c>
      <c r="CJ71" s="2">
        <f t="shared" si="67"/>
        <v>83</v>
      </c>
      <c r="CK71" s="2">
        <f t="shared" si="67"/>
        <v>84</v>
      </c>
      <c r="CL71" s="2">
        <f t="shared" si="67"/>
        <v>85</v>
      </c>
      <c r="CM71" s="2">
        <f t="shared" si="67"/>
        <v>86</v>
      </c>
      <c r="CN71" s="2">
        <f t="shared" si="67"/>
        <v>87</v>
      </c>
      <c r="CO71" s="2">
        <f t="shared" si="67"/>
        <v>88</v>
      </c>
      <c r="CP71" s="2">
        <f t="shared" si="67"/>
        <v>89</v>
      </c>
      <c r="CQ71" s="2">
        <f t="shared" si="67"/>
        <v>90</v>
      </c>
      <c r="CR71" s="2">
        <f t="shared" si="67"/>
        <v>91</v>
      </c>
      <c r="CS71" s="2">
        <f t="shared" si="67"/>
        <v>92</v>
      </c>
      <c r="CT71" s="2">
        <f t="shared" si="67"/>
        <v>93</v>
      </c>
      <c r="CU71" s="2">
        <f t="shared" si="67"/>
        <v>94</v>
      </c>
      <c r="CV71" s="2">
        <f t="shared" si="67"/>
        <v>95</v>
      </c>
      <c r="CW71" s="2">
        <f t="shared" si="67"/>
        <v>96</v>
      </c>
      <c r="CX71" s="2">
        <f t="shared" si="67"/>
        <v>97</v>
      </c>
      <c r="CY71" s="2">
        <f t="shared" si="67"/>
        <v>98</v>
      </c>
      <c r="CZ71" s="2">
        <f t="shared" si="67"/>
        <v>224</v>
      </c>
      <c r="DA71" s="11">
        <f t="shared" si="67"/>
        <v>120</v>
      </c>
      <c r="DB71" s="177">
        <f t="shared" si="67"/>
        <v>0</v>
      </c>
      <c r="EI71">
        <v>0</v>
      </c>
      <c r="EJ71" s="118" t="str">
        <f t="shared" ref="EJ71:EQ71" si="68">+EJ$11</f>
        <v>MARS</v>
      </c>
      <c r="EK71" s="118" t="str">
        <f t="shared" si="68"/>
        <v>AVRIL</v>
      </c>
      <c r="EL71" s="118" t="str">
        <f t="shared" si="68"/>
        <v>MAI</v>
      </c>
      <c r="EM71" s="118" t="str">
        <f t="shared" si="68"/>
        <v>JUIN</v>
      </c>
      <c r="EN71" s="118" t="str">
        <f t="shared" si="68"/>
        <v>JUIL</v>
      </c>
      <c r="EO71" s="118" t="str">
        <f t="shared" si="68"/>
        <v>AOUT</v>
      </c>
      <c r="EP71" s="118" t="str">
        <f t="shared" si="68"/>
        <v>SEPT</v>
      </c>
      <c r="EQ71" s="118" t="str">
        <f t="shared" si="68"/>
        <v>OCT</v>
      </c>
    </row>
    <row r="72" spans="1:151" outlineLevel="1">
      <c r="A72" t="s">
        <v>205</v>
      </c>
      <c r="B72" t="s">
        <v>328</v>
      </c>
      <c r="C72" s="72" t="s">
        <v>205</v>
      </c>
      <c r="D72" s="6">
        <v>0</v>
      </c>
      <c r="E72" s="6">
        <f t="shared" ref="E72:N79" si="69">+SUMIF($C$12:$C$29,$C72,E$12:E$29)/E$6+SUMIF($C$46:$C$63,$C72,E$47:E$64)</f>
        <v>0</v>
      </c>
      <c r="F72" s="6">
        <f t="shared" si="69"/>
        <v>7.1984435797665371</v>
      </c>
      <c r="G72" s="6">
        <f t="shared" si="69"/>
        <v>0</v>
      </c>
      <c r="H72" s="6">
        <f t="shared" si="69"/>
        <v>6.4591439688715955</v>
      </c>
      <c r="I72" s="6">
        <f t="shared" si="69"/>
        <v>2.7237354085603114</v>
      </c>
      <c r="J72" s="6">
        <f t="shared" si="69"/>
        <v>0</v>
      </c>
      <c r="K72" s="6">
        <f t="shared" si="69"/>
        <v>2.1400778210116731</v>
      </c>
      <c r="L72" s="6">
        <f t="shared" si="69"/>
        <v>5.2529182879377432</v>
      </c>
      <c r="M72" s="6">
        <f t="shared" si="69"/>
        <v>4.6692607003891053</v>
      </c>
      <c r="N72" s="6">
        <f t="shared" si="69"/>
        <v>0</v>
      </c>
      <c r="O72" s="6">
        <f t="shared" ref="O72:X79" si="70">+SUMIF($C$12:$C$29,$C72,O$12:O$29)/O$6+SUMIF($C$46:$C$63,$C72,O$47:O$64)</f>
        <v>3.8910505836575875</v>
      </c>
      <c r="P72" s="6">
        <f t="shared" si="70"/>
        <v>0</v>
      </c>
      <c r="Q72" s="6">
        <f t="shared" si="70"/>
        <v>7.0038910505836576</v>
      </c>
      <c r="R72" s="6">
        <f t="shared" si="70"/>
        <v>1.1673151750972763</v>
      </c>
      <c r="S72" s="6">
        <f t="shared" si="70"/>
        <v>0</v>
      </c>
      <c r="T72" s="6">
        <f t="shared" si="70"/>
        <v>0</v>
      </c>
      <c r="U72" s="6">
        <f t="shared" si="70"/>
        <v>9.5100000000000016</v>
      </c>
      <c r="V72" s="6">
        <f t="shared" si="70"/>
        <v>5.0999999999999996</v>
      </c>
      <c r="W72" s="6">
        <f t="shared" si="70"/>
        <v>6.99</v>
      </c>
      <c r="X72" s="6">
        <f t="shared" si="70"/>
        <v>11.556420233463035</v>
      </c>
      <c r="Y72" s="6">
        <f t="shared" ref="Y72:AH79" si="71">+SUMIF($C$12:$C$29,$C72,Y$12:Y$29)/Y$6+SUMIF($C$46:$C$63,$C72,Y$47:Y$64)</f>
        <v>0</v>
      </c>
      <c r="Z72" s="6">
        <f t="shared" si="71"/>
        <v>1.7120622568093387</v>
      </c>
      <c r="AA72" s="6">
        <f t="shared" si="71"/>
        <v>3.1128404669260701</v>
      </c>
      <c r="AB72" s="6">
        <f t="shared" si="71"/>
        <v>17.509727626459146</v>
      </c>
      <c r="AC72" s="6">
        <f t="shared" si="71"/>
        <v>5.4474708171206228</v>
      </c>
      <c r="AD72" s="6">
        <f t="shared" si="71"/>
        <v>1.556420233463035</v>
      </c>
      <c r="AE72" s="6">
        <f t="shared" si="71"/>
        <v>0</v>
      </c>
      <c r="AF72" s="6">
        <f t="shared" si="71"/>
        <v>0</v>
      </c>
      <c r="AG72" s="6">
        <f t="shared" si="71"/>
        <v>1.0116731517509727</v>
      </c>
      <c r="AH72" s="6">
        <f t="shared" si="71"/>
        <v>2.3346303501945527</v>
      </c>
      <c r="AI72" s="6">
        <f t="shared" ref="AI72:AR79" si="72">+SUMIF($C$12:$C$29,$C72,AI$12:AI$29)/AI$6+SUMIF($C$46:$C$63,$C72,AI$47:AI$64)</f>
        <v>2.3346303501945527</v>
      </c>
      <c r="AJ72" s="6">
        <f t="shared" si="72"/>
        <v>1.5175097276264591</v>
      </c>
      <c r="AK72" s="6">
        <f t="shared" si="72"/>
        <v>0</v>
      </c>
      <c r="AL72" s="6">
        <f t="shared" si="72"/>
        <v>4.7846889952153111</v>
      </c>
      <c r="AM72" s="6">
        <f t="shared" si="72"/>
        <v>0.11961722488038279</v>
      </c>
      <c r="AN72" s="6">
        <f t="shared" si="72"/>
        <v>3.1897926634768741</v>
      </c>
      <c r="AO72" s="6">
        <f t="shared" si="72"/>
        <v>1.4354066985645935</v>
      </c>
      <c r="AP72" s="6">
        <f t="shared" si="72"/>
        <v>1.7942583732057418</v>
      </c>
      <c r="AQ72" s="6">
        <f t="shared" si="72"/>
        <v>12.559808612440193</v>
      </c>
      <c r="AR72" s="6">
        <f t="shared" si="72"/>
        <v>0</v>
      </c>
      <c r="AS72" s="6">
        <f t="shared" ref="AS72:BB79" si="73">+SUMIF($C$12:$C$29,$C72,AS$12:AS$29)/AS$6+SUMIF($C$46:$C$63,$C72,AS$47:AS$64)</f>
        <v>0.79744816586921852</v>
      </c>
      <c r="AT72" s="6">
        <f t="shared" si="73"/>
        <v>5.9808612440191391</v>
      </c>
      <c r="AU72" s="6">
        <f t="shared" si="73"/>
        <v>4.3859649122807021</v>
      </c>
      <c r="AV72" s="6">
        <f t="shared" si="73"/>
        <v>0.79744816586921852</v>
      </c>
      <c r="AW72" s="6">
        <f t="shared" si="73"/>
        <v>0</v>
      </c>
      <c r="AX72" s="6">
        <f t="shared" si="73"/>
        <v>0</v>
      </c>
      <c r="AY72" s="6">
        <f t="shared" si="73"/>
        <v>10.15625</v>
      </c>
      <c r="AZ72" s="6">
        <f t="shared" si="73"/>
        <v>7.0845059412132576</v>
      </c>
      <c r="BA72" s="6">
        <f t="shared" si="73"/>
        <v>4.9591541588492811</v>
      </c>
      <c r="BB72" s="6">
        <f t="shared" si="73"/>
        <v>6.0926751094434026</v>
      </c>
      <c r="BC72" s="6">
        <f t="shared" ref="BC72:BL79" si="74">+SUMIF($C$12:$C$29,$C72,BC$12:BC$29)/BC$6+SUMIF($C$46:$C$63,$C72,BC$47:BC$64)</f>
        <v>3.9673233270794248</v>
      </c>
      <c r="BD72" s="6">
        <f t="shared" si="74"/>
        <v>0</v>
      </c>
      <c r="BE72" s="6">
        <f t="shared" si="74"/>
        <v>2.1484375</v>
      </c>
      <c r="BF72" s="6">
        <f t="shared" si="74"/>
        <v>4.8828125</v>
      </c>
      <c r="BG72" s="6">
        <f t="shared" si="74"/>
        <v>3.3203125</v>
      </c>
      <c r="BH72" s="6">
        <f t="shared" si="74"/>
        <v>17.578125</v>
      </c>
      <c r="BI72" s="6">
        <f t="shared" si="74"/>
        <v>3.28125</v>
      </c>
      <c r="BJ72" s="6">
        <f t="shared" si="74"/>
        <v>20.8984375</v>
      </c>
      <c r="BK72" s="6">
        <f t="shared" si="74"/>
        <v>19.921875</v>
      </c>
      <c r="BL72" s="6">
        <f t="shared" si="74"/>
        <v>0</v>
      </c>
      <c r="BM72" s="6">
        <f t="shared" ref="BM72:BV79" si="75">+SUMIF($C$12:$C$29,$C72,BM$12:BM$29)/BM$6+SUMIF($C$46:$C$63,$C72,BM$47:BM$64)</f>
        <v>3.3905065815715996</v>
      </c>
      <c r="BN72" s="6">
        <f t="shared" si="75"/>
        <v>0</v>
      </c>
      <c r="BO72" s="6">
        <f t="shared" si="75"/>
        <v>10.171519744714798</v>
      </c>
      <c r="BP72" s="6">
        <f t="shared" si="75"/>
        <v>8.7754287993617872</v>
      </c>
      <c r="BQ72" s="6">
        <f t="shared" si="75"/>
        <v>18.348623853211009</v>
      </c>
      <c r="BR72" s="6">
        <f t="shared" si="75"/>
        <v>2.792181890706023</v>
      </c>
      <c r="BS72" s="6">
        <f t="shared" si="75"/>
        <v>9.1743119266055047</v>
      </c>
      <c r="BT72" s="6">
        <f t="shared" si="75"/>
        <v>15.157558835261268</v>
      </c>
      <c r="BU72" s="6">
        <f t="shared" si="75"/>
        <v>3.9888312724371757</v>
      </c>
      <c r="BV72" s="6">
        <f t="shared" si="75"/>
        <v>0</v>
      </c>
      <c r="BW72" s="6">
        <f t="shared" ref="BW72:CF79" si="76">+SUMIF($C$12:$C$29,$C72,BW$12:BW$29)/BW$6+SUMIF($C$46:$C$63,$C72,BW$47:BW$64)</f>
        <v>5.1854806541683285</v>
      </c>
      <c r="BX72" s="6">
        <f t="shared" si="76"/>
        <v>0</v>
      </c>
      <c r="BY72" s="6">
        <f t="shared" si="76"/>
        <v>7.1798962903869166</v>
      </c>
      <c r="BZ72" s="6">
        <f t="shared" si="76"/>
        <v>0</v>
      </c>
      <c r="CA72" s="6">
        <f t="shared" si="76"/>
        <v>1.9944156362185879</v>
      </c>
      <c r="CB72" s="6">
        <f t="shared" si="76"/>
        <v>0</v>
      </c>
      <c r="CC72" s="6">
        <f t="shared" si="76"/>
        <v>0</v>
      </c>
      <c r="CD72" s="6">
        <f t="shared" si="76"/>
        <v>0</v>
      </c>
      <c r="CE72" s="6">
        <f t="shared" si="76"/>
        <v>6.182688472277623</v>
      </c>
      <c r="CF72" s="6">
        <f t="shared" si="76"/>
        <v>0</v>
      </c>
      <c r="CG72" s="6">
        <f t="shared" ref="CG72:CP79" si="77">+SUMIF($C$12:$C$29,$C72,CG$12:CG$29)/CG$6+SUMIF($C$46:$C$63,$C72,CG$47:CG$64)</f>
        <v>0.99720781810929393</v>
      </c>
      <c r="CH72" s="6">
        <f t="shared" si="77"/>
        <v>0</v>
      </c>
      <c r="CI72" s="6">
        <f t="shared" si="77"/>
        <v>0</v>
      </c>
      <c r="CJ72" s="6">
        <f t="shared" si="77"/>
        <v>0</v>
      </c>
      <c r="CK72" s="6">
        <f t="shared" si="77"/>
        <v>6.1428001595532509</v>
      </c>
      <c r="CL72" s="6">
        <f t="shared" si="77"/>
        <v>0.99720781810929393</v>
      </c>
      <c r="CM72" s="6">
        <f t="shared" si="77"/>
        <v>0</v>
      </c>
      <c r="CN72" s="6">
        <f t="shared" si="77"/>
        <v>0</v>
      </c>
      <c r="CO72" s="6">
        <f t="shared" si="77"/>
        <v>7.9776625448743514</v>
      </c>
      <c r="CP72" s="6">
        <f t="shared" si="77"/>
        <v>0</v>
      </c>
      <c r="CQ72" s="6"/>
      <c r="CR72" s="6"/>
      <c r="CS72" s="6"/>
      <c r="CT72" s="6"/>
      <c r="CU72" s="6"/>
      <c r="CV72" s="6"/>
      <c r="CW72" s="6"/>
      <c r="CX72" s="6"/>
      <c r="CY72" s="6"/>
      <c r="CZ72" s="6"/>
      <c r="DA72" s="198"/>
      <c r="DB72" s="63"/>
      <c r="DC72" s="28">
        <f t="shared" ref="DC72:DC90" si="78">SUM(E72:DB72)</f>
        <v>358.79199767985682</v>
      </c>
      <c r="EI72" s="72" t="s">
        <v>205</v>
      </c>
      <c r="EJ72" s="63">
        <f ca="1">SUM((INDIRECT(EJ$9&amp;ROW()):(INDIRECT(EJ$10&amp;ROW()))))</f>
        <v>40.505836575875485</v>
      </c>
      <c r="EK72" s="63">
        <f ca="1">SUM((INDIRECT(EK$9&amp;ROW()):(INDIRECT(EK$10&amp;ROW()))))</f>
        <v>105.53868026982916</v>
      </c>
      <c r="EL72" s="63">
        <f ca="1">SUM((INDIRECT(EL$9&amp;ROW()):(INDIRECT(EL$10&amp;ROW()))))</f>
        <v>190.44991402122832</v>
      </c>
      <c r="EM72" s="63">
        <f ca="1">SUM((INDIRECT(EM$9&amp;ROW()):(INDIRECT(EM$10&amp;ROW()))))</f>
        <v>22.297566812923812</v>
      </c>
      <c r="EN72" s="63" t="e">
        <f ca="1">SUM((INDIRECT(EN$9&amp;ROW()):(INDIRECT(EN$10&amp;ROW()))))</f>
        <v>#REF!</v>
      </c>
      <c r="EO72" s="63" t="e">
        <f ca="1">SUM((INDIRECT(EO$9&amp;ROW()):(INDIRECT(EO$10&amp;ROW()))))</f>
        <v>#REF!</v>
      </c>
      <c r="EP72" s="63" t="e">
        <f ca="1">SUM((INDIRECT(EP$9&amp;ROW()):(INDIRECT(EP$10&amp;ROW()))))</f>
        <v>#REF!</v>
      </c>
      <c r="EQ72" s="63" t="e">
        <f ca="1">SUM((INDIRECT(EQ$9&amp;ROW()):(INDIRECT(EQ$10&amp;ROW()))))</f>
        <v>#REF!</v>
      </c>
    </row>
    <row r="73" spans="1:151" outlineLevel="1">
      <c r="A73" t="s">
        <v>203</v>
      </c>
      <c r="B73" t="s">
        <v>328</v>
      </c>
      <c r="C73" s="73" t="s">
        <v>203</v>
      </c>
      <c r="D73" s="6">
        <v>0</v>
      </c>
      <c r="E73" s="6">
        <f t="shared" si="69"/>
        <v>0</v>
      </c>
      <c r="F73" s="6">
        <f t="shared" si="69"/>
        <v>0</v>
      </c>
      <c r="G73" s="6">
        <f t="shared" si="69"/>
        <v>3.3073929961089497</v>
      </c>
      <c r="H73" s="6">
        <f t="shared" si="69"/>
        <v>3.8910505836575875</v>
      </c>
      <c r="I73" s="6">
        <f t="shared" si="69"/>
        <v>13.229571984435799</v>
      </c>
      <c r="J73" s="6">
        <f t="shared" si="69"/>
        <v>2.918287937743191</v>
      </c>
      <c r="K73" s="6">
        <f t="shared" si="69"/>
        <v>0</v>
      </c>
      <c r="L73" s="6">
        <f t="shared" si="69"/>
        <v>7.782101167315175</v>
      </c>
      <c r="M73" s="6">
        <f t="shared" si="69"/>
        <v>0</v>
      </c>
      <c r="N73" s="6">
        <f t="shared" si="69"/>
        <v>0</v>
      </c>
      <c r="O73" s="6">
        <f t="shared" si="70"/>
        <v>5.6420233463035023</v>
      </c>
      <c r="P73" s="6">
        <f t="shared" si="70"/>
        <v>1.9455252918287937</v>
      </c>
      <c r="Q73" s="6">
        <f t="shared" si="70"/>
        <v>5.0583657587548636</v>
      </c>
      <c r="R73" s="6">
        <f t="shared" si="70"/>
        <v>10.116731517509727</v>
      </c>
      <c r="S73" s="6">
        <f t="shared" si="70"/>
        <v>5.0583657587548636</v>
      </c>
      <c r="T73" s="6">
        <f t="shared" si="70"/>
        <v>5.4474708171206228</v>
      </c>
      <c r="U73" s="6">
        <f t="shared" si="70"/>
        <v>3.8499999999999996</v>
      </c>
      <c r="V73" s="6">
        <f t="shared" si="70"/>
        <v>6.2937062937062942</v>
      </c>
      <c r="W73" s="6">
        <f t="shared" si="70"/>
        <v>3</v>
      </c>
      <c r="X73" s="6">
        <f t="shared" si="70"/>
        <v>5.0583657587548636</v>
      </c>
      <c r="Y73" s="6">
        <f t="shared" si="71"/>
        <v>2.5291828793774318</v>
      </c>
      <c r="Z73" s="6">
        <f t="shared" si="71"/>
        <v>0</v>
      </c>
      <c r="AA73" s="6">
        <f t="shared" si="71"/>
        <v>12.840466926070039</v>
      </c>
      <c r="AB73" s="6">
        <f t="shared" si="71"/>
        <v>7.782101167315175</v>
      </c>
      <c r="AC73" s="6">
        <f t="shared" si="71"/>
        <v>0</v>
      </c>
      <c r="AD73" s="6">
        <f t="shared" si="71"/>
        <v>3.1128404669260701</v>
      </c>
      <c r="AE73" s="6">
        <f t="shared" si="71"/>
        <v>4.8638132295719849</v>
      </c>
      <c r="AF73" s="6">
        <f t="shared" si="71"/>
        <v>10.700389105058367</v>
      </c>
      <c r="AG73" s="6">
        <f t="shared" si="71"/>
        <v>10.544747081712062</v>
      </c>
      <c r="AH73" s="6">
        <f t="shared" si="71"/>
        <v>4.6692607003891053</v>
      </c>
      <c r="AI73" s="6">
        <f t="shared" si="72"/>
        <v>0</v>
      </c>
      <c r="AJ73" s="6">
        <f t="shared" si="72"/>
        <v>0</v>
      </c>
      <c r="AK73" s="6">
        <f t="shared" si="72"/>
        <v>1.1961722488038278</v>
      </c>
      <c r="AL73" s="6">
        <f t="shared" si="72"/>
        <v>2.9904306220095696</v>
      </c>
      <c r="AM73" s="6">
        <f t="shared" si="72"/>
        <v>1.594896331738437</v>
      </c>
      <c r="AN73" s="6">
        <f t="shared" si="72"/>
        <v>1.7942583732057418</v>
      </c>
      <c r="AO73" s="6">
        <f t="shared" si="72"/>
        <v>2.192982456140351</v>
      </c>
      <c r="AP73" s="6">
        <f t="shared" si="72"/>
        <v>0</v>
      </c>
      <c r="AQ73" s="6">
        <f t="shared" si="72"/>
        <v>21.92982456140351</v>
      </c>
      <c r="AR73" s="6">
        <f t="shared" si="72"/>
        <v>6.7783094098883581</v>
      </c>
      <c r="AS73" s="6">
        <f t="shared" si="73"/>
        <v>6.7783094098883581</v>
      </c>
      <c r="AT73" s="6">
        <f t="shared" si="73"/>
        <v>13.556618819776716</v>
      </c>
      <c r="AU73" s="6">
        <f t="shared" si="73"/>
        <v>3.389154704944179</v>
      </c>
      <c r="AV73" s="6">
        <f t="shared" si="73"/>
        <v>0</v>
      </c>
      <c r="AW73" s="6">
        <f t="shared" si="73"/>
        <v>3.9872408293460926</v>
      </c>
      <c r="AX73" s="6">
        <f t="shared" si="73"/>
        <v>17.543859649122808</v>
      </c>
      <c r="AY73" s="6">
        <f t="shared" si="73"/>
        <v>0</v>
      </c>
      <c r="AZ73" s="6">
        <f t="shared" si="73"/>
        <v>1.8419715447154472</v>
      </c>
      <c r="BA73" s="6">
        <f t="shared" si="73"/>
        <v>2.8338023764853029</v>
      </c>
      <c r="BB73" s="6">
        <f t="shared" si="73"/>
        <v>2.8338023764853029</v>
      </c>
      <c r="BC73" s="6">
        <f t="shared" si="74"/>
        <v>3.9673233270794248</v>
      </c>
      <c r="BD73" s="6">
        <f t="shared" si="74"/>
        <v>4.5340838023764851</v>
      </c>
      <c r="BE73" s="6">
        <f t="shared" si="74"/>
        <v>3.125</v>
      </c>
      <c r="BF73" s="6">
        <f t="shared" si="74"/>
        <v>9.375</v>
      </c>
      <c r="BG73" s="6">
        <f t="shared" si="74"/>
        <v>4.296875</v>
      </c>
      <c r="BH73" s="6">
        <f t="shared" si="74"/>
        <v>0</v>
      </c>
      <c r="BI73" s="6">
        <f t="shared" si="74"/>
        <v>17.578125</v>
      </c>
      <c r="BJ73" s="6">
        <f t="shared" si="74"/>
        <v>0</v>
      </c>
      <c r="BK73" s="6">
        <f t="shared" si="74"/>
        <v>0</v>
      </c>
      <c r="BL73" s="6">
        <f t="shared" si="74"/>
        <v>10.15625</v>
      </c>
      <c r="BM73" s="6">
        <f t="shared" si="75"/>
        <v>0</v>
      </c>
      <c r="BN73" s="6">
        <f t="shared" si="75"/>
        <v>15.955325089748703</v>
      </c>
      <c r="BO73" s="6">
        <f t="shared" si="75"/>
        <v>39.289988033506184</v>
      </c>
      <c r="BP73" s="6">
        <f t="shared" si="75"/>
        <v>0</v>
      </c>
      <c r="BQ73" s="6">
        <f t="shared" si="75"/>
        <v>0</v>
      </c>
      <c r="BR73" s="6">
        <f t="shared" si="75"/>
        <v>4.786597526924611</v>
      </c>
      <c r="BS73" s="6">
        <f t="shared" si="75"/>
        <v>0</v>
      </c>
      <c r="BT73" s="6">
        <f t="shared" si="75"/>
        <v>19.944156362185879</v>
      </c>
      <c r="BU73" s="6">
        <f t="shared" si="75"/>
        <v>2.3932987634623055</v>
      </c>
      <c r="BV73" s="6">
        <f t="shared" si="75"/>
        <v>5.5843637814120459</v>
      </c>
      <c r="BW73" s="6">
        <f t="shared" si="76"/>
        <v>0</v>
      </c>
      <c r="BX73" s="6">
        <f t="shared" si="76"/>
        <v>9.1743119266055047</v>
      </c>
      <c r="BY73" s="6">
        <f t="shared" si="76"/>
        <v>18.348623853211009</v>
      </c>
      <c r="BZ73" s="6">
        <f t="shared" si="76"/>
        <v>14.160351017151974</v>
      </c>
      <c r="CA73" s="6">
        <f t="shared" si="76"/>
        <v>7.9776625448743514</v>
      </c>
      <c r="CB73" s="6">
        <f t="shared" si="76"/>
        <v>5.9832469086557634</v>
      </c>
      <c r="CC73" s="6">
        <f t="shared" si="76"/>
        <v>5.1854806541683285</v>
      </c>
      <c r="CD73" s="6">
        <f t="shared" si="76"/>
        <v>54.846429996011167</v>
      </c>
      <c r="CE73" s="6">
        <f t="shared" si="76"/>
        <v>7.1798962903869166</v>
      </c>
      <c r="CF73" s="6">
        <f t="shared" si="76"/>
        <v>14.758675708017551</v>
      </c>
      <c r="CG73" s="6">
        <f t="shared" si="77"/>
        <v>0</v>
      </c>
      <c r="CH73" s="6">
        <f t="shared" si="77"/>
        <v>19.146390107698444</v>
      </c>
      <c r="CI73" s="6">
        <f t="shared" si="77"/>
        <v>7.9776625448743514</v>
      </c>
      <c r="CJ73" s="6">
        <f t="shared" si="77"/>
        <v>55.045871559633028</v>
      </c>
      <c r="CK73" s="6">
        <f t="shared" si="77"/>
        <v>11.567610690067809</v>
      </c>
      <c r="CL73" s="6">
        <f t="shared" si="77"/>
        <v>6.3821300358994817</v>
      </c>
      <c r="CM73" s="6">
        <f t="shared" si="77"/>
        <v>12.365376944555246</v>
      </c>
      <c r="CN73" s="6">
        <f t="shared" si="77"/>
        <v>9.9720781810929395</v>
      </c>
      <c r="CO73" s="6">
        <f t="shared" si="77"/>
        <v>9.9720781810929395</v>
      </c>
      <c r="CP73" s="6">
        <f t="shared" si="77"/>
        <v>0</v>
      </c>
      <c r="CQ73" s="6">
        <f t="shared" ref="CQ73:DB87" si="79">+SUMIF($C$12:$C$27,$C73,CQ$12:CQ$27)/TAUXmoyen+SUMIF($C$46:$C$63,$C73,CQ$46:CQ$63)</f>
        <v>0</v>
      </c>
      <c r="CR73" s="6">
        <f t="shared" si="79"/>
        <v>0</v>
      </c>
      <c r="CS73" s="6">
        <f t="shared" si="79"/>
        <v>0</v>
      </c>
      <c r="CT73" s="6">
        <f t="shared" si="79"/>
        <v>0</v>
      </c>
      <c r="CU73" s="6">
        <f t="shared" si="79"/>
        <v>0</v>
      </c>
      <c r="CV73" s="6">
        <f t="shared" si="79"/>
        <v>0</v>
      </c>
      <c r="CW73" s="6">
        <f t="shared" si="79"/>
        <v>0</v>
      </c>
      <c r="CX73" s="6">
        <f t="shared" si="79"/>
        <v>0</v>
      </c>
      <c r="CY73" s="6">
        <f t="shared" si="79"/>
        <v>0</v>
      </c>
      <c r="CZ73" s="6">
        <f t="shared" si="79"/>
        <v>0</v>
      </c>
      <c r="DA73" s="198">
        <f t="shared" si="79"/>
        <v>0</v>
      </c>
      <c r="DB73" s="63">
        <f t="shared" si="79"/>
        <v>0</v>
      </c>
      <c r="DC73" s="28">
        <f t="shared" si="78"/>
        <v>641.91365831306086</v>
      </c>
      <c r="EI73" s="73" t="s">
        <v>203</v>
      </c>
      <c r="EJ73" s="63">
        <f ca="1">SUM((INDIRECT(EJ$9&amp;ROW()):(INDIRECT(EJ$10&amp;ROW()))))</f>
        <v>58.949416342412462</v>
      </c>
      <c r="EK73" s="63">
        <f ca="1">SUM((INDIRECT(EK$9&amp;ROW()):(INDIRECT(EK$10&amp;ROW()))))</f>
        <v>146.88054219314716</v>
      </c>
      <c r="EL73" s="63">
        <f ca="1">SUM((INDIRECT(EL$9&amp;ROW()):(INDIRECT(EL$10&amp;ROW()))))</f>
        <v>221.68401888400308</v>
      </c>
      <c r="EM73" s="63">
        <f ca="1">SUM((INDIRECT(EM$9&amp;ROW()):(INDIRECT(EM$10&amp;ROW()))))</f>
        <v>214.39968089349821</v>
      </c>
      <c r="EN73" s="63" t="e">
        <f ca="1">SUM((INDIRECT(EN$9&amp;ROW()):(INDIRECT(EN$10&amp;ROW()))))</f>
        <v>#REF!</v>
      </c>
      <c r="EO73" s="63" t="e">
        <f ca="1">SUM((INDIRECT(EO$9&amp;ROW()):(INDIRECT(EO$10&amp;ROW()))))</f>
        <v>#REF!</v>
      </c>
      <c r="EP73" s="63" t="e">
        <f ca="1">SUM((INDIRECT(EP$9&amp;ROW()):(INDIRECT(EP$10&amp;ROW()))))</f>
        <v>#REF!</v>
      </c>
      <c r="EQ73" s="63" t="e">
        <f ca="1">SUM((INDIRECT(EQ$9&amp;ROW()):(INDIRECT(EQ$10&amp;ROW()))))</f>
        <v>#REF!</v>
      </c>
      <c r="ER73" t="s">
        <v>553</v>
      </c>
      <c r="ET73" s="179">
        <v>4617</v>
      </c>
      <c r="EU73" s="142">
        <f>+ET73/7</f>
        <v>659.57142857142856</v>
      </c>
    </row>
    <row r="74" spans="1:151" outlineLevel="1">
      <c r="A74" t="s">
        <v>204</v>
      </c>
      <c r="B74" t="s">
        <v>328</v>
      </c>
      <c r="C74" s="73" t="s">
        <v>204</v>
      </c>
      <c r="D74" s="6"/>
      <c r="E74" s="6">
        <f t="shared" si="69"/>
        <v>0</v>
      </c>
      <c r="F74" s="6">
        <f t="shared" si="69"/>
        <v>6.2256809338521402</v>
      </c>
      <c r="G74" s="6">
        <f t="shared" si="69"/>
        <v>17.509727626459146</v>
      </c>
      <c r="H74" s="6">
        <f t="shared" si="69"/>
        <v>7.0038910505836576</v>
      </c>
      <c r="I74" s="6">
        <f t="shared" si="69"/>
        <v>0</v>
      </c>
      <c r="J74" s="6">
        <f t="shared" si="69"/>
        <v>2.1400778210116731</v>
      </c>
      <c r="K74" s="6">
        <f t="shared" si="69"/>
        <v>17.509727626459146</v>
      </c>
      <c r="L74" s="6">
        <f t="shared" si="69"/>
        <v>0</v>
      </c>
      <c r="M74" s="6">
        <f t="shared" si="69"/>
        <v>33.463035019455255</v>
      </c>
      <c r="N74" s="6">
        <f t="shared" si="69"/>
        <v>11.673151750972764</v>
      </c>
      <c r="O74" s="6">
        <f t="shared" si="70"/>
        <v>4.8638132295719849</v>
      </c>
      <c r="P74" s="6">
        <f t="shared" si="70"/>
        <v>3.8910505836575875</v>
      </c>
      <c r="Q74" s="6">
        <f t="shared" si="70"/>
        <v>3.3073929961089497</v>
      </c>
      <c r="R74" s="6">
        <f t="shared" si="70"/>
        <v>0</v>
      </c>
      <c r="S74" s="6">
        <f t="shared" si="70"/>
        <v>1.556420233463035</v>
      </c>
      <c r="T74" s="6">
        <f t="shared" si="70"/>
        <v>17.47081712062257</v>
      </c>
      <c r="U74" s="6">
        <f t="shared" si="70"/>
        <v>24.34</v>
      </c>
      <c r="V74" s="6">
        <f t="shared" si="70"/>
        <v>7.6923076923076916</v>
      </c>
      <c r="W74" s="6">
        <f t="shared" si="70"/>
        <v>0</v>
      </c>
      <c r="X74" s="6">
        <f t="shared" si="70"/>
        <v>0</v>
      </c>
      <c r="Y74" s="6">
        <f t="shared" si="71"/>
        <v>13.618677042801556</v>
      </c>
      <c r="Z74" s="6">
        <f t="shared" si="71"/>
        <v>3.6964980544747084</v>
      </c>
      <c r="AA74" s="6">
        <f t="shared" si="71"/>
        <v>3.8910505836575875</v>
      </c>
      <c r="AB74" s="6">
        <f t="shared" si="71"/>
        <v>3.8910505836575875</v>
      </c>
      <c r="AC74" s="6">
        <f t="shared" si="71"/>
        <v>5.8754863813229576</v>
      </c>
      <c r="AD74" s="6">
        <f t="shared" si="71"/>
        <v>14.396887159533074</v>
      </c>
      <c r="AE74" s="6">
        <f t="shared" si="71"/>
        <v>1.9455252918287937</v>
      </c>
      <c r="AF74" s="6">
        <f t="shared" si="71"/>
        <v>5.8365758754863819</v>
      </c>
      <c r="AG74" s="6">
        <f t="shared" si="71"/>
        <v>16.536964980544749</v>
      </c>
      <c r="AH74" s="6">
        <f t="shared" si="71"/>
        <v>0</v>
      </c>
      <c r="AI74" s="6">
        <f t="shared" si="72"/>
        <v>1.9455252918287937</v>
      </c>
      <c r="AJ74" s="6">
        <f t="shared" si="72"/>
        <v>0</v>
      </c>
      <c r="AK74" s="6">
        <f t="shared" si="72"/>
        <v>3.7878787878787881</v>
      </c>
      <c r="AL74" s="6">
        <f t="shared" si="72"/>
        <v>13.556618819776716</v>
      </c>
      <c r="AM74" s="6">
        <f t="shared" si="72"/>
        <v>4.7846889952153111</v>
      </c>
      <c r="AN74" s="6">
        <f t="shared" si="72"/>
        <v>1.4354066985645935</v>
      </c>
      <c r="AO74" s="6">
        <f t="shared" si="72"/>
        <v>4.3859649122807021</v>
      </c>
      <c r="AP74" s="6">
        <f t="shared" si="72"/>
        <v>6.1802232854864441</v>
      </c>
      <c r="AQ74" s="6">
        <f t="shared" si="72"/>
        <v>13.955342902711324</v>
      </c>
      <c r="AR74" s="6">
        <f t="shared" si="72"/>
        <v>1.7942583732057418</v>
      </c>
      <c r="AS74" s="6">
        <f t="shared" si="73"/>
        <v>2.192982456140351</v>
      </c>
      <c r="AT74" s="6">
        <f t="shared" si="73"/>
        <v>1.7942583732057418</v>
      </c>
      <c r="AU74" s="6">
        <f t="shared" si="73"/>
        <v>0</v>
      </c>
      <c r="AV74" s="6">
        <f t="shared" si="73"/>
        <v>4.1866028708133971</v>
      </c>
      <c r="AW74" s="6">
        <f t="shared" si="73"/>
        <v>0</v>
      </c>
      <c r="AX74" s="6">
        <f t="shared" si="73"/>
        <v>0</v>
      </c>
      <c r="AY74" s="6">
        <f t="shared" si="73"/>
        <v>0</v>
      </c>
      <c r="AZ74" s="6">
        <f t="shared" si="73"/>
        <v>0</v>
      </c>
      <c r="BA74" s="6">
        <f t="shared" si="73"/>
        <v>0</v>
      </c>
      <c r="BB74" s="6">
        <f t="shared" si="73"/>
        <v>0</v>
      </c>
      <c r="BC74" s="6">
        <f t="shared" si="74"/>
        <v>4.8174640400250155</v>
      </c>
      <c r="BD74" s="6">
        <f t="shared" si="74"/>
        <v>0</v>
      </c>
      <c r="BE74" s="6">
        <f t="shared" si="74"/>
        <v>14.6484375</v>
      </c>
      <c r="BF74" s="6">
        <f t="shared" si="74"/>
        <v>2.734375</v>
      </c>
      <c r="BG74" s="6">
        <f t="shared" si="74"/>
        <v>1.953125</v>
      </c>
      <c r="BH74" s="6">
        <f t="shared" si="74"/>
        <v>2.9296875</v>
      </c>
      <c r="BI74" s="6">
        <f t="shared" si="74"/>
        <v>4.296875</v>
      </c>
      <c r="BJ74" s="6">
        <f t="shared" si="74"/>
        <v>0</v>
      </c>
      <c r="BK74" s="6">
        <f t="shared" si="74"/>
        <v>3.90625</v>
      </c>
      <c r="BL74" s="6">
        <f t="shared" si="74"/>
        <v>1.5625</v>
      </c>
      <c r="BM74" s="6">
        <f t="shared" si="75"/>
        <v>4.3877143996808936</v>
      </c>
      <c r="BN74" s="6">
        <f t="shared" si="75"/>
        <v>15.955325089748703</v>
      </c>
      <c r="BO74" s="6">
        <f t="shared" si="75"/>
        <v>3.1910650179497408</v>
      </c>
      <c r="BP74" s="6">
        <f t="shared" si="75"/>
        <v>3.5899481451934583</v>
      </c>
      <c r="BQ74" s="6">
        <f t="shared" si="75"/>
        <v>3.9888312724371757</v>
      </c>
      <c r="BR74" s="6">
        <f t="shared" si="75"/>
        <v>3.9888312724371757</v>
      </c>
      <c r="BS74" s="6">
        <f t="shared" si="75"/>
        <v>0</v>
      </c>
      <c r="BT74" s="6">
        <f t="shared" si="75"/>
        <v>0</v>
      </c>
      <c r="BU74" s="6">
        <f t="shared" si="75"/>
        <v>3.9888312724371757</v>
      </c>
      <c r="BV74" s="6">
        <f t="shared" si="75"/>
        <v>3.1910650179497408</v>
      </c>
      <c r="BW74" s="6">
        <f t="shared" si="76"/>
        <v>0</v>
      </c>
      <c r="BX74" s="6">
        <f t="shared" si="76"/>
        <v>5.5843637814120459</v>
      </c>
      <c r="BY74" s="6">
        <f t="shared" si="76"/>
        <v>7.7782209812524927</v>
      </c>
      <c r="BZ74" s="6">
        <f t="shared" si="76"/>
        <v>7.578779417630634</v>
      </c>
      <c r="CA74" s="6">
        <f t="shared" si="76"/>
        <v>2.5927403270841642</v>
      </c>
      <c r="CB74" s="6">
        <f t="shared" si="76"/>
        <v>6.9804547267650578</v>
      </c>
      <c r="CC74" s="6">
        <f t="shared" si="76"/>
        <v>0</v>
      </c>
      <c r="CD74" s="6">
        <f t="shared" si="76"/>
        <v>19.944156362185879</v>
      </c>
      <c r="CE74" s="6">
        <f t="shared" si="76"/>
        <v>5.9832469086557634</v>
      </c>
      <c r="CF74" s="6">
        <f t="shared" si="76"/>
        <v>11.966493817311527</v>
      </c>
      <c r="CG74" s="6">
        <f t="shared" si="77"/>
        <v>3.5899481451934583</v>
      </c>
      <c r="CH74" s="6">
        <f t="shared" si="77"/>
        <v>6.182688472277623</v>
      </c>
      <c r="CI74" s="6">
        <f t="shared" si="77"/>
        <v>3.1910650179497408</v>
      </c>
      <c r="CJ74" s="6">
        <f t="shared" si="77"/>
        <v>4.1882728360590349</v>
      </c>
      <c r="CK74" s="6">
        <f t="shared" si="77"/>
        <v>11.966493817311527</v>
      </c>
      <c r="CL74" s="6">
        <f t="shared" si="77"/>
        <v>0</v>
      </c>
      <c r="CM74" s="6">
        <f t="shared" si="77"/>
        <v>0</v>
      </c>
      <c r="CN74" s="6">
        <f t="shared" si="77"/>
        <v>13.562026326286398</v>
      </c>
      <c r="CO74" s="6">
        <f t="shared" si="77"/>
        <v>15.955325089748703</v>
      </c>
      <c r="CP74" s="6">
        <f t="shared" si="77"/>
        <v>0</v>
      </c>
      <c r="CQ74" s="6">
        <f t="shared" si="79"/>
        <v>0</v>
      </c>
      <c r="CR74" s="6">
        <f t="shared" si="79"/>
        <v>0</v>
      </c>
      <c r="CS74" s="6">
        <f t="shared" si="79"/>
        <v>0</v>
      </c>
      <c r="CT74" s="6">
        <f t="shared" si="79"/>
        <v>0</v>
      </c>
      <c r="CU74" s="6">
        <f t="shared" si="79"/>
        <v>0</v>
      </c>
      <c r="CV74" s="6">
        <f t="shared" si="79"/>
        <v>0</v>
      </c>
      <c r="CW74" s="6">
        <f t="shared" si="79"/>
        <v>0</v>
      </c>
      <c r="CX74" s="6">
        <f t="shared" si="79"/>
        <v>0</v>
      </c>
      <c r="CY74" s="6">
        <f t="shared" si="79"/>
        <v>0</v>
      </c>
      <c r="CZ74" s="6">
        <f t="shared" si="79"/>
        <v>0</v>
      </c>
      <c r="DA74" s="198">
        <f t="shared" si="79"/>
        <v>0</v>
      </c>
      <c r="DB74" s="63">
        <f t="shared" si="79"/>
        <v>0</v>
      </c>
      <c r="DC74" s="28">
        <f t="shared" si="78"/>
        <v>494.51016295992395</v>
      </c>
      <c r="EI74" s="73" t="s">
        <v>204</v>
      </c>
      <c r="EJ74" s="63">
        <f ca="1">SUM((INDIRECT(EJ$9&amp;ROW()):(INDIRECT(EJ$10&amp;ROW()))))</f>
        <v>109.14396887159533</v>
      </c>
      <c r="EK74" s="63">
        <f ca="1">SUM((INDIRECT(EK$9&amp;ROW()):(INDIRECT(EK$10&amp;ROW()))))</f>
        <v>179.19159253334558</v>
      </c>
      <c r="EL74" s="63">
        <f ca="1">SUM((INDIRECT(EL$9&amp;ROW()):(INDIRECT(EL$10&amp;ROW()))))</f>
        <v>109.64488476200349</v>
      </c>
      <c r="EM74" s="63">
        <f ca="1">SUM((INDIRECT(EM$9&amp;ROW()):(INDIRECT(EM$10&amp;ROW()))))</f>
        <v>96.529716792979656</v>
      </c>
      <c r="EN74" s="63" t="e">
        <f ca="1">SUM((INDIRECT(EN$9&amp;ROW()):(INDIRECT(EN$10&amp;ROW()))))</f>
        <v>#REF!</v>
      </c>
      <c r="EO74" s="63" t="e">
        <f ca="1">SUM((INDIRECT(EO$9&amp;ROW()):(INDIRECT(EO$10&amp;ROW()))))</f>
        <v>#REF!</v>
      </c>
      <c r="EP74" s="63" t="e">
        <f ca="1">SUM((INDIRECT(EP$9&amp;ROW()):(INDIRECT(EP$10&amp;ROW()))))</f>
        <v>#REF!</v>
      </c>
      <c r="EQ74" s="63" t="e">
        <f ca="1">SUM((INDIRECT(EQ$9&amp;ROW()):(INDIRECT(EQ$10&amp;ROW()))))</f>
        <v>#REF!</v>
      </c>
      <c r="EU74" s="142"/>
    </row>
    <row r="75" spans="1:151" outlineLevel="1">
      <c r="A75" t="s">
        <v>146</v>
      </c>
      <c r="B75" t="s">
        <v>328</v>
      </c>
      <c r="C75" s="73" t="s">
        <v>146</v>
      </c>
      <c r="D75" s="6"/>
      <c r="E75" s="6">
        <f t="shared" si="69"/>
        <v>0</v>
      </c>
      <c r="F75" s="6">
        <f t="shared" si="69"/>
        <v>2.9571984435797667</v>
      </c>
      <c r="G75" s="6">
        <f t="shared" si="69"/>
        <v>3.8910505836575875</v>
      </c>
      <c r="H75" s="6">
        <f t="shared" si="69"/>
        <v>3.6964980544747084</v>
      </c>
      <c r="I75" s="6">
        <f t="shared" si="69"/>
        <v>1.9455252918287937</v>
      </c>
      <c r="J75" s="6">
        <f t="shared" si="69"/>
        <v>0.77821011673151752</v>
      </c>
      <c r="K75" s="6">
        <f t="shared" si="69"/>
        <v>1.9455252918287937</v>
      </c>
      <c r="L75" s="6">
        <f t="shared" si="69"/>
        <v>1.7509727626459144</v>
      </c>
      <c r="M75" s="6">
        <f t="shared" si="69"/>
        <v>1.556420233463035</v>
      </c>
      <c r="N75" s="6">
        <f t="shared" si="69"/>
        <v>1.7120622568093387</v>
      </c>
      <c r="O75" s="6">
        <f t="shared" si="70"/>
        <v>1.1673151750972763</v>
      </c>
      <c r="P75" s="6">
        <f t="shared" si="70"/>
        <v>0.97276264591439687</v>
      </c>
      <c r="Q75" s="6">
        <f t="shared" si="70"/>
        <v>0</v>
      </c>
      <c r="R75" s="6">
        <f t="shared" si="70"/>
        <v>1.1673151750972763</v>
      </c>
      <c r="S75" s="6">
        <f t="shared" si="70"/>
        <v>0</v>
      </c>
      <c r="T75" s="6">
        <f t="shared" si="70"/>
        <v>0</v>
      </c>
      <c r="U75" s="6">
        <f t="shared" si="70"/>
        <v>0</v>
      </c>
      <c r="V75" s="6">
        <f t="shared" si="70"/>
        <v>4.1958041958041958</v>
      </c>
      <c r="W75" s="6">
        <f t="shared" si="70"/>
        <v>3.8910505836575875</v>
      </c>
      <c r="X75" s="6">
        <f t="shared" si="70"/>
        <v>3.3073929961089497</v>
      </c>
      <c r="Y75" s="6">
        <f t="shared" si="71"/>
        <v>1.1673151750972763</v>
      </c>
      <c r="Z75" s="6">
        <f t="shared" si="71"/>
        <v>0.58365758754863817</v>
      </c>
      <c r="AA75" s="6">
        <f t="shared" si="71"/>
        <v>8.1712062256809332</v>
      </c>
      <c r="AB75" s="6">
        <f t="shared" si="71"/>
        <v>1.9455252918287937</v>
      </c>
      <c r="AC75" s="6">
        <f t="shared" si="71"/>
        <v>2.1400778210116731</v>
      </c>
      <c r="AD75" s="6">
        <f t="shared" si="71"/>
        <v>2.7237354085603114</v>
      </c>
      <c r="AE75" s="6">
        <f t="shared" si="71"/>
        <v>12.840466926070039</v>
      </c>
      <c r="AF75" s="6">
        <f t="shared" si="71"/>
        <v>1.556420233463035</v>
      </c>
      <c r="AG75" s="6">
        <f t="shared" si="71"/>
        <v>6.0311284046692606</v>
      </c>
      <c r="AH75" s="6">
        <f t="shared" si="71"/>
        <v>0</v>
      </c>
      <c r="AI75" s="6">
        <f t="shared" si="72"/>
        <v>0</v>
      </c>
      <c r="AJ75" s="6">
        <f t="shared" si="72"/>
        <v>1.9455252918287937</v>
      </c>
      <c r="AK75" s="6">
        <f t="shared" si="72"/>
        <v>5.9808612440191391</v>
      </c>
      <c r="AL75" s="6">
        <f t="shared" si="72"/>
        <v>1.7942583732057418</v>
      </c>
      <c r="AM75" s="6">
        <f t="shared" si="72"/>
        <v>3.7878787878787881</v>
      </c>
      <c r="AN75" s="6">
        <f t="shared" si="72"/>
        <v>4.1866028708133971</v>
      </c>
      <c r="AO75" s="6">
        <f t="shared" si="72"/>
        <v>1.9936204146730463</v>
      </c>
      <c r="AP75" s="6">
        <f t="shared" si="72"/>
        <v>4.9840510366826161</v>
      </c>
      <c r="AQ75" s="6">
        <f t="shared" si="72"/>
        <v>0.99681020733652315</v>
      </c>
      <c r="AR75" s="6">
        <f t="shared" si="72"/>
        <v>4.1866028708133971</v>
      </c>
      <c r="AS75" s="6">
        <f t="shared" si="73"/>
        <v>4.1866028708133971</v>
      </c>
      <c r="AT75" s="6">
        <f t="shared" si="73"/>
        <v>0</v>
      </c>
      <c r="AU75" s="6">
        <f t="shared" si="73"/>
        <v>0.99681020733652315</v>
      </c>
      <c r="AV75" s="6">
        <f t="shared" si="73"/>
        <v>2.5917065390749605</v>
      </c>
      <c r="AW75" s="6">
        <f t="shared" si="73"/>
        <v>2.791068580542265</v>
      </c>
      <c r="AX75" s="6">
        <f t="shared" si="73"/>
        <v>1.3955342902711325</v>
      </c>
      <c r="AY75" s="6">
        <f t="shared" si="73"/>
        <v>6.3760553470919321</v>
      </c>
      <c r="AZ75" s="6">
        <f t="shared" si="73"/>
        <v>3.8256332082551596</v>
      </c>
      <c r="BA75" s="6">
        <f t="shared" si="73"/>
        <v>0</v>
      </c>
      <c r="BB75" s="6">
        <f t="shared" si="73"/>
        <v>1.9836616635397124</v>
      </c>
      <c r="BC75" s="6">
        <f t="shared" si="74"/>
        <v>1.9836616635397124</v>
      </c>
      <c r="BD75" s="6">
        <f t="shared" si="74"/>
        <v>3.6839430894308944</v>
      </c>
      <c r="BE75" s="6">
        <f t="shared" si="74"/>
        <v>1.953125</v>
      </c>
      <c r="BF75" s="6">
        <f t="shared" si="74"/>
        <v>5.078125</v>
      </c>
      <c r="BG75" s="6">
        <f t="shared" si="74"/>
        <v>0</v>
      </c>
      <c r="BH75" s="6">
        <f t="shared" si="74"/>
        <v>0</v>
      </c>
      <c r="BI75" s="6">
        <f t="shared" si="74"/>
        <v>2.1484375</v>
      </c>
      <c r="BJ75" s="6">
        <f t="shared" si="74"/>
        <v>2.734375</v>
      </c>
      <c r="BK75" s="6">
        <f t="shared" si="74"/>
        <v>3.671875</v>
      </c>
      <c r="BL75" s="6">
        <f t="shared" si="74"/>
        <v>0.9765625</v>
      </c>
      <c r="BM75" s="6">
        <f t="shared" si="75"/>
        <v>0.99720781810929393</v>
      </c>
      <c r="BN75" s="6">
        <f t="shared" si="75"/>
        <v>0.99720781810929393</v>
      </c>
      <c r="BO75" s="6">
        <f t="shared" si="75"/>
        <v>1.7949740725967291</v>
      </c>
      <c r="BP75" s="6">
        <f t="shared" si="75"/>
        <v>0</v>
      </c>
      <c r="BQ75" s="6">
        <f t="shared" si="75"/>
        <v>2.9916234543278817</v>
      </c>
      <c r="BR75" s="6">
        <f t="shared" si="75"/>
        <v>2.792181890706023</v>
      </c>
      <c r="BS75" s="6">
        <f t="shared" si="75"/>
        <v>0</v>
      </c>
      <c r="BT75" s="6">
        <f t="shared" si="75"/>
        <v>0.99720781810929393</v>
      </c>
      <c r="BU75" s="6">
        <f t="shared" si="75"/>
        <v>7.9776625448743514</v>
      </c>
      <c r="BV75" s="6">
        <f t="shared" si="75"/>
        <v>0.99720781810929393</v>
      </c>
      <c r="BW75" s="6">
        <f t="shared" si="76"/>
        <v>1.9944156362185879</v>
      </c>
      <c r="BX75" s="6">
        <f t="shared" si="76"/>
        <v>2.9916234543278817</v>
      </c>
      <c r="BY75" s="6">
        <f t="shared" si="76"/>
        <v>0</v>
      </c>
      <c r="BZ75" s="6">
        <f t="shared" si="76"/>
        <v>5.9832469086557634</v>
      </c>
      <c r="CA75" s="6">
        <f t="shared" si="76"/>
        <v>5.9832469086557634</v>
      </c>
      <c r="CB75" s="6">
        <f t="shared" si="76"/>
        <v>2.9916234543278817</v>
      </c>
      <c r="CC75" s="6">
        <f t="shared" si="76"/>
        <v>1.1966493817311528</v>
      </c>
      <c r="CD75" s="6">
        <f t="shared" si="76"/>
        <v>0</v>
      </c>
      <c r="CE75" s="6">
        <f t="shared" si="76"/>
        <v>4.786597526924611</v>
      </c>
      <c r="CF75" s="6">
        <f t="shared" si="76"/>
        <v>2.3932987634623055</v>
      </c>
      <c r="CG75" s="6">
        <f t="shared" si="77"/>
        <v>3.3905065815715996</v>
      </c>
      <c r="CH75" s="6">
        <f t="shared" si="77"/>
        <v>2.3932987634623055</v>
      </c>
      <c r="CI75" s="6">
        <f t="shared" si="77"/>
        <v>2.3932987634623055</v>
      </c>
      <c r="CJ75" s="6">
        <f t="shared" si="77"/>
        <v>2.3932987634623055</v>
      </c>
      <c r="CK75" s="6">
        <f t="shared" si="77"/>
        <v>0.99720781810929393</v>
      </c>
      <c r="CL75" s="6">
        <f t="shared" si="77"/>
        <v>0</v>
      </c>
      <c r="CM75" s="6">
        <f t="shared" si="77"/>
        <v>5.345033905065816</v>
      </c>
      <c r="CN75" s="6">
        <f t="shared" si="77"/>
        <v>3.2708416433984842</v>
      </c>
      <c r="CO75" s="6">
        <f t="shared" si="77"/>
        <v>2.3932987634623055</v>
      </c>
      <c r="CP75" s="6">
        <f t="shared" si="77"/>
        <v>0</v>
      </c>
      <c r="CQ75" s="6">
        <f t="shared" si="79"/>
        <v>0</v>
      </c>
      <c r="CR75" s="6">
        <f t="shared" si="79"/>
        <v>0</v>
      </c>
      <c r="CS75" s="6">
        <f t="shared" si="79"/>
        <v>0</v>
      </c>
      <c r="CT75" s="6">
        <f t="shared" si="79"/>
        <v>0</v>
      </c>
      <c r="CU75" s="6">
        <f t="shared" si="79"/>
        <v>0</v>
      </c>
      <c r="CV75" s="6">
        <f t="shared" si="79"/>
        <v>0</v>
      </c>
      <c r="CW75" s="6">
        <f t="shared" si="79"/>
        <v>0</v>
      </c>
      <c r="CX75" s="6">
        <f t="shared" si="79"/>
        <v>0</v>
      </c>
      <c r="CY75" s="6">
        <f t="shared" si="79"/>
        <v>0</v>
      </c>
      <c r="CZ75" s="6">
        <f t="shared" si="79"/>
        <v>0</v>
      </c>
      <c r="DA75" s="198">
        <f t="shared" si="79"/>
        <v>0</v>
      </c>
      <c r="DB75" s="63">
        <f t="shared" si="79"/>
        <v>0</v>
      </c>
      <c r="DC75" s="28">
        <f t="shared" si="78"/>
        <v>218.77078570901671</v>
      </c>
      <c r="EI75" s="73" t="s">
        <v>146</v>
      </c>
      <c r="EJ75" s="63">
        <f ca="1">SUM((INDIRECT(EJ$9&amp;ROW()):(INDIRECT(EJ$10&amp;ROW()))))</f>
        <v>23.54085603112841</v>
      </c>
      <c r="EK75" s="63">
        <f ca="1">SUM((INDIRECT(EK$9&amp;ROW()):(INDIRECT(EK$10&amp;ROW()))))</f>
        <v>88.97618014451929</v>
      </c>
      <c r="EL75" s="63">
        <f ca="1">SUM((INDIRECT(EL$9&amp;ROW()):(INDIRECT(EL$10&amp;ROW()))))</f>
        <v>75.300418859256581</v>
      </c>
      <c r="EM75" s="63">
        <f ca="1">SUM((INDIRECT(EM$9&amp;ROW()):(INDIRECT(EM$10&amp;ROW()))))</f>
        <v>30.953330674112483</v>
      </c>
      <c r="EN75" s="63" t="e">
        <f ca="1">SUM((INDIRECT(EN$9&amp;ROW()):(INDIRECT(EN$10&amp;ROW()))))</f>
        <v>#REF!</v>
      </c>
      <c r="EO75" s="63" t="e">
        <f ca="1">SUM((INDIRECT(EO$9&amp;ROW()):(INDIRECT(EO$10&amp;ROW()))))</f>
        <v>#REF!</v>
      </c>
      <c r="EP75" s="63" t="e">
        <f ca="1">SUM((INDIRECT(EP$9&amp;ROW()):(INDIRECT(EP$10&amp;ROW()))))</f>
        <v>#REF!</v>
      </c>
      <c r="EQ75" s="63" t="e">
        <f ca="1">SUM((INDIRECT(EQ$9&amp;ROW()):(INDIRECT(EQ$10&amp;ROW()))))</f>
        <v>#REF!</v>
      </c>
      <c r="EU75" s="142"/>
    </row>
    <row r="76" spans="1:151" ht="15" outlineLevel="1" thickBot="1">
      <c r="A76" t="s">
        <v>630</v>
      </c>
      <c r="B76" t="s">
        <v>328</v>
      </c>
      <c r="C76" s="73" t="s">
        <v>630</v>
      </c>
      <c r="D76" s="6">
        <v>0</v>
      </c>
      <c r="E76" s="6">
        <f t="shared" si="69"/>
        <v>0</v>
      </c>
      <c r="F76" s="6">
        <f t="shared" si="69"/>
        <v>0</v>
      </c>
      <c r="G76" s="6">
        <f t="shared" si="69"/>
        <v>0</v>
      </c>
      <c r="H76" s="6">
        <f t="shared" si="69"/>
        <v>0.77821011673151752</v>
      </c>
      <c r="I76" s="6">
        <f t="shared" si="69"/>
        <v>1.1673151750972763</v>
      </c>
      <c r="J76" s="6">
        <f t="shared" si="69"/>
        <v>2.3346303501945527</v>
      </c>
      <c r="K76" s="6">
        <f t="shared" si="69"/>
        <v>0.58365758754863817</v>
      </c>
      <c r="L76" s="6">
        <f t="shared" si="69"/>
        <v>1.1673151750972763</v>
      </c>
      <c r="M76" s="6">
        <f t="shared" si="69"/>
        <v>4.2801556420233462</v>
      </c>
      <c r="N76" s="6">
        <f t="shared" si="69"/>
        <v>0</v>
      </c>
      <c r="O76" s="6">
        <f t="shared" si="70"/>
        <v>0</v>
      </c>
      <c r="P76" s="6">
        <f t="shared" si="70"/>
        <v>0</v>
      </c>
      <c r="Q76" s="6">
        <f t="shared" si="70"/>
        <v>0</v>
      </c>
      <c r="R76" s="6">
        <f t="shared" si="70"/>
        <v>0</v>
      </c>
      <c r="S76" s="6">
        <f t="shared" si="70"/>
        <v>0</v>
      </c>
      <c r="T76" s="6">
        <f t="shared" si="70"/>
        <v>5.6031128404669266</v>
      </c>
      <c r="U76" s="6">
        <f t="shared" si="70"/>
        <v>15.24</v>
      </c>
      <c r="V76" s="6">
        <f t="shared" si="70"/>
        <v>6.9930069930069934</v>
      </c>
      <c r="W76" s="6">
        <f t="shared" si="70"/>
        <v>1.7509727626459144</v>
      </c>
      <c r="X76" s="6">
        <f t="shared" si="70"/>
        <v>2.3346303501945527</v>
      </c>
      <c r="Y76" s="6">
        <f t="shared" si="71"/>
        <v>3.3852140077821011</v>
      </c>
      <c r="Z76" s="6">
        <f t="shared" si="71"/>
        <v>0</v>
      </c>
      <c r="AA76" s="6">
        <f t="shared" si="71"/>
        <v>0</v>
      </c>
      <c r="AB76" s="6">
        <f t="shared" si="71"/>
        <v>0</v>
      </c>
      <c r="AC76" s="6">
        <f t="shared" si="71"/>
        <v>1.7509727626459144</v>
      </c>
      <c r="AD76" s="6">
        <f t="shared" si="71"/>
        <v>0.58365758754863817</v>
      </c>
      <c r="AE76" s="6">
        <f t="shared" si="71"/>
        <v>0</v>
      </c>
      <c r="AF76" s="6">
        <f t="shared" si="71"/>
        <v>0.77821011673151752</v>
      </c>
      <c r="AG76" s="6">
        <f t="shared" si="71"/>
        <v>0</v>
      </c>
      <c r="AH76" s="6">
        <f t="shared" si="71"/>
        <v>0</v>
      </c>
      <c r="AI76" s="6">
        <f t="shared" si="72"/>
        <v>7.0038910505836576</v>
      </c>
      <c r="AJ76" s="6">
        <f t="shared" si="72"/>
        <v>0</v>
      </c>
      <c r="AK76" s="6">
        <f t="shared" si="72"/>
        <v>0</v>
      </c>
      <c r="AL76" s="6">
        <f t="shared" si="72"/>
        <v>0</v>
      </c>
      <c r="AM76" s="6">
        <f t="shared" si="72"/>
        <v>5.3827751196172251</v>
      </c>
      <c r="AN76" s="6">
        <f t="shared" si="72"/>
        <v>0</v>
      </c>
      <c r="AO76" s="6">
        <f t="shared" si="72"/>
        <v>1.7942583732057418</v>
      </c>
      <c r="AP76" s="6">
        <f t="shared" si="72"/>
        <v>0</v>
      </c>
      <c r="AQ76" s="6">
        <f t="shared" si="72"/>
        <v>0</v>
      </c>
      <c r="AR76" s="6">
        <f t="shared" si="72"/>
        <v>0</v>
      </c>
      <c r="AS76" s="6">
        <f t="shared" si="73"/>
        <v>0</v>
      </c>
      <c r="AT76" s="6">
        <f t="shared" si="73"/>
        <v>0</v>
      </c>
      <c r="AU76" s="6">
        <f t="shared" si="73"/>
        <v>0</v>
      </c>
      <c r="AV76" s="6">
        <f t="shared" si="73"/>
        <v>0</v>
      </c>
      <c r="AW76" s="6">
        <f t="shared" si="73"/>
        <v>11.762360446570973</v>
      </c>
      <c r="AX76" s="6">
        <f t="shared" si="73"/>
        <v>0</v>
      </c>
      <c r="AY76" s="6">
        <f t="shared" si="73"/>
        <v>16.719434021263289</v>
      </c>
      <c r="AZ76" s="6">
        <f t="shared" si="73"/>
        <v>10.768449030644152</v>
      </c>
      <c r="BA76" s="6">
        <f t="shared" si="73"/>
        <v>12.185350218886803</v>
      </c>
      <c r="BB76" s="6">
        <f t="shared" si="73"/>
        <v>3.6839430894308944</v>
      </c>
      <c r="BC76" s="6">
        <f t="shared" si="74"/>
        <v>9.9749843652282681</v>
      </c>
      <c r="BD76" s="6">
        <f t="shared" si="74"/>
        <v>2.8338023764853029</v>
      </c>
      <c r="BE76" s="6">
        <f t="shared" si="74"/>
        <v>0.5859375</v>
      </c>
      <c r="BF76" s="6">
        <f t="shared" si="74"/>
        <v>0</v>
      </c>
      <c r="BG76" s="6">
        <f t="shared" si="74"/>
        <v>0.5078125</v>
      </c>
      <c r="BH76" s="6">
        <f t="shared" si="74"/>
        <v>0</v>
      </c>
      <c r="BI76" s="6">
        <f t="shared" si="74"/>
        <v>0.5859375</v>
      </c>
      <c r="BJ76" s="6">
        <f t="shared" si="74"/>
        <v>4.1015625</v>
      </c>
      <c r="BK76" s="6">
        <f t="shared" si="74"/>
        <v>4.609375</v>
      </c>
      <c r="BL76" s="6">
        <f t="shared" si="74"/>
        <v>0.5859375</v>
      </c>
      <c r="BM76" s="6">
        <f t="shared" si="75"/>
        <v>0</v>
      </c>
      <c r="BN76" s="6">
        <f t="shared" si="75"/>
        <v>2.9118468288791384</v>
      </c>
      <c r="BO76" s="6">
        <f t="shared" si="75"/>
        <v>0.59832469086557638</v>
      </c>
      <c r="BP76" s="6">
        <f t="shared" si="75"/>
        <v>9.9720781810929395</v>
      </c>
      <c r="BQ76" s="6">
        <f t="shared" si="75"/>
        <v>1.7949740725967291</v>
      </c>
      <c r="BR76" s="6">
        <f t="shared" si="75"/>
        <v>0</v>
      </c>
      <c r="BS76" s="6">
        <f t="shared" si="75"/>
        <v>0</v>
      </c>
      <c r="BT76" s="6">
        <f t="shared" si="75"/>
        <v>0</v>
      </c>
      <c r="BU76" s="6">
        <f t="shared" si="75"/>
        <v>0.51854806541683285</v>
      </c>
      <c r="BV76" s="6">
        <f t="shared" si="75"/>
        <v>0</v>
      </c>
      <c r="BW76" s="6">
        <f t="shared" si="76"/>
        <v>0</v>
      </c>
      <c r="BX76" s="6">
        <f t="shared" si="76"/>
        <v>0</v>
      </c>
      <c r="BY76" s="6">
        <f t="shared" si="76"/>
        <v>4.3877143996808936</v>
      </c>
      <c r="BZ76" s="6">
        <f t="shared" si="76"/>
        <v>2.9916234543278817</v>
      </c>
      <c r="CA76" s="6">
        <f t="shared" si="76"/>
        <v>2.3932987634623055</v>
      </c>
      <c r="CB76" s="6">
        <f t="shared" si="76"/>
        <v>0</v>
      </c>
      <c r="CC76" s="6">
        <f t="shared" si="76"/>
        <v>0.59832469086557638</v>
      </c>
      <c r="CD76" s="6">
        <f t="shared" si="76"/>
        <v>0</v>
      </c>
      <c r="CE76" s="6">
        <f t="shared" si="76"/>
        <v>7.7782209812524927</v>
      </c>
      <c r="CF76" s="6">
        <f t="shared" si="76"/>
        <v>0.59832469086557638</v>
      </c>
      <c r="CG76" s="6">
        <f t="shared" si="77"/>
        <v>2.3932987634623055</v>
      </c>
      <c r="CH76" s="6">
        <f t="shared" si="77"/>
        <v>7.7782209812524927</v>
      </c>
      <c r="CI76" s="6">
        <f t="shared" si="77"/>
        <v>0</v>
      </c>
      <c r="CJ76" s="6">
        <f t="shared" si="77"/>
        <v>0</v>
      </c>
      <c r="CK76" s="6">
        <f t="shared" si="77"/>
        <v>2.3932987634623055</v>
      </c>
      <c r="CL76" s="6">
        <f t="shared" si="77"/>
        <v>2.9916234543278817</v>
      </c>
      <c r="CM76" s="6">
        <f t="shared" si="77"/>
        <v>0</v>
      </c>
      <c r="CN76" s="6">
        <f t="shared" si="77"/>
        <v>0.59832469086557638</v>
      </c>
      <c r="CO76" s="6">
        <f t="shared" si="77"/>
        <v>0</v>
      </c>
      <c r="CP76" s="6">
        <f t="shared" si="77"/>
        <v>0</v>
      </c>
      <c r="CQ76" s="6">
        <f t="shared" si="79"/>
        <v>0</v>
      </c>
      <c r="CR76" s="6">
        <f t="shared" si="79"/>
        <v>0</v>
      </c>
      <c r="CS76" s="6">
        <f t="shared" si="79"/>
        <v>0</v>
      </c>
      <c r="CT76" s="6">
        <f t="shared" si="79"/>
        <v>0</v>
      </c>
      <c r="CU76" s="6">
        <f t="shared" si="79"/>
        <v>0</v>
      </c>
      <c r="CV76" s="6">
        <f t="shared" si="79"/>
        <v>0</v>
      </c>
      <c r="CW76" s="6">
        <f t="shared" si="79"/>
        <v>0</v>
      </c>
      <c r="CX76" s="6">
        <f t="shared" si="79"/>
        <v>0</v>
      </c>
      <c r="CY76" s="6">
        <f t="shared" si="79"/>
        <v>0</v>
      </c>
      <c r="CZ76" s="6">
        <f t="shared" si="79"/>
        <v>0</v>
      </c>
      <c r="DA76" s="198">
        <f t="shared" si="79"/>
        <v>0</v>
      </c>
      <c r="DB76" s="63">
        <f t="shared" si="79"/>
        <v>0</v>
      </c>
      <c r="DC76" s="28">
        <f t="shared" si="78"/>
        <v>192.51491753230798</v>
      </c>
      <c r="EI76" s="73" t="s">
        <v>148</v>
      </c>
      <c r="EJ76" s="63">
        <f ca="1">SUM((INDIRECT(EJ$9&amp;ROW()):(INDIRECT(EJ$10&amp;ROW()))))</f>
        <v>10.311284046692608</v>
      </c>
      <c r="EK76" s="63">
        <f ca="1">SUM((INDIRECT(EK$9&amp;ROW()):(INDIRECT(EK$10&amp;ROW()))))</f>
        <v>64.363062411000143</v>
      </c>
      <c r="EL76" s="63">
        <f ca="1">SUM((INDIRECT(EL$9&amp;ROW()):(INDIRECT(EL$10&amp;ROW()))))</f>
        <v>92.710934058261003</v>
      </c>
      <c r="EM76" s="63">
        <f ca="1">SUM((INDIRECT(EM$9&amp;ROW()):(INDIRECT(EM$10&amp;ROW()))))</f>
        <v>25.129637016354209</v>
      </c>
      <c r="EN76" s="63" t="e">
        <f ca="1">SUM((INDIRECT(EN$9&amp;ROW()):(INDIRECT(EN$10&amp;ROW()))))</f>
        <v>#REF!</v>
      </c>
      <c r="EO76" s="63" t="e">
        <f ca="1">SUM((INDIRECT(EO$9&amp;ROW()):(INDIRECT(EO$10&amp;ROW()))))</f>
        <v>#REF!</v>
      </c>
      <c r="EP76" s="63" t="e">
        <f ca="1">SUM((INDIRECT(EP$9&amp;ROW()):(INDIRECT(EP$10&amp;ROW()))))</f>
        <v>#REF!</v>
      </c>
      <c r="EQ76" s="63" t="e">
        <f ca="1">SUM((INDIRECT(EQ$9&amp;ROW()):(INDIRECT(EQ$10&amp;ROW()))))</f>
        <v>#REF!</v>
      </c>
      <c r="EU76" s="142"/>
    </row>
    <row r="77" spans="1:151" outlineLevel="1">
      <c r="A77" t="s">
        <v>560</v>
      </c>
      <c r="B77" t="s">
        <v>559</v>
      </c>
      <c r="C77" s="72" t="s">
        <v>149</v>
      </c>
      <c r="D77" s="6">
        <v>0</v>
      </c>
      <c r="E77" s="6">
        <f t="shared" si="69"/>
        <v>0</v>
      </c>
      <c r="F77" s="6">
        <f t="shared" si="69"/>
        <v>0</v>
      </c>
      <c r="G77" s="6">
        <f t="shared" si="69"/>
        <v>0</v>
      </c>
      <c r="H77" s="6">
        <f t="shared" si="69"/>
        <v>3.8910505836575875</v>
      </c>
      <c r="I77" s="6">
        <f t="shared" si="69"/>
        <v>2.3346303501945527</v>
      </c>
      <c r="J77" s="6">
        <f t="shared" si="69"/>
        <v>4.0856031128404666</v>
      </c>
      <c r="K77" s="6">
        <f t="shared" si="69"/>
        <v>0.77821011673151752</v>
      </c>
      <c r="L77" s="6">
        <f t="shared" si="69"/>
        <v>0.77821011673151752</v>
      </c>
      <c r="M77" s="6">
        <f t="shared" si="69"/>
        <v>0</v>
      </c>
      <c r="N77" s="6">
        <f t="shared" si="69"/>
        <v>3.5019455252918288</v>
      </c>
      <c r="O77" s="6">
        <f t="shared" si="70"/>
        <v>3.8910505836575875</v>
      </c>
      <c r="P77" s="6">
        <f t="shared" si="70"/>
        <v>4.6692607003891053</v>
      </c>
      <c r="Q77" s="6">
        <f t="shared" si="70"/>
        <v>1.556420233463035</v>
      </c>
      <c r="R77" s="6">
        <f t="shared" si="70"/>
        <v>0.77821011673151752</v>
      </c>
      <c r="S77" s="6">
        <f t="shared" si="70"/>
        <v>3.5019455252918288</v>
      </c>
      <c r="T77" s="6">
        <f t="shared" si="70"/>
        <v>0</v>
      </c>
      <c r="U77" s="6">
        <f t="shared" si="70"/>
        <v>0</v>
      </c>
      <c r="V77" s="6">
        <f t="shared" si="70"/>
        <v>0</v>
      </c>
      <c r="W77" s="6">
        <f t="shared" si="70"/>
        <v>0</v>
      </c>
      <c r="X77" s="6">
        <f t="shared" si="70"/>
        <v>0</v>
      </c>
      <c r="Y77" s="6">
        <f t="shared" si="71"/>
        <v>0</v>
      </c>
      <c r="Z77" s="6">
        <f t="shared" si="71"/>
        <v>0.77821011673151752</v>
      </c>
      <c r="AA77" s="6">
        <f t="shared" si="71"/>
        <v>1.1673151750972763</v>
      </c>
      <c r="AB77" s="6">
        <f t="shared" si="71"/>
        <v>1.1673151750972763</v>
      </c>
      <c r="AC77" s="6">
        <f t="shared" si="71"/>
        <v>0.97276264591439687</v>
      </c>
      <c r="AD77" s="6">
        <f t="shared" si="71"/>
        <v>2.3346303501945527</v>
      </c>
      <c r="AE77" s="6">
        <f t="shared" si="71"/>
        <v>0</v>
      </c>
      <c r="AF77" s="6">
        <f t="shared" si="71"/>
        <v>0</v>
      </c>
      <c r="AG77" s="6">
        <f t="shared" si="71"/>
        <v>0</v>
      </c>
      <c r="AH77" s="6">
        <f t="shared" si="71"/>
        <v>2.5291828793774318</v>
      </c>
      <c r="AI77" s="6">
        <f t="shared" si="72"/>
        <v>4.4747081712062258</v>
      </c>
      <c r="AJ77" s="6">
        <f t="shared" si="72"/>
        <v>4.2801556420233462</v>
      </c>
      <c r="AK77" s="6">
        <f t="shared" si="72"/>
        <v>1.1961722488038278</v>
      </c>
      <c r="AL77" s="6">
        <f t="shared" si="72"/>
        <v>5.7814992025518341</v>
      </c>
      <c r="AM77" s="6">
        <f t="shared" si="72"/>
        <v>0</v>
      </c>
      <c r="AN77" s="6">
        <f t="shared" si="72"/>
        <v>0</v>
      </c>
      <c r="AO77" s="6">
        <f t="shared" si="72"/>
        <v>1.1961722488038278</v>
      </c>
      <c r="AP77" s="6">
        <f t="shared" si="72"/>
        <v>1.1961722488038278</v>
      </c>
      <c r="AQ77" s="6">
        <f t="shared" si="72"/>
        <v>1.1961722488038278</v>
      </c>
      <c r="AR77" s="6">
        <f t="shared" si="72"/>
        <v>2.3923444976076556</v>
      </c>
      <c r="AS77" s="6">
        <f t="shared" si="73"/>
        <v>0.99681020733652315</v>
      </c>
      <c r="AT77" s="6">
        <f t="shared" si="73"/>
        <v>0</v>
      </c>
      <c r="AU77" s="6">
        <f t="shared" si="73"/>
        <v>0</v>
      </c>
      <c r="AV77" s="6">
        <f t="shared" si="73"/>
        <v>1.1961722488038278</v>
      </c>
      <c r="AW77" s="6">
        <f t="shared" si="73"/>
        <v>0</v>
      </c>
      <c r="AX77" s="6">
        <f t="shared" si="73"/>
        <v>1.594896331738437</v>
      </c>
      <c r="AY77" s="6">
        <f t="shared" si="73"/>
        <v>0</v>
      </c>
      <c r="AZ77" s="6">
        <f t="shared" si="73"/>
        <v>10.201688555347092</v>
      </c>
      <c r="BA77" s="6">
        <f t="shared" si="73"/>
        <v>2.8338023764853029</v>
      </c>
      <c r="BB77" s="6">
        <f t="shared" si="73"/>
        <v>1.4169011882426514</v>
      </c>
      <c r="BC77" s="6">
        <f t="shared" si="74"/>
        <v>0</v>
      </c>
      <c r="BD77" s="6">
        <f t="shared" si="74"/>
        <v>0</v>
      </c>
      <c r="BE77" s="6">
        <f t="shared" si="74"/>
        <v>1.5625</v>
      </c>
      <c r="BF77" s="6">
        <f t="shared" si="74"/>
        <v>1.171875</v>
      </c>
      <c r="BG77" s="6">
        <f t="shared" si="74"/>
        <v>0.78125</v>
      </c>
      <c r="BH77" s="6">
        <f t="shared" si="74"/>
        <v>0</v>
      </c>
      <c r="BI77" s="6">
        <f t="shared" si="74"/>
        <v>0</v>
      </c>
      <c r="BJ77" s="6">
        <f t="shared" si="74"/>
        <v>0</v>
      </c>
      <c r="BK77" s="6">
        <f t="shared" si="74"/>
        <v>0</v>
      </c>
      <c r="BL77" s="6">
        <f t="shared" si="74"/>
        <v>0</v>
      </c>
      <c r="BM77" s="6">
        <f t="shared" si="75"/>
        <v>0</v>
      </c>
      <c r="BN77" s="6">
        <f t="shared" si="75"/>
        <v>0</v>
      </c>
      <c r="BO77" s="6">
        <f t="shared" si="75"/>
        <v>0</v>
      </c>
      <c r="BP77" s="6">
        <f t="shared" si="75"/>
        <v>0</v>
      </c>
      <c r="BQ77" s="6">
        <f t="shared" si="75"/>
        <v>6.7810131631431991</v>
      </c>
      <c r="BR77" s="6">
        <f t="shared" si="75"/>
        <v>0</v>
      </c>
      <c r="BS77" s="6">
        <f t="shared" si="75"/>
        <v>0</v>
      </c>
      <c r="BT77" s="6">
        <f t="shared" si="75"/>
        <v>0</v>
      </c>
      <c r="BU77" s="6">
        <f t="shared" si="75"/>
        <v>0</v>
      </c>
      <c r="BV77" s="6">
        <f t="shared" si="75"/>
        <v>0</v>
      </c>
      <c r="BW77" s="6">
        <f t="shared" si="76"/>
        <v>0</v>
      </c>
      <c r="BX77" s="6">
        <f t="shared" si="76"/>
        <v>0</v>
      </c>
      <c r="BY77" s="6">
        <f t="shared" si="76"/>
        <v>0</v>
      </c>
      <c r="BZ77" s="6">
        <f t="shared" si="76"/>
        <v>0</v>
      </c>
      <c r="CA77" s="6">
        <f t="shared" si="76"/>
        <v>0</v>
      </c>
      <c r="CB77" s="6">
        <f t="shared" si="76"/>
        <v>0</v>
      </c>
      <c r="CC77" s="6">
        <f t="shared" si="76"/>
        <v>0</v>
      </c>
      <c r="CD77" s="6">
        <f t="shared" si="76"/>
        <v>0</v>
      </c>
      <c r="CE77" s="6">
        <f t="shared" si="76"/>
        <v>23.932987634623053</v>
      </c>
      <c r="CF77" s="6">
        <f t="shared" si="76"/>
        <v>0</v>
      </c>
      <c r="CG77" s="6">
        <f t="shared" si="77"/>
        <v>0</v>
      </c>
      <c r="CH77" s="6">
        <f t="shared" si="77"/>
        <v>0</v>
      </c>
      <c r="CI77" s="6">
        <f t="shared" si="77"/>
        <v>0</v>
      </c>
      <c r="CJ77" s="6">
        <f t="shared" si="77"/>
        <v>2.5927403270841642</v>
      </c>
      <c r="CK77" s="6">
        <f t="shared" si="77"/>
        <v>0</v>
      </c>
      <c r="CL77" s="6">
        <f t="shared" si="77"/>
        <v>0</v>
      </c>
      <c r="CM77" s="6">
        <f t="shared" si="77"/>
        <v>0</v>
      </c>
      <c r="CN77" s="6">
        <f t="shared" si="77"/>
        <v>0</v>
      </c>
      <c r="CO77" s="6">
        <f t="shared" si="77"/>
        <v>0</v>
      </c>
      <c r="CP77" s="6">
        <f t="shared" si="77"/>
        <v>0</v>
      </c>
      <c r="CQ77" s="6">
        <f t="shared" si="79"/>
        <v>0</v>
      </c>
      <c r="CR77" s="6">
        <f t="shared" si="79"/>
        <v>0</v>
      </c>
      <c r="CS77" s="6">
        <f t="shared" si="79"/>
        <v>0</v>
      </c>
      <c r="CT77" s="6">
        <f t="shared" si="79"/>
        <v>0</v>
      </c>
      <c r="CU77" s="6">
        <f t="shared" si="79"/>
        <v>0</v>
      </c>
      <c r="CV77" s="6">
        <f t="shared" si="79"/>
        <v>0</v>
      </c>
      <c r="CW77" s="6">
        <f t="shared" si="79"/>
        <v>0</v>
      </c>
      <c r="CX77" s="6">
        <f t="shared" si="79"/>
        <v>0</v>
      </c>
      <c r="CY77" s="6">
        <f t="shared" si="79"/>
        <v>0</v>
      </c>
      <c r="CZ77" s="6">
        <f t="shared" si="79"/>
        <v>0</v>
      </c>
      <c r="DA77" s="198">
        <f t="shared" si="79"/>
        <v>0</v>
      </c>
      <c r="DB77" s="63">
        <f t="shared" si="79"/>
        <v>0</v>
      </c>
      <c r="DC77" s="28">
        <f t="shared" si="78"/>
        <v>115.49198684880159</v>
      </c>
      <c r="EI77" s="72" t="s">
        <v>560</v>
      </c>
      <c r="EJ77" s="63">
        <f ca="1">SUM((INDIRECT(EJ$9&amp;ROW()):(INDIRECT(EJ$10&amp;ROW()))))</f>
        <v>29.766536964980546</v>
      </c>
      <c r="EK77" s="63">
        <f ca="1">SUM((INDIRECT(EK$9&amp;ROW()):(INDIRECT(EK$10&amp;ROW()))))</f>
        <v>32.855795307157173</v>
      </c>
      <c r="EL77" s="63">
        <f ca="1">SUM((INDIRECT(EL$9&amp;ROW()):(INDIRECT(EL$10&amp;ROW()))))</f>
        <v>26.343926614956683</v>
      </c>
      <c r="EM77" s="63">
        <f ca="1">SUM((INDIRECT(EM$9&amp;ROW()):(INDIRECT(EM$10&amp;ROW()))))</f>
        <v>26.525727961707219</v>
      </c>
      <c r="EN77" s="63" t="e">
        <f ca="1">SUM((INDIRECT(EN$9&amp;ROW()):(INDIRECT(EN$10&amp;ROW()))))</f>
        <v>#REF!</v>
      </c>
      <c r="EO77" s="63" t="e">
        <f ca="1">SUM((INDIRECT(EO$9&amp;ROW()):(INDIRECT(EO$10&amp;ROW()))))</f>
        <v>#REF!</v>
      </c>
      <c r="EP77" s="63" t="e">
        <f ca="1">SUM((INDIRECT(EP$9&amp;ROW()):(INDIRECT(EP$10&amp;ROW()))))</f>
        <v>#REF!</v>
      </c>
      <c r="EQ77" s="63" t="e">
        <f ca="1">SUM((INDIRECT(EQ$9&amp;ROW()):(INDIRECT(EQ$10&amp;ROW()))))</f>
        <v>#REF!</v>
      </c>
      <c r="EU77" s="142"/>
    </row>
    <row r="78" spans="1:151" outlineLevel="1">
      <c r="A78" t="s">
        <v>629</v>
      </c>
      <c r="B78" t="s">
        <v>559</v>
      </c>
      <c r="C78" s="73" t="s">
        <v>632</v>
      </c>
      <c r="D78" s="6">
        <v>0</v>
      </c>
      <c r="E78" s="6">
        <f t="shared" si="69"/>
        <v>0</v>
      </c>
      <c r="F78" s="6">
        <f t="shared" si="69"/>
        <v>13.618677042801556</v>
      </c>
      <c r="G78" s="6">
        <f t="shared" si="69"/>
        <v>0</v>
      </c>
      <c r="H78" s="6">
        <f t="shared" si="69"/>
        <v>0</v>
      </c>
      <c r="I78" s="6">
        <f t="shared" si="69"/>
        <v>0</v>
      </c>
      <c r="J78" s="6">
        <f t="shared" si="69"/>
        <v>0</v>
      </c>
      <c r="K78" s="6">
        <f t="shared" si="69"/>
        <v>0</v>
      </c>
      <c r="L78" s="6">
        <f t="shared" si="69"/>
        <v>0</v>
      </c>
      <c r="M78" s="6">
        <f t="shared" si="69"/>
        <v>0</v>
      </c>
      <c r="N78" s="6">
        <f t="shared" si="69"/>
        <v>0</v>
      </c>
      <c r="O78" s="6">
        <f t="shared" si="70"/>
        <v>0</v>
      </c>
      <c r="P78" s="6">
        <f t="shared" si="70"/>
        <v>0</v>
      </c>
      <c r="Q78" s="6">
        <f t="shared" si="70"/>
        <v>7.782101167315175</v>
      </c>
      <c r="R78" s="6">
        <f t="shared" si="70"/>
        <v>0</v>
      </c>
      <c r="S78" s="6">
        <f t="shared" si="70"/>
        <v>0</v>
      </c>
      <c r="T78" s="6">
        <f t="shared" si="70"/>
        <v>0</v>
      </c>
      <c r="U78" s="6">
        <f t="shared" si="70"/>
        <v>8.39</v>
      </c>
      <c r="V78" s="6">
        <f t="shared" si="70"/>
        <v>0</v>
      </c>
      <c r="W78" s="6">
        <f t="shared" si="70"/>
        <v>0</v>
      </c>
      <c r="X78" s="6">
        <f t="shared" si="70"/>
        <v>0</v>
      </c>
      <c r="Y78" s="6">
        <f t="shared" si="71"/>
        <v>0</v>
      </c>
      <c r="Z78" s="6">
        <f t="shared" si="71"/>
        <v>1.3229571984435797</v>
      </c>
      <c r="AA78" s="6">
        <f t="shared" si="71"/>
        <v>3.1128404669260701</v>
      </c>
      <c r="AB78" s="6">
        <f t="shared" si="71"/>
        <v>0</v>
      </c>
      <c r="AC78" s="6">
        <f t="shared" si="71"/>
        <v>0</v>
      </c>
      <c r="AD78" s="6">
        <f t="shared" si="71"/>
        <v>3.8910505836575875</v>
      </c>
      <c r="AE78" s="6">
        <f t="shared" si="71"/>
        <v>0.77821011673151752</v>
      </c>
      <c r="AF78" s="6">
        <f t="shared" si="71"/>
        <v>0.77821011673151752</v>
      </c>
      <c r="AG78" s="6">
        <f t="shared" si="71"/>
        <v>0</v>
      </c>
      <c r="AH78" s="6">
        <f t="shared" si="71"/>
        <v>0</v>
      </c>
      <c r="AI78" s="6">
        <f t="shared" si="72"/>
        <v>0.77821011673151752</v>
      </c>
      <c r="AJ78" s="6">
        <f t="shared" si="72"/>
        <v>3.8910505836575875</v>
      </c>
      <c r="AK78" s="6">
        <f t="shared" si="72"/>
        <v>0</v>
      </c>
      <c r="AL78" s="6">
        <f t="shared" si="72"/>
        <v>3.9872408293460926</v>
      </c>
      <c r="AM78" s="6">
        <f t="shared" si="72"/>
        <v>0</v>
      </c>
      <c r="AN78" s="6">
        <f t="shared" si="72"/>
        <v>0</v>
      </c>
      <c r="AO78" s="6">
        <f t="shared" si="72"/>
        <v>0</v>
      </c>
      <c r="AP78" s="6">
        <f t="shared" si="72"/>
        <v>1.9936204146730463</v>
      </c>
      <c r="AQ78" s="6">
        <f t="shared" si="72"/>
        <v>0</v>
      </c>
      <c r="AR78" s="6">
        <f t="shared" si="72"/>
        <v>0</v>
      </c>
      <c r="AS78" s="6">
        <f t="shared" si="73"/>
        <v>0</v>
      </c>
      <c r="AT78" s="6">
        <f t="shared" si="73"/>
        <v>0</v>
      </c>
      <c r="AU78" s="6">
        <f t="shared" si="73"/>
        <v>3.7878787878787881</v>
      </c>
      <c r="AV78" s="6">
        <f t="shared" si="73"/>
        <v>0</v>
      </c>
      <c r="AW78" s="6">
        <f t="shared" si="73"/>
        <v>0</v>
      </c>
      <c r="AX78" s="6">
        <f t="shared" si="73"/>
        <v>0</v>
      </c>
      <c r="AY78" s="6">
        <f t="shared" si="73"/>
        <v>17.002814258911819</v>
      </c>
      <c r="AZ78" s="6">
        <f t="shared" si="73"/>
        <v>0</v>
      </c>
      <c r="BA78" s="6">
        <f t="shared" si="73"/>
        <v>0</v>
      </c>
      <c r="BB78" s="6">
        <f t="shared" si="73"/>
        <v>0</v>
      </c>
      <c r="BC78" s="6">
        <f t="shared" si="74"/>
        <v>0</v>
      </c>
      <c r="BD78" s="6">
        <f t="shared" si="74"/>
        <v>0</v>
      </c>
      <c r="BE78" s="6">
        <f t="shared" si="74"/>
        <v>0</v>
      </c>
      <c r="BF78" s="6">
        <f t="shared" si="74"/>
        <v>0</v>
      </c>
      <c r="BG78" s="6">
        <f t="shared" si="74"/>
        <v>0</v>
      </c>
      <c r="BH78" s="6">
        <f t="shared" si="74"/>
        <v>0</v>
      </c>
      <c r="BI78" s="6">
        <f t="shared" si="74"/>
        <v>3.90625</v>
      </c>
      <c r="BJ78" s="6">
        <f t="shared" si="74"/>
        <v>0</v>
      </c>
      <c r="BK78" s="6">
        <f t="shared" si="74"/>
        <v>9.765625</v>
      </c>
      <c r="BL78" s="6">
        <f t="shared" si="74"/>
        <v>3.90625</v>
      </c>
      <c r="BM78" s="6">
        <f t="shared" si="75"/>
        <v>0</v>
      </c>
      <c r="BN78" s="6">
        <f t="shared" si="75"/>
        <v>0</v>
      </c>
      <c r="BO78" s="6">
        <f t="shared" si="75"/>
        <v>0</v>
      </c>
      <c r="BP78" s="6">
        <f t="shared" si="75"/>
        <v>3.1910650179497408</v>
      </c>
      <c r="BQ78" s="6">
        <f t="shared" si="75"/>
        <v>2.3932987634623055</v>
      </c>
      <c r="BR78" s="6">
        <f t="shared" si="75"/>
        <v>0</v>
      </c>
      <c r="BS78" s="6">
        <f t="shared" si="75"/>
        <v>0</v>
      </c>
      <c r="BT78" s="6">
        <f t="shared" si="75"/>
        <v>0</v>
      </c>
      <c r="BU78" s="6">
        <f t="shared" si="75"/>
        <v>0</v>
      </c>
      <c r="BV78" s="6">
        <f t="shared" si="75"/>
        <v>0</v>
      </c>
      <c r="BW78" s="6">
        <f t="shared" si="76"/>
        <v>0</v>
      </c>
      <c r="BX78" s="6">
        <f t="shared" si="76"/>
        <v>0</v>
      </c>
      <c r="BY78" s="6">
        <f t="shared" si="76"/>
        <v>19.944156362185879</v>
      </c>
      <c r="BZ78" s="6">
        <f t="shared" si="76"/>
        <v>17.151974471479857</v>
      </c>
      <c r="CA78" s="6">
        <f t="shared" si="76"/>
        <v>3.9888312724371757</v>
      </c>
      <c r="CB78" s="6">
        <f t="shared" si="76"/>
        <v>3.9888312724371757</v>
      </c>
      <c r="CC78" s="6">
        <f t="shared" si="76"/>
        <v>0</v>
      </c>
      <c r="CD78" s="6">
        <f t="shared" si="76"/>
        <v>0</v>
      </c>
      <c r="CE78" s="6">
        <f t="shared" si="76"/>
        <v>0</v>
      </c>
      <c r="CF78" s="6">
        <f t="shared" si="76"/>
        <v>0</v>
      </c>
      <c r="CG78" s="6">
        <f t="shared" si="77"/>
        <v>3.9888312724371757</v>
      </c>
      <c r="CH78" s="6">
        <f t="shared" si="77"/>
        <v>0</v>
      </c>
      <c r="CI78" s="6">
        <f t="shared" si="77"/>
        <v>1.9944156362185879</v>
      </c>
      <c r="CJ78" s="6">
        <f t="shared" si="77"/>
        <v>3.9888312724371757</v>
      </c>
      <c r="CK78" s="6">
        <f t="shared" si="77"/>
        <v>0</v>
      </c>
      <c r="CL78" s="6">
        <f t="shared" si="77"/>
        <v>1.9944156362185879</v>
      </c>
      <c r="CM78" s="6">
        <f t="shared" si="77"/>
        <v>17.311527722377342</v>
      </c>
      <c r="CN78" s="6">
        <f t="shared" si="77"/>
        <v>1.1966493817311528</v>
      </c>
      <c r="CO78" s="6">
        <f t="shared" si="77"/>
        <v>0</v>
      </c>
      <c r="CP78" s="6">
        <f t="shared" si="77"/>
        <v>0</v>
      </c>
      <c r="CQ78" s="6">
        <f t="shared" si="79"/>
        <v>0</v>
      </c>
      <c r="CR78" s="6">
        <f t="shared" si="79"/>
        <v>0</v>
      </c>
      <c r="CS78" s="6">
        <f t="shared" si="79"/>
        <v>0</v>
      </c>
      <c r="CT78" s="6">
        <f t="shared" si="79"/>
        <v>0</v>
      </c>
      <c r="CU78" s="6">
        <f t="shared" si="79"/>
        <v>0</v>
      </c>
      <c r="CV78" s="6">
        <f t="shared" si="79"/>
        <v>0</v>
      </c>
      <c r="CW78" s="6">
        <f t="shared" si="79"/>
        <v>0</v>
      </c>
      <c r="CX78" s="6">
        <f t="shared" si="79"/>
        <v>0</v>
      </c>
      <c r="CY78" s="6">
        <f t="shared" si="79"/>
        <v>0</v>
      </c>
      <c r="CZ78" s="6">
        <f t="shared" si="79"/>
        <v>0</v>
      </c>
      <c r="DA78" s="198">
        <f t="shared" si="79"/>
        <v>0</v>
      </c>
      <c r="DB78" s="63">
        <f t="shared" si="79"/>
        <v>0</v>
      </c>
      <c r="DC78" s="28">
        <f t="shared" si="78"/>
        <v>169.82581476517802</v>
      </c>
      <c r="EI78" s="73" t="s">
        <v>233</v>
      </c>
      <c r="EJ78" s="63">
        <f ca="1">SUM((INDIRECT(EJ$9&amp;ROW()):(INDIRECT(EJ$10&amp;ROW()))))</f>
        <v>21.40077821011673</v>
      </c>
      <c r="EK78" s="63">
        <f ca="1">SUM((INDIRECT(EK$9&amp;ROW()):(INDIRECT(EK$10&amp;ROW()))))</f>
        <v>32.711269214777303</v>
      </c>
      <c r="EL78" s="63">
        <f ca="1">SUM((INDIRECT(EL$9&amp;ROW()):(INDIRECT(EL$10&amp;ROW()))))</f>
        <v>85.239096418863966</v>
      </c>
      <c r="EM78" s="63">
        <f ca="1">SUM((INDIRECT(EM$9&amp;ROW()):(INDIRECT(EM$10&amp;ROW()))))</f>
        <v>30.474670921420021</v>
      </c>
      <c r="EN78" s="63" t="e">
        <f ca="1">SUM((INDIRECT(EN$9&amp;ROW()):(INDIRECT(EN$10&amp;ROW()))))</f>
        <v>#REF!</v>
      </c>
      <c r="EO78" s="63" t="e">
        <f ca="1">SUM((INDIRECT(EO$9&amp;ROW()):(INDIRECT(EO$10&amp;ROW()))))</f>
        <v>#REF!</v>
      </c>
      <c r="EP78" s="63" t="e">
        <f ca="1">SUM((INDIRECT(EP$9&amp;ROW()):(INDIRECT(EP$10&amp;ROW()))))</f>
        <v>#REF!</v>
      </c>
      <c r="EQ78" s="63" t="e">
        <f ca="1">SUM((INDIRECT(EQ$9&amp;ROW()):(INDIRECT(EQ$10&amp;ROW()))))</f>
        <v>#REF!</v>
      </c>
      <c r="ER78" t="s">
        <v>554</v>
      </c>
      <c r="EU78" s="142"/>
    </row>
    <row r="79" spans="1:151" ht="15" outlineLevel="1" thickBot="1">
      <c r="A79" t="s">
        <v>149</v>
      </c>
      <c r="B79" t="s">
        <v>559</v>
      </c>
      <c r="C79" s="74" t="s">
        <v>629</v>
      </c>
      <c r="D79" s="6">
        <v>0</v>
      </c>
      <c r="E79" s="6">
        <f t="shared" si="69"/>
        <v>0</v>
      </c>
      <c r="F79" s="6">
        <f t="shared" si="69"/>
        <v>19.45525291828794</v>
      </c>
      <c r="G79" s="6">
        <f t="shared" si="69"/>
        <v>19.45525291828794</v>
      </c>
      <c r="H79" s="6">
        <f t="shared" si="69"/>
        <v>19.45525291828794</v>
      </c>
      <c r="I79" s="6">
        <f t="shared" si="69"/>
        <v>19.45525291828794</v>
      </c>
      <c r="J79" s="6">
        <f t="shared" si="69"/>
        <v>19.45525291828794</v>
      </c>
      <c r="K79" s="6">
        <f t="shared" si="69"/>
        <v>19.45525291828794</v>
      </c>
      <c r="L79" s="6">
        <f t="shared" si="69"/>
        <v>19.45525291828794</v>
      </c>
      <c r="M79" s="6">
        <f t="shared" si="69"/>
        <v>19.45525291828794</v>
      </c>
      <c r="N79" s="6">
        <f t="shared" si="69"/>
        <v>19.45525291828794</v>
      </c>
      <c r="O79" s="6">
        <f t="shared" si="70"/>
        <v>19.45525291828794</v>
      </c>
      <c r="P79" s="6">
        <f t="shared" si="70"/>
        <v>19.45525291828794</v>
      </c>
      <c r="Q79" s="6">
        <f t="shared" si="70"/>
        <v>19.45525291828794</v>
      </c>
      <c r="R79" s="6">
        <f t="shared" si="70"/>
        <v>19.45525291828794</v>
      </c>
      <c r="S79" s="6">
        <f t="shared" si="70"/>
        <v>19.45525291828794</v>
      </c>
      <c r="T79" s="6">
        <f t="shared" si="70"/>
        <v>42.801556420233467</v>
      </c>
      <c r="U79" s="6">
        <f t="shared" si="70"/>
        <v>0</v>
      </c>
      <c r="V79" s="6">
        <f t="shared" si="70"/>
        <v>0</v>
      </c>
      <c r="W79" s="6">
        <f t="shared" si="70"/>
        <v>13.151750972762647</v>
      </c>
      <c r="X79" s="6">
        <f t="shared" si="70"/>
        <v>12.957198443579767</v>
      </c>
      <c r="Y79" s="6">
        <f t="shared" si="71"/>
        <v>12.957198443579767</v>
      </c>
      <c r="Z79" s="6">
        <f t="shared" si="71"/>
        <v>12.957198443579767</v>
      </c>
      <c r="AA79" s="6">
        <f t="shared" si="71"/>
        <v>12.957198443579767</v>
      </c>
      <c r="AB79" s="6">
        <f t="shared" si="71"/>
        <v>12.957198443579767</v>
      </c>
      <c r="AC79" s="6">
        <f t="shared" si="71"/>
        <v>12.957198443579767</v>
      </c>
      <c r="AD79" s="6">
        <f t="shared" si="71"/>
        <v>12.957198443579767</v>
      </c>
      <c r="AE79" s="6">
        <f t="shared" si="71"/>
        <v>12.957198443579767</v>
      </c>
      <c r="AF79" s="6">
        <f t="shared" si="71"/>
        <v>12.957198443579767</v>
      </c>
      <c r="AG79" s="6">
        <f t="shared" si="71"/>
        <v>12.957198443579767</v>
      </c>
      <c r="AH79" s="6">
        <f t="shared" si="71"/>
        <v>12.957198443579767</v>
      </c>
      <c r="AI79" s="6">
        <f t="shared" si="72"/>
        <v>12.957198443579767</v>
      </c>
      <c r="AJ79" s="6">
        <f t="shared" si="72"/>
        <v>12.957198443579767</v>
      </c>
      <c r="AK79" s="6">
        <f t="shared" si="72"/>
        <v>13.277511961722489</v>
      </c>
      <c r="AL79" s="6">
        <f t="shared" si="72"/>
        <v>13.277511961722489</v>
      </c>
      <c r="AM79" s="6">
        <f t="shared" si="72"/>
        <v>13.277511961722489</v>
      </c>
      <c r="AN79" s="6">
        <f t="shared" si="72"/>
        <v>13.277511961722489</v>
      </c>
      <c r="AO79" s="6">
        <f t="shared" si="72"/>
        <v>13.277511961722489</v>
      </c>
      <c r="AP79" s="6">
        <f t="shared" si="72"/>
        <v>13.277511961722489</v>
      </c>
      <c r="AQ79" s="6">
        <f t="shared" si="72"/>
        <v>13.277511961722489</v>
      </c>
      <c r="AR79" s="6">
        <f t="shared" si="72"/>
        <v>13.277511961722489</v>
      </c>
      <c r="AS79" s="6">
        <f t="shared" si="73"/>
        <v>13.277511961722489</v>
      </c>
      <c r="AT79" s="6">
        <f t="shared" si="73"/>
        <v>13.277511961722489</v>
      </c>
      <c r="AU79" s="6">
        <f t="shared" si="73"/>
        <v>13.277511961722489</v>
      </c>
      <c r="AV79" s="6">
        <f t="shared" si="73"/>
        <v>13.277511961722489</v>
      </c>
      <c r="AW79" s="6">
        <f t="shared" si="73"/>
        <v>13.277511961722489</v>
      </c>
      <c r="AX79" s="6">
        <f t="shared" si="73"/>
        <v>13.277511961722489</v>
      </c>
      <c r="AY79" s="6">
        <f t="shared" si="73"/>
        <v>13.203125</v>
      </c>
      <c r="AZ79" s="6">
        <f t="shared" si="73"/>
        <v>0</v>
      </c>
      <c r="BA79" s="6">
        <f t="shared" si="73"/>
        <v>13.0078125</v>
      </c>
      <c r="BB79" s="6">
        <f t="shared" si="73"/>
        <v>13.0078125</v>
      </c>
      <c r="BC79" s="6">
        <f t="shared" si="74"/>
        <v>13.0078125</v>
      </c>
      <c r="BD79" s="6">
        <f t="shared" si="74"/>
        <v>59.8828125</v>
      </c>
      <c r="BE79" s="6">
        <f t="shared" si="74"/>
        <v>13.0078125</v>
      </c>
      <c r="BF79" s="6">
        <f t="shared" si="74"/>
        <v>13.0078125</v>
      </c>
      <c r="BG79" s="6">
        <f t="shared" si="74"/>
        <v>13.0078125</v>
      </c>
      <c r="BH79" s="6">
        <f t="shared" si="74"/>
        <v>13.0078125</v>
      </c>
      <c r="BI79" s="6">
        <f t="shared" si="74"/>
        <v>-33.75</v>
      </c>
      <c r="BJ79" s="6">
        <f t="shared" si="74"/>
        <v>52.0703125</v>
      </c>
      <c r="BK79" s="6">
        <f t="shared" si="74"/>
        <v>13.0078125</v>
      </c>
      <c r="BL79" s="6">
        <f t="shared" si="74"/>
        <v>13.0078125</v>
      </c>
      <c r="BM79" s="6">
        <f t="shared" si="75"/>
        <v>13.282808137215795</v>
      </c>
      <c r="BN79" s="6">
        <f t="shared" si="75"/>
        <v>13.282808137215795</v>
      </c>
      <c r="BO79" s="6">
        <f t="shared" si="75"/>
        <v>13.282808137215795</v>
      </c>
      <c r="BP79" s="6">
        <f t="shared" si="75"/>
        <v>13.282808137215795</v>
      </c>
      <c r="BQ79" s="6">
        <f t="shared" si="75"/>
        <v>13.282808137215795</v>
      </c>
      <c r="BR79" s="6">
        <f t="shared" si="75"/>
        <v>13.282808137215795</v>
      </c>
      <c r="BS79" s="6">
        <f t="shared" si="75"/>
        <v>13.282808137215795</v>
      </c>
      <c r="BT79" s="6">
        <f t="shared" si="75"/>
        <v>13.282808137215795</v>
      </c>
      <c r="BU79" s="6">
        <f t="shared" si="75"/>
        <v>13.282808137215795</v>
      </c>
      <c r="BV79" s="6">
        <f t="shared" si="75"/>
        <v>13.282808137215795</v>
      </c>
      <c r="BW79" s="6">
        <f t="shared" si="76"/>
        <v>13.282808137215795</v>
      </c>
      <c r="BX79" s="6">
        <f t="shared" si="76"/>
        <v>-26.406063023534106</v>
      </c>
      <c r="BY79" s="6">
        <f t="shared" si="76"/>
        <v>0</v>
      </c>
      <c r="BZ79" s="6">
        <f t="shared" si="76"/>
        <v>13.282808137215795</v>
      </c>
      <c r="CA79" s="6">
        <f t="shared" si="76"/>
        <v>13.282808137215795</v>
      </c>
      <c r="CB79" s="6">
        <f t="shared" si="76"/>
        <v>13.282808137215795</v>
      </c>
      <c r="CC79" s="6">
        <f t="shared" si="76"/>
        <v>13.282808137215795</v>
      </c>
      <c r="CD79" s="6">
        <f t="shared" si="76"/>
        <v>13.282808137215795</v>
      </c>
      <c r="CE79" s="6">
        <f t="shared" si="76"/>
        <v>13.282808137215795</v>
      </c>
      <c r="CF79" s="6">
        <f t="shared" si="76"/>
        <v>13.282808137215795</v>
      </c>
      <c r="CG79" s="6">
        <f t="shared" si="77"/>
        <v>13.282808137215795</v>
      </c>
      <c r="CH79" s="6">
        <f t="shared" si="77"/>
        <v>13.282808137215795</v>
      </c>
      <c r="CI79" s="6">
        <f t="shared" si="77"/>
        <v>13.282808137215795</v>
      </c>
      <c r="CJ79" s="6">
        <f t="shared" si="77"/>
        <v>13.282808137215795</v>
      </c>
      <c r="CK79" s="6">
        <f t="shared" si="77"/>
        <v>13.282808137215795</v>
      </c>
      <c r="CL79" s="6">
        <f t="shared" si="77"/>
        <v>13.282808137215795</v>
      </c>
      <c r="CM79" s="6">
        <f t="shared" si="77"/>
        <v>13.282808137215795</v>
      </c>
      <c r="CN79" s="6">
        <f t="shared" si="77"/>
        <v>13.482249700837654</v>
      </c>
      <c r="CO79" s="6">
        <f t="shared" si="77"/>
        <v>79.776625448743516</v>
      </c>
      <c r="CP79" s="6">
        <f t="shared" si="77"/>
        <v>0</v>
      </c>
      <c r="CQ79" s="6">
        <f t="shared" si="79"/>
        <v>0</v>
      </c>
      <c r="CR79" s="6">
        <f t="shared" si="79"/>
        <v>0</v>
      </c>
      <c r="CS79" s="6">
        <f t="shared" si="79"/>
        <v>0</v>
      </c>
      <c r="CT79" s="6">
        <f t="shared" si="79"/>
        <v>0</v>
      </c>
      <c r="CU79" s="6">
        <f t="shared" si="79"/>
        <v>0</v>
      </c>
      <c r="CV79" s="6">
        <f t="shared" si="79"/>
        <v>0</v>
      </c>
      <c r="CW79" s="6">
        <f t="shared" si="79"/>
        <v>0</v>
      </c>
      <c r="CX79" s="6">
        <f t="shared" si="79"/>
        <v>0</v>
      </c>
      <c r="CY79" s="6">
        <f t="shared" si="79"/>
        <v>0</v>
      </c>
      <c r="CZ79" s="6">
        <f t="shared" si="79"/>
        <v>0</v>
      </c>
      <c r="DA79" s="198">
        <f t="shared" si="79"/>
        <v>0</v>
      </c>
      <c r="DB79" s="63">
        <f t="shared" si="79"/>
        <v>0</v>
      </c>
      <c r="DC79" s="28">
        <f t="shared" si="78"/>
        <v>1290.0551735361221</v>
      </c>
      <c r="EI79" s="74" t="s">
        <v>149</v>
      </c>
      <c r="EJ79" s="63">
        <f ca="1">SUM((INDIRECT(EJ$9&amp;ROW()):(INDIRECT(EJ$10&amp;ROW()))))</f>
        <v>272.37354085603124</v>
      </c>
      <c r="EK79" s="63">
        <f ca="1">SUM((INDIRECT(EK$9&amp;ROW()):(INDIRECT(EK$10&amp;ROW()))))</f>
        <v>397.00454266192543</v>
      </c>
      <c r="EL79" s="63">
        <f ca="1">SUM((INDIRECT(EL$9&amp;ROW()):(INDIRECT(EL$10&amp;ROW()))))</f>
        <v>381.30732535920953</v>
      </c>
      <c r="EM79" s="63">
        <f ca="1">SUM((INDIRECT(EM$9&amp;ROW()):(INDIRECT(EM$10&amp;ROW()))))</f>
        <v>239.36976465895492</v>
      </c>
      <c r="EN79" s="63" t="e">
        <f ca="1">SUM((INDIRECT(EN$9&amp;ROW()):(INDIRECT(EN$10&amp;ROW()))))</f>
        <v>#REF!</v>
      </c>
      <c r="EO79" s="63" t="e">
        <f ca="1">SUM((INDIRECT(EO$9&amp;ROW()):(INDIRECT(EO$10&amp;ROW()))))</f>
        <v>#REF!</v>
      </c>
      <c r="EP79" s="63" t="e">
        <f ca="1">SUM((INDIRECT(EP$9&amp;ROW()):(INDIRECT(EP$10&amp;ROW()))))</f>
        <v>#REF!</v>
      </c>
      <c r="EQ79" s="63" t="e">
        <f ca="1">SUM((INDIRECT(EQ$9&amp;ROW()):(INDIRECT(EQ$10&amp;ROW()))))</f>
        <v>#REF!</v>
      </c>
      <c r="EU79" s="142"/>
    </row>
    <row r="80" spans="1:151" outlineLevel="1">
      <c r="A80" t="s">
        <v>23</v>
      </c>
      <c r="B80" t="s">
        <v>23</v>
      </c>
      <c r="C80" s="72" t="s">
        <v>23</v>
      </c>
      <c r="D80" s="6">
        <v>0</v>
      </c>
      <c r="E80" s="6">
        <f t="shared" ref="E80:N89" si="80">+SUMIF($C$12:$C$29,$C80,E$12:E$29)/E$6+SUMIF($C$46:$C$63,$C80,E$47:E$64)</f>
        <v>0</v>
      </c>
      <c r="F80" s="6">
        <f t="shared" si="80"/>
        <v>0</v>
      </c>
      <c r="G80" s="6">
        <f t="shared" si="80"/>
        <v>0</v>
      </c>
      <c r="H80" s="6">
        <f t="shared" si="80"/>
        <v>0</v>
      </c>
      <c r="I80" s="6">
        <f t="shared" si="80"/>
        <v>0</v>
      </c>
      <c r="J80" s="6">
        <f t="shared" si="80"/>
        <v>0</v>
      </c>
      <c r="K80" s="6">
        <f t="shared" si="80"/>
        <v>0</v>
      </c>
      <c r="L80" s="6">
        <f t="shared" si="80"/>
        <v>0</v>
      </c>
      <c r="M80" s="6">
        <f t="shared" si="80"/>
        <v>0</v>
      </c>
      <c r="N80" s="6">
        <f t="shared" si="80"/>
        <v>38.910505836575879</v>
      </c>
      <c r="O80" s="6">
        <f t="shared" ref="O80:X89" si="81">+SUMIF($C$12:$C$29,$C80,O$12:O$29)/O$6+SUMIF($C$46:$C$63,$C80,O$47:O$64)</f>
        <v>0</v>
      </c>
      <c r="P80" s="6">
        <f t="shared" si="81"/>
        <v>0</v>
      </c>
      <c r="Q80" s="6">
        <f t="shared" si="81"/>
        <v>0</v>
      </c>
      <c r="R80" s="6">
        <f t="shared" si="81"/>
        <v>0</v>
      </c>
      <c r="S80" s="6">
        <f t="shared" si="81"/>
        <v>9.7276264591439698</v>
      </c>
      <c r="T80" s="6">
        <f t="shared" si="81"/>
        <v>0</v>
      </c>
      <c r="U80" s="6">
        <f t="shared" si="81"/>
        <v>0</v>
      </c>
      <c r="V80" s="6">
        <f t="shared" si="81"/>
        <v>0</v>
      </c>
      <c r="W80" s="6">
        <f t="shared" si="81"/>
        <v>0</v>
      </c>
      <c r="X80" s="6">
        <f t="shared" si="81"/>
        <v>0</v>
      </c>
      <c r="Y80" s="6">
        <f t="shared" ref="Y80:AH89" si="82">+SUMIF($C$12:$C$29,$C80,Y$12:Y$29)/Y$6+SUMIF($C$46:$C$63,$C80,Y$47:Y$64)</f>
        <v>0</v>
      </c>
      <c r="Z80" s="6">
        <f t="shared" si="82"/>
        <v>62.2568093385214</v>
      </c>
      <c r="AA80" s="6">
        <f t="shared" si="82"/>
        <v>0</v>
      </c>
      <c r="AB80" s="6">
        <f t="shared" si="82"/>
        <v>0</v>
      </c>
      <c r="AC80" s="6">
        <f t="shared" si="82"/>
        <v>0</v>
      </c>
      <c r="AD80" s="6">
        <f t="shared" si="82"/>
        <v>0</v>
      </c>
      <c r="AE80" s="6">
        <f t="shared" si="82"/>
        <v>0</v>
      </c>
      <c r="AF80" s="6">
        <f t="shared" si="82"/>
        <v>0</v>
      </c>
      <c r="AG80" s="6">
        <f t="shared" si="82"/>
        <v>0</v>
      </c>
      <c r="AH80" s="6">
        <f t="shared" si="82"/>
        <v>0</v>
      </c>
      <c r="AI80" s="6">
        <f t="shared" ref="AI80:AR89" si="83">+SUMIF($C$12:$C$29,$C80,AI$12:AI$29)/AI$6+SUMIF($C$46:$C$63,$C80,AI$47:AI$64)</f>
        <v>0</v>
      </c>
      <c r="AJ80" s="6">
        <f t="shared" si="83"/>
        <v>0</v>
      </c>
      <c r="AK80" s="6">
        <f t="shared" si="83"/>
        <v>0</v>
      </c>
      <c r="AL80" s="6">
        <f t="shared" si="83"/>
        <v>0</v>
      </c>
      <c r="AM80" s="6">
        <f t="shared" si="83"/>
        <v>0</v>
      </c>
      <c r="AN80" s="6">
        <f t="shared" si="83"/>
        <v>0</v>
      </c>
      <c r="AO80" s="6">
        <f t="shared" si="83"/>
        <v>0</v>
      </c>
      <c r="AP80" s="6">
        <f t="shared" si="83"/>
        <v>0</v>
      </c>
      <c r="AQ80" s="6">
        <f t="shared" si="83"/>
        <v>0</v>
      </c>
      <c r="AR80" s="6">
        <f t="shared" si="83"/>
        <v>0</v>
      </c>
      <c r="AS80" s="6">
        <f t="shared" ref="AS80:BB89" si="84">+SUMIF($C$12:$C$29,$C80,AS$12:AS$29)/AS$6+SUMIF($C$46:$C$63,$C80,AS$47:AS$64)</f>
        <v>0</v>
      </c>
      <c r="AT80" s="6">
        <f t="shared" si="84"/>
        <v>0</v>
      </c>
      <c r="AU80" s="6">
        <f t="shared" si="84"/>
        <v>0</v>
      </c>
      <c r="AV80" s="6">
        <f t="shared" si="84"/>
        <v>0</v>
      </c>
      <c r="AW80" s="6">
        <f t="shared" si="84"/>
        <v>0</v>
      </c>
      <c r="AX80" s="6">
        <f t="shared" si="84"/>
        <v>0</v>
      </c>
      <c r="AY80" s="6">
        <f t="shared" si="84"/>
        <v>0</v>
      </c>
      <c r="AZ80" s="6">
        <f t="shared" si="84"/>
        <v>0</v>
      </c>
      <c r="BA80" s="6">
        <f t="shared" si="84"/>
        <v>0</v>
      </c>
      <c r="BB80" s="6">
        <f t="shared" si="84"/>
        <v>0</v>
      </c>
      <c r="BC80" s="6">
        <f t="shared" ref="BC80:BL89" si="85">+SUMIF($C$12:$C$29,$C80,BC$12:BC$29)/BC$6+SUMIF($C$46:$C$63,$C80,BC$47:BC$64)</f>
        <v>0</v>
      </c>
      <c r="BD80" s="6">
        <f t="shared" si="85"/>
        <v>0</v>
      </c>
      <c r="BE80" s="6">
        <f t="shared" si="85"/>
        <v>0</v>
      </c>
      <c r="BF80" s="6">
        <f t="shared" si="85"/>
        <v>0</v>
      </c>
      <c r="BG80" s="6">
        <f t="shared" si="85"/>
        <v>0</v>
      </c>
      <c r="BH80" s="6">
        <f t="shared" si="85"/>
        <v>0</v>
      </c>
      <c r="BI80" s="6">
        <f t="shared" si="85"/>
        <v>0</v>
      </c>
      <c r="BJ80" s="6">
        <f t="shared" si="85"/>
        <v>0</v>
      </c>
      <c r="BK80" s="6">
        <f t="shared" si="85"/>
        <v>0</v>
      </c>
      <c r="BL80" s="6">
        <f t="shared" si="85"/>
        <v>0</v>
      </c>
      <c r="BM80" s="6">
        <f t="shared" ref="BM80:BV89" si="86">+SUMIF($C$12:$C$29,$C80,BM$12:BM$29)/BM$6+SUMIF($C$46:$C$63,$C80,BM$47:BM$64)</f>
        <v>0</v>
      </c>
      <c r="BN80" s="6">
        <f t="shared" si="86"/>
        <v>0</v>
      </c>
      <c r="BO80" s="6">
        <f t="shared" si="86"/>
        <v>0</v>
      </c>
      <c r="BP80" s="6">
        <f t="shared" si="86"/>
        <v>0</v>
      </c>
      <c r="BQ80" s="6">
        <f t="shared" si="86"/>
        <v>0</v>
      </c>
      <c r="BR80" s="6">
        <f t="shared" si="86"/>
        <v>0</v>
      </c>
      <c r="BS80" s="6">
        <f t="shared" si="86"/>
        <v>0</v>
      </c>
      <c r="BT80" s="6">
        <f t="shared" si="86"/>
        <v>0</v>
      </c>
      <c r="BU80" s="6">
        <f t="shared" si="86"/>
        <v>0</v>
      </c>
      <c r="BV80" s="6">
        <f t="shared" si="86"/>
        <v>0</v>
      </c>
      <c r="BW80" s="6">
        <f t="shared" ref="BW80:CJ89" si="87">+SUMIF($C$12:$C$29,$C80,BW$12:BW$29)/BW$6+SUMIF($C$46:$C$63,$C80,BW$47:BW$64)</f>
        <v>0</v>
      </c>
      <c r="BX80" s="6">
        <f t="shared" si="87"/>
        <v>0</v>
      </c>
      <c r="BY80" s="6">
        <f t="shared" si="87"/>
        <v>0</v>
      </c>
      <c r="BZ80" s="6">
        <f t="shared" si="87"/>
        <v>0</v>
      </c>
      <c r="CA80" s="6">
        <f t="shared" si="87"/>
        <v>0</v>
      </c>
      <c r="CB80" s="6">
        <f t="shared" si="87"/>
        <v>0</v>
      </c>
      <c r="CC80" s="6">
        <f t="shared" si="87"/>
        <v>0</v>
      </c>
      <c r="CD80" s="6">
        <f t="shared" si="87"/>
        <v>0</v>
      </c>
      <c r="CE80" s="6">
        <f t="shared" si="87"/>
        <v>0</v>
      </c>
      <c r="CF80" s="6">
        <f t="shared" si="87"/>
        <v>0</v>
      </c>
      <c r="CG80" s="6">
        <f t="shared" si="87"/>
        <v>0</v>
      </c>
      <c r="CH80" s="6">
        <f t="shared" si="87"/>
        <v>0</v>
      </c>
      <c r="CI80" s="6">
        <f t="shared" si="87"/>
        <v>0</v>
      </c>
      <c r="CJ80" s="6">
        <f t="shared" si="87"/>
        <v>0</v>
      </c>
      <c r="CK80" s="6">
        <f t="shared" ref="CK80:CP87" si="88">+SUMIF($C$12:$C$27,$C80,CK$12:CK$27)/TAUXmoyen+SUMIF($C$46:$C$63,$C80,CK$46:CK$63)</f>
        <v>0</v>
      </c>
      <c r="CL80" s="6">
        <f t="shared" si="88"/>
        <v>0</v>
      </c>
      <c r="CM80" s="6">
        <f t="shared" si="88"/>
        <v>0</v>
      </c>
      <c r="CN80" s="6">
        <f t="shared" si="88"/>
        <v>0</v>
      </c>
      <c r="CO80" s="6">
        <f t="shared" si="88"/>
        <v>0</v>
      </c>
      <c r="CP80" s="6">
        <f t="shared" si="88"/>
        <v>0</v>
      </c>
      <c r="CQ80" s="6">
        <f t="shared" si="79"/>
        <v>0</v>
      </c>
      <c r="CR80" s="6">
        <f t="shared" si="79"/>
        <v>0</v>
      </c>
      <c r="CS80" s="6">
        <f t="shared" si="79"/>
        <v>0</v>
      </c>
      <c r="CT80" s="6">
        <f t="shared" si="79"/>
        <v>0</v>
      </c>
      <c r="CU80" s="6">
        <f t="shared" si="79"/>
        <v>0</v>
      </c>
      <c r="CV80" s="6">
        <f t="shared" si="79"/>
        <v>0</v>
      </c>
      <c r="CW80" s="6">
        <f t="shared" si="79"/>
        <v>0</v>
      </c>
      <c r="CX80" s="6">
        <f t="shared" si="79"/>
        <v>0</v>
      </c>
      <c r="CY80" s="6">
        <f t="shared" si="79"/>
        <v>0</v>
      </c>
      <c r="CZ80" s="6">
        <f t="shared" si="79"/>
        <v>0</v>
      </c>
      <c r="DA80" s="198">
        <f t="shared" si="79"/>
        <v>0</v>
      </c>
      <c r="DB80" s="63">
        <f t="shared" si="79"/>
        <v>0</v>
      </c>
      <c r="DC80" s="28">
        <f t="shared" si="78"/>
        <v>110.89494163424125</v>
      </c>
      <c r="EI80" s="72" t="s">
        <v>23</v>
      </c>
      <c r="EJ80" s="63">
        <f ca="1">SUM((INDIRECT(EJ$9&amp;ROW()):(INDIRECT(EJ$10&amp;ROW()))))</f>
        <v>48.638132295719849</v>
      </c>
      <c r="EK80" s="63">
        <f ca="1">SUM((INDIRECT(EK$9&amp;ROW()):(INDIRECT(EK$10&amp;ROW()))))</f>
        <v>62.2568093385214</v>
      </c>
      <c r="EL80" s="63">
        <f ca="1">SUM((INDIRECT(EL$9&amp;ROW()):(INDIRECT(EL$10&amp;ROW()))))</f>
        <v>0</v>
      </c>
      <c r="EM80" s="63">
        <f ca="1">SUM((INDIRECT(EM$9&amp;ROW()):(INDIRECT(EM$10&amp;ROW()))))</f>
        <v>0</v>
      </c>
      <c r="EN80" s="63" t="e">
        <f ca="1">SUM((INDIRECT(EN$9&amp;ROW()):(INDIRECT(EN$10&amp;ROW()))))</f>
        <v>#REF!</v>
      </c>
      <c r="EO80" s="63" t="e">
        <f ca="1">SUM((INDIRECT(EO$9&amp;ROW()):(INDIRECT(EO$10&amp;ROW()))))</f>
        <v>#REF!</v>
      </c>
      <c r="EP80" s="63" t="e">
        <f ca="1">SUM((INDIRECT(EP$9&amp;ROW()):(INDIRECT(EP$10&amp;ROW()))))</f>
        <v>#REF!</v>
      </c>
      <c r="EQ80" s="63" t="e">
        <f ca="1">SUM((INDIRECT(EQ$9&amp;ROW()):(INDIRECT(EQ$10&amp;ROW()))))</f>
        <v>#REF!</v>
      </c>
      <c r="EU80" s="142"/>
    </row>
    <row r="81" spans="1:151" outlineLevel="1">
      <c r="A81" t="s">
        <v>151</v>
      </c>
      <c r="B81" t="s">
        <v>23</v>
      </c>
      <c r="C81" s="73" t="s">
        <v>151</v>
      </c>
      <c r="D81" s="6">
        <v>0</v>
      </c>
      <c r="E81" s="6">
        <f t="shared" si="80"/>
        <v>0</v>
      </c>
      <c r="F81" s="6">
        <f t="shared" si="80"/>
        <v>0</v>
      </c>
      <c r="G81" s="6">
        <f t="shared" si="80"/>
        <v>0</v>
      </c>
      <c r="H81" s="6">
        <f t="shared" si="80"/>
        <v>0</v>
      </c>
      <c r="I81" s="6">
        <f t="shared" si="80"/>
        <v>0</v>
      </c>
      <c r="J81" s="6">
        <f t="shared" si="80"/>
        <v>0</v>
      </c>
      <c r="K81" s="6">
        <f t="shared" si="80"/>
        <v>0</v>
      </c>
      <c r="L81" s="6">
        <f t="shared" si="80"/>
        <v>0</v>
      </c>
      <c r="M81" s="6">
        <f t="shared" si="80"/>
        <v>0</v>
      </c>
      <c r="N81" s="6">
        <f t="shared" si="80"/>
        <v>0</v>
      </c>
      <c r="O81" s="6">
        <f t="shared" si="81"/>
        <v>0</v>
      </c>
      <c r="P81" s="6">
        <f t="shared" si="81"/>
        <v>0</v>
      </c>
      <c r="Q81" s="6">
        <f t="shared" si="81"/>
        <v>0</v>
      </c>
      <c r="R81" s="6">
        <f t="shared" si="81"/>
        <v>0</v>
      </c>
      <c r="S81" s="6">
        <f t="shared" si="81"/>
        <v>0</v>
      </c>
      <c r="T81" s="6">
        <f t="shared" si="81"/>
        <v>50.73</v>
      </c>
      <c r="U81" s="6">
        <f t="shared" si="81"/>
        <v>48.51</v>
      </c>
      <c r="V81" s="6">
        <f t="shared" si="81"/>
        <v>118.37</v>
      </c>
      <c r="W81" s="6">
        <f t="shared" si="81"/>
        <v>0</v>
      </c>
      <c r="X81" s="6">
        <f t="shared" si="81"/>
        <v>0</v>
      </c>
      <c r="Y81" s="6">
        <f t="shared" si="82"/>
        <v>0</v>
      </c>
      <c r="Z81" s="6">
        <f t="shared" si="82"/>
        <v>0</v>
      </c>
      <c r="AA81" s="6">
        <f t="shared" si="82"/>
        <v>0</v>
      </c>
      <c r="AB81" s="6">
        <f t="shared" si="82"/>
        <v>0</v>
      </c>
      <c r="AC81" s="6">
        <f t="shared" si="82"/>
        <v>0</v>
      </c>
      <c r="AD81" s="6">
        <f t="shared" si="82"/>
        <v>0</v>
      </c>
      <c r="AE81" s="6">
        <f t="shared" si="82"/>
        <v>0</v>
      </c>
      <c r="AF81" s="6">
        <f t="shared" si="82"/>
        <v>0</v>
      </c>
      <c r="AG81" s="6">
        <f t="shared" si="82"/>
        <v>0</v>
      </c>
      <c r="AH81" s="6">
        <f t="shared" si="82"/>
        <v>0</v>
      </c>
      <c r="AI81" s="6">
        <f t="shared" si="83"/>
        <v>13.618677042801556</v>
      </c>
      <c r="AJ81" s="6">
        <f t="shared" si="83"/>
        <v>0</v>
      </c>
      <c r="AK81" s="6">
        <f t="shared" si="83"/>
        <v>0</v>
      </c>
      <c r="AL81" s="6">
        <f t="shared" si="83"/>
        <v>0</v>
      </c>
      <c r="AM81" s="6">
        <f t="shared" si="83"/>
        <v>0</v>
      </c>
      <c r="AN81" s="6">
        <f t="shared" si="83"/>
        <v>0</v>
      </c>
      <c r="AO81" s="6">
        <f t="shared" si="83"/>
        <v>0</v>
      </c>
      <c r="AP81" s="6">
        <f t="shared" si="83"/>
        <v>0</v>
      </c>
      <c r="AQ81" s="6">
        <f t="shared" si="83"/>
        <v>0</v>
      </c>
      <c r="AR81" s="6">
        <f t="shared" si="83"/>
        <v>0</v>
      </c>
      <c r="AS81" s="6">
        <f t="shared" si="84"/>
        <v>0</v>
      </c>
      <c r="AT81" s="6">
        <f t="shared" si="84"/>
        <v>0</v>
      </c>
      <c r="AU81" s="6">
        <f t="shared" si="84"/>
        <v>0</v>
      </c>
      <c r="AV81" s="6">
        <f t="shared" si="84"/>
        <v>0</v>
      </c>
      <c r="AW81" s="6">
        <f t="shared" si="84"/>
        <v>0</v>
      </c>
      <c r="AX81" s="6">
        <f t="shared" si="84"/>
        <v>0</v>
      </c>
      <c r="AY81" s="6">
        <f t="shared" si="84"/>
        <v>26.48</v>
      </c>
      <c r="AZ81" s="6">
        <f t="shared" si="84"/>
        <v>25.13</v>
      </c>
      <c r="BA81" s="6">
        <f t="shared" si="84"/>
        <v>19.309999999999999</v>
      </c>
      <c r="BB81" s="6">
        <f t="shared" si="84"/>
        <v>38.659999999999997</v>
      </c>
      <c r="BC81" s="6">
        <f t="shared" si="85"/>
        <v>41.87</v>
      </c>
      <c r="BD81" s="6">
        <f t="shared" si="85"/>
        <v>0</v>
      </c>
      <c r="BE81" s="6">
        <f t="shared" si="85"/>
        <v>0</v>
      </c>
      <c r="BF81" s="6">
        <f t="shared" si="85"/>
        <v>0</v>
      </c>
      <c r="BG81" s="6">
        <f t="shared" si="85"/>
        <v>0</v>
      </c>
      <c r="BH81" s="6">
        <f t="shared" si="85"/>
        <v>0</v>
      </c>
      <c r="BI81" s="6">
        <f t="shared" si="85"/>
        <v>0</v>
      </c>
      <c r="BJ81" s="6">
        <f t="shared" si="85"/>
        <v>0</v>
      </c>
      <c r="BK81" s="6">
        <f t="shared" si="85"/>
        <v>0</v>
      </c>
      <c r="BL81" s="6">
        <f t="shared" si="85"/>
        <v>0</v>
      </c>
      <c r="BM81" s="6">
        <f t="shared" si="86"/>
        <v>0</v>
      </c>
      <c r="BN81" s="6">
        <f t="shared" si="86"/>
        <v>0</v>
      </c>
      <c r="BO81" s="6">
        <f t="shared" si="86"/>
        <v>0</v>
      </c>
      <c r="BP81" s="6">
        <f t="shared" si="86"/>
        <v>0</v>
      </c>
      <c r="BQ81" s="6">
        <f t="shared" si="86"/>
        <v>0</v>
      </c>
      <c r="BR81" s="6">
        <f t="shared" si="86"/>
        <v>0</v>
      </c>
      <c r="BS81" s="6">
        <f t="shared" si="86"/>
        <v>0</v>
      </c>
      <c r="BT81" s="6">
        <f t="shared" si="86"/>
        <v>0</v>
      </c>
      <c r="BU81" s="6">
        <f t="shared" si="86"/>
        <v>0</v>
      </c>
      <c r="BV81" s="6">
        <f t="shared" si="86"/>
        <v>0</v>
      </c>
      <c r="BW81" s="6">
        <f t="shared" si="87"/>
        <v>0</v>
      </c>
      <c r="BX81" s="6">
        <f t="shared" si="87"/>
        <v>0</v>
      </c>
      <c r="BY81" s="6">
        <f t="shared" si="87"/>
        <v>0</v>
      </c>
      <c r="BZ81" s="6">
        <f t="shared" si="87"/>
        <v>0</v>
      </c>
      <c r="CA81" s="6">
        <f t="shared" si="87"/>
        <v>0</v>
      </c>
      <c r="CB81" s="6">
        <f t="shared" si="87"/>
        <v>0</v>
      </c>
      <c r="CC81" s="6">
        <f t="shared" si="87"/>
        <v>5.9832469086557634</v>
      </c>
      <c r="CD81" s="6">
        <f t="shared" si="87"/>
        <v>0</v>
      </c>
      <c r="CE81" s="6">
        <f t="shared" si="87"/>
        <v>0</v>
      </c>
      <c r="CF81" s="6">
        <f t="shared" si="87"/>
        <v>0</v>
      </c>
      <c r="CG81" s="6">
        <f t="shared" si="87"/>
        <v>0</v>
      </c>
      <c r="CH81" s="6">
        <f t="shared" si="87"/>
        <v>0</v>
      </c>
      <c r="CI81" s="6">
        <f t="shared" si="87"/>
        <v>0</v>
      </c>
      <c r="CJ81" s="6">
        <f t="shared" si="87"/>
        <v>0</v>
      </c>
      <c r="CK81" s="6">
        <f t="shared" si="88"/>
        <v>0</v>
      </c>
      <c r="CL81" s="6">
        <f t="shared" si="88"/>
        <v>0</v>
      </c>
      <c r="CM81" s="6">
        <f t="shared" si="88"/>
        <v>0</v>
      </c>
      <c r="CN81" s="6">
        <f t="shared" si="88"/>
        <v>11.830011830011829</v>
      </c>
      <c r="CO81" s="6">
        <f t="shared" si="88"/>
        <v>0</v>
      </c>
      <c r="CP81" s="6">
        <f t="shared" si="88"/>
        <v>0</v>
      </c>
      <c r="CQ81" s="6">
        <f t="shared" si="79"/>
        <v>0</v>
      </c>
      <c r="CR81" s="6">
        <f t="shared" si="79"/>
        <v>0</v>
      </c>
      <c r="CS81" s="6">
        <f t="shared" si="79"/>
        <v>0</v>
      </c>
      <c r="CT81" s="6">
        <f t="shared" si="79"/>
        <v>0</v>
      </c>
      <c r="CU81" s="6">
        <f t="shared" si="79"/>
        <v>0</v>
      </c>
      <c r="CV81" s="6">
        <f t="shared" si="79"/>
        <v>0</v>
      </c>
      <c r="CW81" s="6">
        <f t="shared" si="79"/>
        <v>0</v>
      </c>
      <c r="CX81" s="6">
        <f t="shared" si="79"/>
        <v>0</v>
      </c>
      <c r="CY81" s="6">
        <f t="shared" si="79"/>
        <v>0</v>
      </c>
      <c r="CZ81" s="6">
        <f t="shared" si="79"/>
        <v>0</v>
      </c>
      <c r="DA81" s="198">
        <f t="shared" si="79"/>
        <v>0</v>
      </c>
      <c r="DB81" s="63">
        <f t="shared" si="79"/>
        <v>0</v>
      </c>
      <c r="DC81" s="28">
        <f t="shared" si="78"/>
        <v>400.49193578146918</v>
      </c>
      <c r="EI81" s="73" t="s">
        <v>151</v>
      </c>
      <c r="EJ81" s="63">
        <f ca="1">SUM((INDIRECT(EJ$9&amp;ROW()):(INDIRECT(EJ$10&amp;ROW()))))</f>
        <v>0</v>
      </c>
      <c r="EK81" s="63">
        <f ca="1">SUM((INDIRECT(EK$9&amp;ROW()):(INDIRECT(EK$10&amp;ROW()))))</f>
        <v>231.22867704280156</v>
      </c>
      <c r="EL81" s="63">
        <f ca="1">SUM((INDIRECT(EL$9&amp;ROW()):(INDIRECT(EL$10&amp;ROW()))))</f>
        <v>151.44999999999999</v>
      </c>
      <c r="EM81" s="63">
        <f ca="1">SUM((INDIRECT(EM$9&amp;ROW()):(INDIRECT(EM$10&amp;ROW()))))</f>
        <v>17.813258738667592</v>
      </c>
      <c r="EN81" s="63" t="e">
        <f ca="1">SUM((INDIRECT(EN$9&amp;ROW()):(INDIRECT(EN$10&amp;ROW()))))</f>
        <v>#REF!</v>
      </c>
      <c r="EO81" s="63" t="e">
        <f ca="1">SUM((INDIRECT(EO$9&amp;ROW()):(INDIRECT(EO$10&amp;ROW()))))</f>
        <v>#REF!</v>
      </c>
      <c r="EP81" s="63" t="e">
        <f ca="1">SUM((INDIRECT(EP$9&amp;ROW()):(INDIRECT(EP$10&amp;ROW()))))</f>
        <v>#REF!</v>
      </c>
      <c r="EQ81" s="63" t="e">
        <f ca="1">SUM((INDIRECT(EQ$9&amp;ROW()):(INDIRECT(EQ$10&amp;ROW()))))</f>
        <v>#REF!</v>
      </c>
      <c r="ER81" t="s">
        <v>555</v>
      </c>
      <c r="EU81" s="142"/>
    </row>
    <row r="82" spans="1:151" ht="15" outlineLevel="1" thickBot="1">
      <c r="A82" t="s">
        <v>8</v>
      </c>
      <c r="B82" t="s">
        <v>23</v>
      </c>
      <c r="C82" s="74" t="s">
        <v>8</v>
      </c>
      <c r="D82" s="6">
        <v>0</v>
      </c>
      <c r="E82" s="6">
        <f t="shared" si="80"/>
        <v>0</v>
      </c>
      <c r="F82" s="6">
        <f t="shared" si="80"/>
        <v>0</v>
      </c>
      <c r="G82" s="6">
        <f t="shared" si="80"/>
        <v>0</v>
      </c>
      <c r="H82" s="6">
        <f t="shared" si="80"/>
        <v>0</v>
      </c>
      <c r="I82" s="6">
        <f t="shared" si="80"/>
        <v>0</v>
      </c>
      <c r="J82" s="6">
        <f t="shared" si="80"/>
        <v>0</v>
      </c>
      <c r="K82" s="6">
        <f t="shared" si="80"/>
        <v>0</v>
      </c>
      <c r="L82" s="6">
        <f t="shared" si="80"/>
        <v>0</v>
      </c>
      <c r="M82" s="6">
        <f t="shared" si="80"/>
        <v>0</v>
      </c>
      <c r="N82" s="6">
        <f t="shared" si="80"/>
        <v>0</v>
      </c>
      <c r="O82" s="6">
        <f t="shared" si="81"/>
        <v>0</v>
      </c>
      <c r="P82" s="6">
        <f t="shared" si="81"/>
        <v>0</v>
      </c>
      <c r="Q82" s="6">
        <f t="shared" si="81"/>
        <v>0</v>
      </c>
      <c r="R82" s="6">
        <f t="shared" si="81"/>
        <v>0</v>
      </c>
      <c r="S82" s="6">
        <f t="shared" si="81"/>
        <v>0</v>
      </c>
      <c r="T82" s="6">
        <f t="shared" si="81"/>
        <v>27.42</v>
      </c>
      <c r="U82" s="6">
        <f t="shared" si="81"/>
        <v>0</v>
      </c>
      <c r="V82" s="6">
        <f t="shared" si="81"/>
        <v>0</v>
      </c>
      <c r="W82" s="6">
        <f t="shared" si="81"/>
        <v>0</v>
      </c>
      <c r="X82" s="6">
        <f t="shared" si="81"/>
        <v>0</v>
      </c>
      <c r="Y82" s="6">
        <f t="shared" si="82"/>
        <v>0</v>
      </c>
      <c r="Z82" s="6">
        <f t="shared" si="82"/>
        <v>0</v>
      </c>
      <c r="AA82" s="6">
        <f t="shared" si="82"/>
        <v>0</v>
      </c>
      <c r="AB82" s="6">
        <f t="shared" si="82"/>
        <v>0</v>
      </c>
      <c r="AC82" s="6">
        <f t="shared" si="82"/>
        <v>0</v>
      </c>
      <c r="AD82" s="6">
        <f t="shared" si="82"/>
        <v>0</v>
      </c>
      <c r="AE82" s="6">
        <f t="shared" si="82"/>
        <v>38.715953307393001</v>
      </c>
      <c r="AF82" s="6">
        <f t="shared" si="82"/>
        <v>38.715953307393001</v>
      </c>
      <c r="AG82" s="6">
        <f t="shared" si="82"/>
        <v>38.715953307393001</v>
      </c>
      <c r="AH82" s="6">
        <f t="shared" si="82"/>
        <v>0</v>
      </c>
      <c r="AI82" s="6">
        <f t="shared" si="83"/>
        <v>0</v>
      </c>
      <c r="AJ82" s="6">
        <f t="shared" si="83"/>
        <v>0</v>
      </c>
      <c r="AK82" s="6">
        <f t="shared" si="83"/>
        <v>0</v>
      </c>
      <c r="AL82" s="6">
        <f t="shared" si="83"/>
        <v>0</v>
      </c>
      <c r="AM82" s="6">
        <f t="shared" si="83"/>
        <v>0</v>
      </c>
      <c r="AN82" s="6">
        <f t="shared" si="83"/>
        <v>0</v>
      </c>
      <c r="AO82" s="6">
        <f t="shared" si="83"/>
        <v>0</v>
      </c>
      <c r="AP82" s="6">
        <f t="shared" si="83"/>
        <v>0</v>
      </c>
      <c r="AQ82" s="6">
        <f t="shared" si="83"/>
        <v>0</v>
      </c>
      <c r="AR82" s="6">
        <f t="shared" si="83"/>
        <v>0</v>
      </c>
      <c r="AS82" s="6">
        <f t="shared" si="84"/>
        <v>0</v>
      </c>
      <c r="AT82" s="6">
        <f t="shared" si="84"/>
        <v>0</v>
      </c>
      <c r="AU82" s="6">
        <f t="shared" si="84"/>
        <v>0</v>
      </c>
      <c r="AV82" s="6">
        <f t="shared" si="84"/>
        <v>0</v>
      </c>
      <c r="AW82" s="6">
        <f t="shared" si="84"/>
        <v>0</v>
      </c>
      <c r="AX82" s="6">
        <f t="shared" si="84"/>
        <v>0</v>
      </c>
      <c r="AY82" s="6">
        <f t="shared" si="84"/>
        <v>0</v>
      </c>
      <c r="AZ82" s="6">
        <f t="shared" si="84"/>
        <v>0</v>
      </c>
      <c r="BA82" s="6">
        <f t="shared" si="84"/>
        <v>0</v>
      </c>
      <c r="BB82" s="6">
        <f t="shared" si="84"/>
        <v>0</v>
      </c>
      <c r="BC82" s="6">
        <f t="shared" si="85"/>
        <v>0</v>
      </c>
      <c r="BD82" s="6">
        <f t="shared" si="85"/>
        <v>0</v>
      </c>
      <c r="BE82" s="6">
        <f t="shared" si="85"/>
        <v>0</v>
      </c>
      <c r="BF82" s="6">
        <f t="shared" si="85"/>
        <v>0</v>
      </c>
      <c r="BG82" s="6">
        <f t="shared" si="85"/>
        <v>0</v>
      </c>
      <c r="BH82" s="6">
        <f t="shared" si="85"/>
        <v>0</v>
      </c>
      <c r="BI82" s="6">
        <f t="shared" si="85"/>
        <v>0</v>
      </c>
      <c r="BJ82" s="6">
        <f t="shared" si="85"/>
        <v>0</v>
      </c>
      <c r="BK82" s="6">
        <f t="shared" si="85"/>
        <v>0</v>
      </c>
      <c r="BL82" s="6">
        <f t="shared" si="85"/>
        <v>0</v>
      </c>
      <c r="BM82" s="6">
        <f t="shared" si="86"/>
        <v>0</v>
      </c>
      <c r="BN82" s="6">
        <f t="shared" si="86"/>
        <v>0</v>
      </c>
      <c r="BO82" s="6">
        <f t="shared" si="86"/>
        <v>0</v>
      </c>
      <c r="BP82" s="6">
        <f t="shared" si="86"/>
        <v>0</v>
      </c>
      <c r="BQ82" s="6">
        <f t="shared" si="86"/>
        <v>0</v>
      </c>
      <c r="BR82" s="6">
        <f t="shared" si="86"/>
        <v>0</v>
      </c>
      <c r="BS82" s="6">
        <f t="shared" si="86"/>
        <v>0</v>
      </c>
      <c r="BT82" s="6">
        <f t="shared" si="86"/>
        <v>0</v>
      </c>
      <c r="BU82" s="6">
        <f t="shared" si="86"/>
        <v>0</v>
      </c>
      <c r="BV82" s="6">
        <f t="shared" si="86"/>
        <v>0</v>
      </c>
      <c r="BW82" s="6">
        <f t="shared" si="87"/>
        <v>0</v>
      </c>
      <c r="BX82" s="6">
        <f t="shared" si="87"/>
        <v>0</v>
      </c>
      <c r="BY82" s="6">
        <f t="shared" si="87"/>
        <v>0</v>
      </c>
      <c r="BZ82" s="6">
        <f t="shared" si="87"/>
        <v>0</v>
      </c>
      <c r="CA82" s="6">
        <f t="shared" si="87"/>
        <v>0</v>
      </c>
      <c r="CB82" s="6">
        <f t="shared" si="87"/>
        <v>0</v>
      </c>
      <c r="CC82" s="6">
        <f t="shared" si="87"/>
        <v>0</v>
      </c>
      <c r="CD82" s="6">
        <f t="shared" si="87"/>
        <v>19.944156362185879</v>
      </c>
      <c r="CE82" s="6">
        <f t="shared" si="87"/>
        <v>0</v>
      </c>
      <c r="CF82" s="6">
        <f t="shared" si="87"/>
        <v>0</v>
      </c>
      <c r="CG82" s="6">
        <f t="shared" si="87"/>
        <v>0</v>
      </c>
      <c r="CH82" s="6">
        <f t="shared" si="87"/>
        <v>0</v>
      </c>
      <c r="CI82" s="6">
        <f t="shared" si="87"/>
        <v>0</v>
      </c>
      <c r="CJ82" s="6">
        <f t="shared" si="87"/>
        <v>0</v>
      </c>
      <c r="CK82" s="6">
        <f t="shared" si="88"/>
        <v>0</v>
      </c>
      <c r="CL82" s="6">
        <f t="shared" si="88"/>
        <v>0</v>
      </c>
      <c r="CM82" s="6">
        <f t="shared" si="88"/>
        <v>0</v>
      </c>
      <c r="CN82" s="6">
        <f t="shared" si="88"/>
        <v>0</v>
      </c>
      <c r="CO82" s="6">
        <f t="shared" si="88"/>
        <v>0</v>
      </c>
      <c r="CP82" s="6">
        <f t="shared" si="88"/>
        <v>0</v>
      </c>
      <c r="CQ82" s="6">
        <f t="shared" si="79"/>
        <v>0</v>
      </c>
      <c r="CR82" s="6">
        <f t="shared" si="79"/>
        <v>0</v>
      </c>
      <c r="CS82" s="6">
        <f t="shared" si="79"/>
        <v>0</v>
      </c>
      <c r="CT82" s="6">
        <f t="shared" si="79"/>
        <v>0</v>
      </c>
      <c r="CU82" s="6">
        <f t="shared" si="79"/>
        <v>0</v>
      </c>
      <c r="CV82" s="6">
        <f t="shared" si="79"/>
        <v>0</v>
      </c>
      <c r="CW82" s="6">
        <f t="shared" si="79"/>
        <v>0</v>
      </c>
      <c r="CX82" s="6">
        <f t="shared" si="79"/>
        <v>0</v>
      </c>
      <c r="CY82" s="6">
        <f t="shared" si="79"/>
        <v>0</v>
      </c>
      <c r="CZ82" s="6">
        <f t="shared" si="79"/>
        <v>0</v>
      </c>
      <c r="DA82" s="198">
        <f t="shared" si="79"/>
        <v>0</v>
      </c>
      <c r="DB82" s="63">
        <f t="shared" si="79"/>
        <v>0</v>
      </c>
      <c r="DC82" s="28">
        <f t="shared" si="78"/>
        <v>163.51201628436488</v>
      </c>
      <c r="EI82" s="74" t="s">
        <v>8</v>
      </c>
      <c r="EJ82" s="63">
        <f ca="1">SUM((INDIRECT(EJ$9&amp;ROW()):(INDIRECT(EJ$10&amp;ROW()))))</f>
        <v>0</v>
      </c>
      <c r="EK82" s="63">
        <f ca="1">SUM((INDIRECT(EK$9&amp;ROW()):(INDIRECT(EK$10&amp;ROW()))))</f>
        <v>143.567859922179</v>
      </c>
      <c r="EL82" s="63">
        <f ca="1">SUM((INDIRECT(EL$9&amp;ROW()):(INDIRECT(EL$10&amp;ROW()))))</f>
        <v>0</v>
      </c>
      <c r="EM82" s="63">
        <f ca="1">SUM((INDIRECT(EM$9&amp;ROW()):(INDIRECT(EM$10&amp;ROW()))))</f>
        <v>19.944156362185879</v>
      </c>
      <c r="EN82" s="63" t="e">
        <f ca="1">SUM((INDIRECT(EN$9&amp;ROW()):(INDIRECT(EN$10&amp;ROW()))))</f>
        <v>#REF!</v>
      </c>
      <c r="EO82" s="63" t="e">
        <f ca="1">SUM((INDIRECT(EO$9&amp;ROW()):(INDIRECT(EO$10&amp;ROW()))))</f>
        <v>#REF!</v>
      </c>
      <c r="EP82" s="63" t="e">
        <f ca="1">SUM((INDIRECT(EP$9&amp;ROW()):(INDIRECT(EP$10&amp;ROW()))))</f>
        <v>#REF!</v>
      </c>
      <c r="EQ82" s="63" t="e">
        <f ca="1">SUM((INDIRECT(EQ$9&amp;ROW()):(INDIRECT(EQ$10&amp;ROW()))))</f>
        <v>#REF!</v>
      </c>
      <c r="EU82" s="142"/>
    </row>
    <row r="83" spans="1:151" outlineLevel="1">
      <c r="A83" t="s">
        <v>150</v>
      </c>
      <c r="B83" t="s">
        <v>25</v>
      </c>
      <c r="C83" s="72" t="s">
        <v>150</v>
      </c>
      <c r="D83" s="6">
        <v>0</v>
      </c>
      <c r="E83" s="6">
        <f t="shared" si="80"/>
        <v>1014.55</v>
      </c>
      <c r="F83" s="6">
        <f t="shared" si="80"/>
        <v>61.400778210116734</v>
      </c>
      <c r="G83" s="6">
        <f t="shared" si="80"/>
        <v>0</v>
      </c>
      <c r="H83" s="6">
        <f t="shared" si="80"/>
        <v>0</v>
      </c>
      <c r="I83" s="6">
        <f t="shared" si="80"/>
        <v>0</v>
      </c>
      <c r="J83" s="6">
        <f t="shared" si="80"/>
        <v>0</v>
      </c>
      <c r="K83" s="6">
        <f t="shared" si="80"/>
        <v>0</v>
      </c>
      <c r="L83" s="6">
        <f t="shared" si="80"/>
        <v>0</v>
      </c>
      <c r="M83" s="6">
        <f t="shared" si="80"/>
        <v>0</v>
      </c>
      <c r="N83" s="6">
        <f t="shared" si="80"/>
        <v>0</v>
      </c>
      <c r="O83" s="6">
        <f t="shared" si="81"/>
        <v>0</v>
      </c>
      <c r="P83" s="6">
        <f t="shared" si="81"/>
        <v>0</v>
      </c>
      <c r="Q83" s="6">
        <f t="shared" si="81"/>
        <v>0</v>
      </c>
      <c r="R83" s="6">
        <f t="shared" si="81"/>
        <v>21.400778210116734</v>
      </c>
      <c r="S83" s="6">
        <f t="shared" si="81"/>
        <v>0</v>
      </c>
      <c r="T83" s="6">
        <f t="shared" si="81"/>
        <v>235.38587548638134</v>
      </c>
      <c r="U83" s="6">
        <f t="shared" si="81"/>
        <v>216.64999999999998</v>
      </c>
      <c r="V83" s="6">
        <f t="shared" si="81"/>
        <v>20.98</v>
      </c>
      <c r="W83" s="6">
        <f t="shared" si="81"/>
        <v>0</v>
      </c>
      <c r="X83" s="6">
        <f t="shared" si="81"/>
        <v>0</v>
      </c>
      <c r="Y83" s="6">
        <f t="shared" si="82"/>
        <v>0</v>
      </c>
      <c r="Z83" s="6">
        <f t="shared" si="82"/>
        <v>36.964980544747085</v>
      </c>
      <c r="AA83" s="6">
        <f t="shared" si="82"/>
        <v>0</v>
      </c>
      <c r="AB83" s="6">
        <f t="shared" si="82"/>
        <v>0</v>
      </c>
      <c r="AC83" s="6">
        <f t="shared" si="82"/>
        <v>0</v>
      </c>
      <c r="AD83" s="6">
        <f t="shared" si="82"/>
        <v>0</v>
      </c>
      <c r="AE83" s="6">
        <f t="shared" si="82"/>
        <v>14.007782101167315</v>
      </c>
      <c r="AF83" s="6">
        <f t="shared" si="82"/>
        <v>14.980544747081712</v>
      </c>
      <c r="AG83" s="6">
        <f t="shared" si="82"/>
        <v>22.178988326848248</v>
      </c>
      <c r="AH83" s="6">
        <f t="shared" si="82"/>
        <v>0</v>
      </c>
      <c r="AI83" s="6">
        <f t="shared" si="83"/>
        <v>0</v>
      </c>
      <c r="AJ83" s="6">
        <f t="shared" si="83"/>
        <v>8.5603112840466924</v>
      </c>
      <c r="AK83" s="6">
        <f t="shared" si="83"/>
        <v>0</v>
      </c>
      <c r="AL83" s="6">
        <f t="shared" si="83"/>
        <v>0</v>
      </c>
      <c r="AM83" s="6">
        <f t="shared" si="83"/>
        <v>0</v>
      </c>
      <c r="AN83" s="6">
        <f t="shared" si="83"/>
        <v>0</v>
      </c>
      <c r="AO83" s="6">
        <f t="shared" si="83"/>
        <v>0</v>
      </c>
      <c r="AP83" s="6">
        <f t="shared" si="83"/>
        <v>0</v>
      </c>
      <c r="AQ83" s="6">
        <f t="shared" si="83"/>
        <v>0</v>
      </c>
      <c r="AR83" s="6">
        <f t="shared" si="83"/>
        <v>0</v>
      </c>
      <c r="AS83" s="6">
        <f t="shared" si="84"/>
        <v>0</v>
      </c>
      <c r="AT83" s="6">
        <f t="shared" si="84"/>
        <v>0</v>
      </c>
      <c r="AU83" s="6">
        <f t="shared" si="84"/>
        <v>0</v>
      </c>
      <c r="AV83" s="6">
        <f t="shared" si="84"/>
        <v>0</v>
      </c>
      <c r="AW83" s="6">
        <f t="shared" si="84"/>
        <v>0</v>
      </c>
      <c r="AX83" s="6">
        <f t="shared" si="84"/>
        <v>0</v>
      </c>
      <c r="AY83" s="6">
        <f t="shared" si="84"/>
        <v>21.39520794246404</v>
      </c>
      <c r="AZ83" s="6">
        <f t="shared" si="84"/>
        <v>0</v>
      </c>
      <c r="BA83" s="6">
        <f t="shared" si="84"/>
        <v>2.2670419011882426</v>
      </c>
      <c r="BB83" s="6">
        <f t="shared" si="84"/>
        <v>0</v>
      </c>
      <c r="BC83" s="6">
        <f t="shared" si="85"/>
        <v>83.221688555347086</v>
      </c>
      <c r="BD83" s="6">
        <f t="shared" si="85"/>
        <v>34.342814258911815</v>
      </c>
      <c r="BE83" s="6">
        <f t="shared" si="85"/>
        <v>0</v>
      </c>
      <c r="BF83" s="6">
        <f t="shared" si="85"/>
        <v>0</v>
      </c>
      <c r="BG83" s="6">
        <f t="shared" si="85"/>
        <v>0</v>
      </c>
      <c r="BH83" s="6">
        <f t="shared" si="85"/>
        <v>0</v>
      </c>
      <c r="BI83" s="6">
        <f t="shared" si="85"/>
        <v>0</v>
      </c>
      <c r="BJ83" s="6">
        <f t="shared" si="85"/>
        <v>0</v>
      </c>
      <c r="BK83" s="6">
        <f t="shared" si="85"/>
        <v>0</v>
      </c>
      <c r="BL83" s="6">
        <f t="shared" si="85"/>
        <v>0</v>
      </c>
      <c r="BM83" s="6">
        <f t="shared" si="86"/>
        <v>0</v>
      </c>
      <c r="BN83" s="6">
        <f t="shared" si="86"/>
        <v>0</v>
      </c>
      <c r="BO83" s="6">
        <f t="shared" si="86"/>
        <v>0</v>
      </c>
      <c r="BP83" s="6">
        <f t="shared" si="86"/>
        <v>0</v>
      </c>
      <c r="BQ83" s="6">
        <f t="shared" si="86"/>
        <v>0</v>
      </c>
      <c r="BR83" s="6">
        <f t="shared" si="86"/>
        <v>0</v>
      </c>
      <c r="BS83" s="6">
        <f t="shared" si="86"/>
        <v>0</v>
      </c>
      <c r="BT83" s="6">
        <f t="shared" si="86"/>
        <v>0</v>
      </c>
      <c r="BU83" s="6">
        <f t="shared" si="86"/>
        <v>0</v>
      </c>
      <c r="BV83" s="6">
        <f t="shared" si="86"/>
        <v>0</v>
      </c>
      <c r="BW83" s="6">
        <f t="shared" si="87"/>
        <v>0</v>
      </c>
      <c r="BX83" s="6">
        <f t="shared" si="87"/>
        <v>0</v>
      </c>
      <c r="BY83" s="6">
        <f t="shared" si="87"/>
        <v>0</v>
      </c>
      <c r="BZ83" s="6">
        <f t="shared" si="87"/>
        <v>0</v>
      </c>
      <c r="CA83" s="6">
        <f t="shared" si="87"/>
        <v>0</v>
      </c>
      <c r="CB83" s="6">
        <f t="shared" si="87"/>
        <v>0</v>
      </c>
      <c r="CC83" s="6">
        <f t="shared" si="87"/>
        <v>0</v>
      </c>
      <c r="CD83" s="6">
        <f t="shared" si="87"/>
        <v>47.865975269246107</v>
      </c>
      <c r="CE83" s="6">
        <f t="shared" si="87"/>
        <v>0</v>
      </c>
      <c r="CF83" s="6">
        <f t="shared" si="87"/>
        <v>0</v>
      </c>
      <c r="CG83" s="6">
        <f t="shared" si="87"/>
        <v>0</v>
      </c>
      <c r="CH83" s="6">
        <f t="shared" si="87"/>
        <v>0</v>
      </c>
      <c r="CI83" s="6">
        <f t="shared" si="87"/>
        <v>0</v>
      </c>
      <c r="CJ83" s="6">
        <f t="shared" si="87"/>
        <v>0</v>
      </c>
      <c r="CK83" s="6">
        <f t="shared" si="88"/>
        <v>0</v>
      </c>
      <c r="CL83" s="6">
        <f t="shared" si="88"/>
        <v>0</v>
      </c>
      <c r="CM83" s="6">
        <f t="shared" si="88"/>
        <v>0</v>
      </c>
      <c r="CN83" s="6">
        <f t="shared" si="88"/>
        <v>0</v>
      </c>
      <c r="CO83" s="6">
        <f t="shared" si="88"/>
        <v>0</v>
      </c>
      <c r="CP83" s="6">
        <f t="shared" si="88"/>
        <v>0</v>
      </c>
      <c r="CQ83" s="6">
        <f t="shared" si="79"/>
        <v>0</v>
      </c>
      <c r="CR83" s="6">
        <f t="shared" si="79"/>
        <v>0</v>
      </c>
      <c r="CS83" s="6">
        <f t="shared" si="79"/>
        <v>0</v>
      </c>
      <c r="CT83" s="6">
        <f t="shared" si="79"/>
        <v>0</v>
      </c>
      <c r="CU83" s="6">
        <f t="shared" si="79"/>
        <v>0</v>
      </c>
      <c r="CV83" s="6">
        <f t="shared" si="79"/>
        <v>0</v>
      </c>
      <c r="CW83" s="6">
        <f t="shared" si="79"/>
        <v>0</v>
      </c>
      <c r="CX83" s="6">
        <f t="shared" si="79"/>
        <v>0</v>
      </c>
      <c r="CY83" s="6">
        <f t="shared" si="79"/>
        <v>0</v>
      </c>
      <c r="CZ83" s="6">
        <f t="shared" si="79"/>
        <v>0</v>
      </c>
      <c r="DA83" s="198">
        <f t="shared" si="79"/>
        <v>0</v>
      </c>
      <c r="DB83" s="63">
        <f t="shared" si="79"/>
        <v>0</v>
      </c>
      <c r="DC83" s="28">
        <f t="shared" si="78"/>
        <v>1856.152766837663</v>
      </c>
      <c r="EI83" s="72" t="s">
        <v>150</v>
      </c>
      <c r="EJ83" s="63">
        <f ca="1">SUM((INDIRECT(EJ$9&amp;ROW()):(INDIRECT(EJ$10&amp;ROW()))))</f>
        <v>1097.3515564202332</v>
      </c>
      <c r="EK83" s="63">
        <f ca="1">SUM((INDIRECT(EK$9&amp;ROW()):(INDIRECT(EK$10&amp;ROW()))))</f>
        <v>569.70848249027244</v>
      </c>
      <c r="EL83" s="63">
        <f ca="1">SUM((INDIRECT(EL$9&amp;ROW()):(INDIRECT(EL$10&amp;ROW()))))</f>
        <v>141.22675265791116</v>
      </c>
      <c r="EM83" s="63">
        <f ca="1">SUM((INDIRECT(EM$9&amp;ROW()):(INDIRECT(EM$10&amp;ROW()))))</f>
        <v>47.865975269246107</v>
      </c>
      <c r="EN83" s="63" t="e">
        <f ca="1">SUM((INDIRECT(EN$9&amp;ROW()):(INDIRECT(EN$10&amp;ROW()))))</f>
        <v>#REF!</v>
      </c>
      <c r="EO83" s="63" t="e">
        <f ca="1">SUM((INDIRECT(EO$9&amp;ROW()):(INDIRECT(EO$10&amp;ROW()))))</f>
        <v>#REF!</v>
      </c>
      <c r="EP83" s="63" t="e">
        <f ca="1">SUM((INDIRECT(EP$9&amp;ROW()):(INDIRECT(EP$10&amp;ROW()))))</f>
        <v>#REF!</v>
      </c>
      <c r="EQ83" s="63" t="e">
        <f ca="1">SUM((INDIRECT(EQ$9&amp;ROW()):(INDIRECT(EQ$10&amp;ROW()))))</f>
        <v>#REF!</v>
      </c>
      <c r="EU83" s="142"/>
    </row>
    <row r="84" spans="1:151" ht="15" outlineLevel="1" thickBot="1">
      <c r="A84" t="s">
        <v>144</v>
      </c>
      <c r="B84" t="s">
        <v>25</v>
      </c>
      <c r="C84" s="74" t="s">
        <v>144</v>
      </c>
      <c r="D84" s="6">
        <v>0</v>
      </c>
      <c r="E84" s="6">
        <f t="shared" si="80"/>
        <v>0</v>
      </c>
      <c r="F84" s="6">
        <f t="shared" si="80"/>
        <v>0</v>
      </c>
      <c r="G84" s="6">
        <f t="shared" si="80"/>
        <v>0</v>
      </c>
      <c r="H84" s="6">
        <f t="shared" si="80"/>
        <v>0</v>
      </c>
      <c r="I84" s="6">
        <f t="shared" si="80"/>
        <v>0</v>
      </c>
      <c r="J84" s="6">
        <f t="shared" si="80"/>
        <v>0</v>
      </c>
      <c r="K84" s="6">
        <f t="shared" si="80"/>
        <v>0</v>
      </c>
      <c r="L84" s="6">
        <f t="shared" si="80"/>
        <v>0</v>
      </c>
      <c r="M84" s="6">
        <f t="shared" si="80"/>
        <v>0</v>
      </c>
      <c r="N84" s="6">
        <f t="shared" si="80"/>
        <v>0</v>
      </c>
      <c r="O84" s="6">
        <f t="shared" si="81"/>
        <v>0</v>
      </c>
      <c r="P84" s="6">
        <f t="shared" si="81"/>
        <v>0</v>
      </c>
      <c r="Q84" s="6">
        <f t="shared" si="81"/>
        <v>0</v>
      </c>
      <c r="R84" s="6">
        <f t="shared" si="81"/>
        <v>0</v>
      </c>
      <c r="S84" s="6">
        <f t="shared" si="81"/>
        <v>0</v>
      </c>
      <c r="T84" s="6">
        <f t="shared" si="81"/>
        <v>116.73151750972762</v>
      </c>
      <c r="U84" s="6">
        <f t="shared" si="81"/>
        <v>9.7276264591439698</v>
      </c>
      <c r="V84" s="6">
        <f t="shared" si="81"/>
        <v>159.44</v>
      </c>
      <c r="W84" s="6">
        <f t="shared" si="81"/>
        <v>0</v>
      </c>
      <c r="X84" s="6">
        <f t="shared" si="81"/>
        <v>0</v>
      </c>
      <c r="Y84" s="6">
        <f t="shared" si="82"/>
        <v>0</v>
      </c>
      <c r="Z84" s="6">
        <f t="shared" si="82"/>
        <v>0</v>
      </c>
      <c r="AA84" s="6">
        <f t="shared" si="82"/>
        <v>0</v>
      </c>
      <c r="AB84" s="6">
        <f t="shared" si="82"/>
        <v>0</v>
      </c>
      <c r="AC84" s="6">
        <f t="shared" si="82"/>
        <v>0</v>
      </c>
      <c r="AD84" s="6">
        <f t="shared" si="82"/>
        <v>0</v>
      </c>
      <c r="AE84" s="6">
        <f t="shared" si="82"/>
        <v>130.73929961089493</v>
      </c>
      <c r="AF84" s="6">
        <f t="shared" si="82"/>
        <v>0</v>
      </c>
      <c r="AG84" s="6">
        <f t="shared" si="82"/>
        <v>0</v>
      </c>
      <c r="AH84" s="6">
        <f t="shared" si="82"/>
        <v>0</v>
      </c>
      <c r="AI84" s="6">
        <f t="shared" si="83"/>
        <v>0</v>
      </c>
      <c r="AJ84" s="6">
        <f t="shared" si="83"/>
        <v>9.3385214007782107</v>
      </c>
      <c r="AK84" s="6">
        <f t="shared" si="83"/>
        <v>0</v>
      </c>
      <c r="AL84" s="6">
        <f t="shared" si="83"/>
        <v>0</v>
      </c>
      <c r="AM84" s="6">
        <f t="shared" si="83"/>
        <v>0</v>
      </c>
      <c r="AN84" s="6">
        <f t="shared" si="83"/>
        <v>0</v>
      </c>
      <c r="AO84" s="6">
        <f t="shared" si="83"/>
        <v>0</v>
      </c>
      <c r="AP84" s="6">
        <f t="shared" si="83"/>
        <v>0</v>
      </c>
      <c r="AQ84" s="6">
        <f t="shared" si="83"/>
        <v>0</v>
      </c>
      <c r="AR84" s="6">
        <f t="shared" si="83"/>
        <v>0</v>
      </c>
      <c r="AS84" s="6">
        <f t="shared" si="84"/>
        <v>0</v>
      </c>
      <c r="AT84" s="6">
        <f t="shared" si="84"/>
        <v>0</v>
      </c>
      <c r="AU84" s="6">
        <f t="shared" si="84"/>
        <v>0</v>
      </c>
      <c r="AV84" s="6">
        <f t="shared" si="84"/>
        <v>0</v>
      </c>
      <c r="AW84" s="6">
        <f t="shared" si="84"/>
        <v>0</v>
      </c>
      <c r="AX84" s="6">
        <f t="shared" si="84"/>
        <v>199.36204146730464</v>
      </c>
      <c r="AY84" s="6">
        <f t="shared" si="84"/>
        <v>9.765625</v>
      </c>
      <c r="AZ84" s="6">
        <f t="shared" si="84"/>
        <v>0</v>
      </c>
      <c r="BA84" s="6">
        <f t="shared" si="84"/>
        <v>3.4005628517823636</v>
      </c>
      <c r="BB84" s="6">
        <f t="shared" si="84"/>
        <v>0</v>
      </c>
      <c r="BC84" s="6">
        <f t="shared" si="85"/>
        <v>3.4005628517823636</v>
      </c>
      <c r="BD84" s="6">
        <f t="shared" si="85"/>
        <v>0</v>
      </c>
      <c r="BE84" s="6">
        <f t="shared" si="85"/>
        <v>0</v>
      </c>
      <c r="BF84" s="6">
        <f t="shared" si="85"/>
        <v>0</v>
      </c>
      <c r="BG84" s="6">
        <f t="shared" si="85"/>
        <v>0</v>
      </c>
      <c r="BH84" s="6">
        <f t="shared" si="85"/>
        <v>0</v>
      </c>
      <c r="BI84" s="6">
        <f t="shared" si="85"/>
        <v>0</v>
      </c>
      <c r="BJ84" s="6">
        <f t="shared" si="85"/>
        <v>0</v>
      </c>
      <c r="BK84" s="6">
        <f t="shared" si="85"/>
        <v>0</v>
      </c>
      <c r="BL84" s="6">
        <f t="shared" si="85"/>
        <v>0</v>
      </c>
      <c r="BM84" s="6">
        <f t="shared" si="86"/>
        <v>0</v>
      </c>
      <c r="BN84" s="6">
        <f t="shared" si="86"/>
        <v>0</v>
      </c>
      <c r="BO84" s="6">
        <f t="shared" si="86"/>
        <v>0</v>
      </c>
      <c r="BP84" s="6">
        <f t="shared" si="86"/>
        <v>0</v>
      </c>
      <c r="BQ84" s="6">
        <f t="shared" si="86"/>
        <v>0</v>
      </c>
      <c r="BR84" s="6">
        <f t="shared" si="86"/>
        <v>0</v>
      </c>
      <c r="BS84" s="6">
        <f t="shared" si="86"/>
        <v>0</v>
      </c>
      <c r="BT84" s="6">
        <f t="shared" si="86"/>
        <v>0</v>
      </c>
      <c r="BU84" s="6">
        <f t="shared" si="86"/>
        <v>0</v>
      </c>
      <c r="BV84" s="6">
        <f t="shared" si="86"/>
        <v>0</v>
      </c>
      <c r="BW84" s="6">
        <f t="shared" si="87"/>
        <v>0</v>
      </c>
      <c r="BX84" s="6">
        <f t="shared" si="87"/>
        <v>0</v>
      </c>
      <c r="BY84" s="6">
        <f t="shared" si="87"/>
        <v>0</v>
      </c>
      <c r="BZ84" s="6">
        <f t="shared" si="87"/>
        <v>0</v>
      </c>
      <c r="CA84" s="6">
        <f t="shared" si="87"/>
        <v>0</v>
      </c>
      <c r="CB84" s="6">
        <f t="shared" si="87"/>
        <v>0</v>
      </c>
      <c r="CC84" s="6">
        <f t="shared" si="87"/>
        <v>0</v>
      </c>
      <c r="CD84" s="6">
        <f t="shared" si="87"/>
        <v>0</v>
      </c>
      <c r="CE84" s="6">
        <f t="shared" si="87"/>
        <v>0</v>
      </c>
      <c r="CF84" s="6">
        <f t="shared" si="87"/>
        <v>0</v>
      </c>
      <c r="CG84" s="6">
        <f t="shared" si="87"/>
        <v>0</v>
      </c>
      <c r="CH84" s="6">
        <f t="shared" si="87"/>
        <v>0</v>
      </c>
      <c r="CI84" s="6">
        <f t="shared" si="87"/>
        <v>0</v>
      </c>
      <c r="CJ84" s="6">
        <f t="shared" si="87"/>
        <v>0</v>
      </c>
      <c r="CK84" s="6">
        <f t="shared" si="88"/>
        <v>0</v>
      </c>
      <c r="CL84" s="6">
        <f t="shared" si="88"/>
        <v>0</v>
      </c>
      <c r="CM84" s="6">
        <f t="shared" si="88"/>
        <v>0</v>
      </c>
      <c r="CN84" s="6">
        <f t="shared" si="88"/>
        <v>0</v>
      </c>
      <c r="CO84" s="6">
        <f t="shared" si="88"/>
        <v>78.8667455334122</v>
      </c>
      <c r="CP84" s="6">
        <f t="shared" si="88"/>
        <v>0</v>
      </c>
      <c r="CQ84" s="6">
        <f t="shared" si="79"/>
        <v>0</v>
      </c>
      <c r="CR84" s="6">
        <f t="shared" si="79"/>
        <v>0</v>
      </c>
      <c r="CS84" s="6">
        <f t="shared" si="79"/>
        <v>0</v>
      </c>
      <c r="CT84" s="6">
        <f t="shared" si="79"/>
        <v>0</v>
      </c>
      <c r="CU84" s="6">
        <f t="shared" si="79"/>
        <v>0</v>
      </c>
      <c r="CV84" s="6">
        <f t="shared" si="79"/>
        <v>0</v>
      </c>
      <c r="CW84" s="6">
        <f t="shared" si="79"/>
        <v>0</v>
      </c>
      <c r="CX84" s="6">
        <f t="shared" si="79"/>
        <v>0</v>
      </c>
      <c r="CY84" s="6">
        <f t="shared" si="79"/>
        <v>0</v>
      </c>
      <c r="CZ84" s="6">
        <f t="shared" si="79"/>
        <v>0</v>
      </c>
      <c r="DA84" s="198">
        <f t="shared" si="79"/>
        <v>0</v>
      </c>
      <c r="DB84" s="63">
        <f t="shared" si="79"/>
        <v>0</v>
      </c>
      <c r="DC84" s="28">
        <f t="shared" si="78"/>
        <v>720.77250268482646</v>
      </c>
      <c r="EI84" s="74" t="s">
        <v>144</v>
      </c>
      <c r="EJ84" s="63">
        <f ca="1">SUM((INDIRECT(EJ$9&amp;ROW()):(INDIRECT(EJ$10&amp;ROW()))))</f>
        <v>0</v>
      </c>
      <c r="EK84" s="63">
        <f ca="1">SUM((INDIRECT(EK$9&amp;ROW()):(INDIRECT(EK$10&amp;ROW()))))</f>
        <v>425.97696498054478</v>
      </c>
      <c r="EL84" s="63">
        <f ca="1">SUM((INDIRECT(EL$9&amp;ROW()):(INDIRECT(EL$10&amp;ROW()))))</f>
        <v>215.92879217086934</v>
      </c>
      <c r="EM84" s="63">
        <f ca="1">SUM((INDIRECT(EM$9&amp;ROW()):(INDIRECT(EM$10&amp;ROW()))))</f>
        <v>78.8667455334122</v>
      </c>
      <c r="EN84" s="63" t="e">
        <f ca="1">SUM((INDIRECT(EN$9&amp;ROW()):(INDIRECT(EN$10&amp;ROW()))))</f>
        <v>#REF!</v>
      </c>
      <c r="EO84" s="63" t="e">
        <f ca="1">SUM((INDIRECT(EO$9&amp;ROW()):(INDIRECT(EO$10&amp;ROW()))))</f>
        <v>#REF!</v>
      </c>
      <c r="EP84" s="63" t="e">
        <f ca="1">SUM((INDIRECT(EP$9&amp;ROW()):(INDIRECT(EP$10&amp;ROW()))))</f>
        <v>#REF!</v>
      </c>
      <c r="EQ84" s="63" t="e">
        <f ca="1">SUM((INDIRECT(EQ$9&amp;ROW()):(INDIRECT(EQ$10&amp;ROW()))))</f>
        <v>#REF!</v>
      </c>
      <c r="EU84" s="142"/>
    </row>
    <row r="85" spans="1:151" outlineLevel="1">
      <c r="A85" t="s">
        <v>145</v>
      </c>
      <c r="B85" t="s">
        <v>24</v>
      </c>
      <c r="C85" s="72" t="s">
        <v>145</v>
      </c>
      <c r="D85" s="6">
        <v>0</v>
      </c>
      <c r="E85" s="6">
        <f t="shared" si="80"/>
        <v>0</v>
      </c>
      <c r="F85" s="6">
        <f t="shared" si="80"/>
        <v>0</v>
      </c>
      <c r="G85" s="6">
        <f t="shared" si="80"/>
        <v>0</v>
      </c>
      <c r="H85" s="6">
        <f t="shared" si="80"/>
        <v>0</v>
      </c>
      <c r="I85" s="6">
        <f t="shared" si="80"/>
        <v>17.509727626459146</v>
      </c>
      <c r="J85" s="6">
        <f t="shared" si="80"/>
        <v>0</v>
      </c>
      <c r="K85" s="6">
        <f t="shared" si="80"/>
        <v>0</v>
      </c>
      <c r="L85" s="6">
        <f t="shared" si="80"/>
        <v>0</v>
      </c>
      <c r="M85" s="6">
        <f t="shared" si="80"/>
        <v>0</v>
      </c>
      <c r="N85" s="6">
        <f t="shared" si="80"/>
        <v>0</v>
      </c>
      <c r="O85" s="6">
        <f t="shared" si="81"/>
        <v>0</v>
      </c>
      <c r="P85" s="6">
        <f t="shared" si="81"/>
        <v>0</v>
      </c>
      <c r="Q85" s="6">
        <f t="shared" si="81"/>
        <v>77.821011673151759</v>
      </c>
      <c r="R85" s="6">
        <f t="shared" si="81"/>
        <v>0</v>
      </c>
      <c r="S85" s="6">
        <f t="shared" si="81"/>
        <v>0</v>
      </c>
      <c r="T85" s="6">
        <f t="shared" si="81"/>
        <v>0</v>
      </c>
      <c r="U85" s="6">
        <f t="shared" si="81"/>
        <v>0</v>
      </c>
      <c r="V85" s="6">
        <f t="shared" si="81"/>
        <v>0</v>
      </c>
      <c r="W85" s="6">
        <f t="shared" si="81"/>
        <v>0</v>
      </c>
      <c r="X85" s="6">
        <f t="shared" si="81"/>
        <v>0</v>
      </c>
      <c r="Y85" s="6">
        <f t="shared" si="82"/>
        <v>0</v>
      </c>
      <c r="Z85" s="6">
        <f t="shared" si="82"/>
        <v>0</v>
      </c>
      <c r="AA85" s="6">
        <f t="shared" si="82"/>
        <v>0</v>
      </c>
      <c r="AB85" s="6">
        <f t="shared" si="82"/>
        <v>0</v>
      </c>
      <c r="AC85" s="6">
        <f t="shared" si="82"/>
        <v>0</v>
      </c>
      <c r="AD85" s="6">
        <f t="shared" si="82"/>
        <v>0</v>
      </c>
      <c r="AE85" s="6">
        <f t="shared" si="82"/>
        <v>0</v>
      </c>
      <c r="AF85" s="6">
        <f t="shared" si="82"/>
        <v>0</v>
      </c>
      <c r="AG85" s="6">
        <f t="shared" si="82"/>
        <v>0</v>
      </c>
      <c r="AH85" s="6">
        <f t="shared" si="82"/>
        <v>0</v>
      </c>
      <c r="AI85" s="6">
        <f t="shared" si="83"/>
        <v>0</v>
      </c>
      <c r="AJ85" s="6">
        <f t="shared" si="83"/>
        <v>0</v>
      </c>
      <c r="AK85" s="6">
        <f t="shared" si="83"/>
        <v>0</v>
      </c>
      <c r="AL85" s="6">
        <f t="shared" si="83"/>
        <v>0</v>
      </c>
      <c r="AM85" s="6">
        <f t="shared" si="83"/>
        <v>0</v>
      </c>
      <c r="AN85" s="6">
        <f t="shared" si="83"/>
        <v>0</v>
      </c>
      <c r="AO85" s="6">
        <f t="shared" si="83"/>
        <v>0</v>
      </c>
      <c r="AP85" s="6">
        <f t="shared" si="83"/>
        <v>0</v>
      </c>
      <c r="AQ85" s="6">
        <f t="shared" si="83"/>
        <v>0</v>
      </c>
      <c r="AR85" s="6">
        <f t="shared" si="83"/>
        <v>0</v>
      </c>
      <c r="AS85" s="6">
        <f t="shared" si="84"/>
        <v>0</v>
      </c>
      <c r="AT85" s="6">
        <f t="shared" si="84"/>
        <v>0</v>
      </c>
      <c r="AU85" s="6">
        <f t="shared" si="84"/>
        <v>0</v>
      </c>
      <c r="AV85" s="6">
        <f t="shared" si="84"/>
        <v>0</v>
      </c>
      <c r="AW85" s="6">
        <f t="shared" si="84"/>
        <v>0</v>
      </c>
      <c r="AX85" s="6">
        <f t="shared" si="84"/>
        <v>0</v>
      </c>
      <c r="AY85" s="6">
        <f t="shared" si="84"/>
        <v>0</v>
      </c>
      <c r="AZ85" s="6">
        <f t="shared" si="84"/>
        <v>26.921122576610379</v>
      </c>
      <c r="BA85" s="6">
        <f t="shared" si="84"/>
        <v>0</v>
      </c>
      <c r="BB85" s="6">
        <f t="shared" si="84"/>
        <v>0</v>
      </c>
      <c r="BC85" s="6">
        <f t="shared" si="85"/>
        <v>0</v>
      </c>
      <c r="BD85" s="6">
        <f t="shared" si="85"/>
        <v>0</v>
      </c>
      <c r="BE85" s="6">
        <f t="shared" si="85"/>
        <v>0</v>
      </c>
      <c r="BF85" s="6">
        <f t="shared" si="85"/>
        <v>0</v>
      </c>
      <c r="BG85" s="6">
        <f t="shared" si="85"/>
        <v>0</v>
      </c>
      <c r="BH85" s="6">
        <f t="shared" si="85"/>
        <v>0</v>
      </c>
      <c r="BI85" s="6">
        <f t="shared" si="85"/>
        <v>0</v>
      </c>
      <c r="BJ85" s="6">
        <f t="shared" si="85"/>
        <v>0</v>
      </c>
      <c r="BK85" s="6">
        <f t="shared" si="85"/>
        <v>0</v>
      </c>
      <c r="BL85" s="6">
        <f t="shared" si="85"/>
        <v>0</v>
      </c>
      <c r="BM85" s="6">
        <f t="shared" si="86"/>
        <v>0</v>
      </c>
      <c r="BN85" s="6">
        <f t="shared" si="86"/>
        <v>0</v>
      </c>
      <c r="BO85" s="6">
        <f t="shared" si="86"/>
        <v>0</v>
      </c>
      <c r="BP85" s="6">
        <f t="shared" si="86"/>
        <v>0</v>
      </c>
      <c r="BQ85" s="6">
        <f t="shared" si="86"/>
        <v>0</v>
      </c>
      <c r="BR85" s="6">
        <f t="shared" si="86"/>
        <v>0</v>
      </c>
      <c r="BS85" s="6">
        <f t="shared" si="86"/>
        <v>0</v>
      </c>
      <c r="BT85" s="6">
        <f t="shared" si="86"/>
        <v>0</v>
      </c>
      <c r="BU85" s="6">
        <f t="shared" si="86"/>
        <v>0</v>
      </c>
      <c r="BV85" s="6">
        <f t="shared" si="86"/>
        <v>0</v>
      </c>
      <c r="BW85" s="6">
        <f t="shared" si="87"/>
        <v>0</v>
      </c>
      <c r="BX85" s="6">
        <f t="shared" si="87"/>
        <v>0</v>
      </c>
      <c r="BY85" s="6">
        <f t="shared" si="87"/>
        <v>0</v>
      </c>
      <c r="BZ85" s="6">
        <f t="shared" si="87"/>
        <v>0</v>
      </c>
      <c r="CA85" s="6">
        <f t="shared" si="87"/>
        <v>0</v>
      </c>
      <c r="CB85" s="6">
        <f t="shared" si="87"/>
        <v>0</v>
      </c>
      <c r="CC85" s="6">
        <f t="shared" si="87"/>
        <v>0</v>
      </c>
      <c r="CD85" s="6">
        <f t="shared" si="87"/>
        <v>0</v>
      </c>
      <c r="CE85" s="6">
        <f t="shared" si="87"/>
        <v>0</v>
      </c>
      <c r="CF85" s="6">
        <f t="shared" si="87"/>
        <v>0</v>
      </c>
      <c r="CG85" s="6">
        <f t="shared" si="87"/>
        <v>0</v>
      </c>
      <c r="CH85" s="6">
        <f t="shared" si="87"/>
        <v>0</v>
      </c>
      <c r="CI85" s="6">
        <f t="shared" si="87"/>
        <v>0</v>
      </c>
      <c r="CJ85" s="6">
        <f t="shared" si="87"/>
        <v>23.135221380135619</v>
      </c>
      <c r="CK85" s="6">
        <f t="shared" si="88"/>
        <v>19.322352655685989</v>
      </c>
      <c r="CL85" s="6">
        <f t="shared" si="88"/>
        <v>0</v>
      </c>
      <c r="CM85" s="6">
        <f t="shared" si="88"/>
        <v>0</v>
      </c>
      <c r="CN85" s="6">
        <f t="shared" si="88"/>
        <v>41.405041405041402</v>
      </c>
      <c r="CO85" s="6">
        <f t="shared" si="88"/>
        <v>0</v>
      </c>
      <c r="CP85" s="6">
        <f t="shared" si="88"/>
        <v>0</v>
      </c>
      <c r="CQ85" s="6">
        <f t="shared" si="79"/>
        <v>0</v>
      </c>
      <c r="CR85" s="6">
        <f t="shared" si="79"/>
        <v>0</v>
      </c>
      <c r="CS85" s="6">
        <f t="shared" si="79"/>
        <v>0</v>
      </c>
      <c r="CT85" s="6">
        <f t="shared" si="79"/>
        <v>0</v>
      </c>
      <c r="CU85" s="6">
        <f t="shared" si="79"/>
        <v>0</v>
      </c>
      <c r="CV85" s="6">
        <f t="shared" si="79"/>
        <v>0</v>
      </c>
      <c r="CW85" s="6">
        <f t="shared" si="79"/>
        <v>0</v>
      </c>
      <c r="CX85" s="6">
        <f t="shared" si="79"/>
        <v>0</v>
      </c>
      <c r="CY85" s="6">
        <f t="shared" si="79"/>
        <v>0</v>
      </c>
      <c r="CZ85" s="6">
        <f t="shared" si="79"/>
        <v>0</v>
      </c>
      <c r="DA85" s="198">
        <f t="shared" si="79"/>
        <v>0</v>
      </c>
      <c r="DB85" s="63">
        <f t="shared" si="79"/>
        <v>0</v>
      </c>
      <c r="DC85" s="28">
        <f t="shared" si="78"/>
        <v>206.11447731708429</v>
      </c>
      <c r="EI85" s="72" t="s">
        <v>145</v>
      </c>
      <c r="EJ85" s="63">
        <f ca="1">SUM((INDIRECT(EJ$9&amp;ROW()):(INDIRECT(EJ$10&amp;ROW()))))</f>
        <v>95.330739299610912</v>
      </c>
      <c r="EK85" s="63">
        <f ca="1">SUM((INDIRECT(EK$9&amp;ROW()):(INDIRECT(EK$10&amp;ROW()))))</f>
        <v>0</v>
      </c>
      <c r="EL85" s="63">
        <f ca="1">SUM((INDIRECT(EL$9&amp;ROW()):(INDIRECT(EL$10&amp;ROW()))))</f>
        <v>26.921122576610379</v>
      </c>
      <c r="EM85" s="63">
        <f ca="1">SUM((INDIRECT(EM$9&amp;ROW()):(INDIRECT(EM$10&amp;ROW()))))</f>
        <v>83.86261544086301</v>
      </c>
      <c r="EN85" s="63" t="e">
        <f ca="1">SUM((INDIRECT(EN$9&amp;ROW()):(INDIRECT(EN$10&amp;ROW()))))</f>
        <v>#REF!</v>
      </c>
      <c r="EO85" s="63" t="e">
        <f ca="1">SUM((INDIRECT(EO$9&amp;ROW()):(INDIRECT(EO$10&amp;ROW()))))</f>
        <v>#REF!</v>
      </c>
      <c r="EP85" s="63" t="e">
        <f ca="1">SUM((INDIRECT(EP$9&amp;ROW()):(INDIRECT(EP$10&amp;ROW()))))</f>
        <v>#REF!</v>
      </c>
      <c r="EQ85" s="63" t="e">
        <f ca="1">SUM((INDIRECT(EQ$9&amp;ROW()):(INDIRECT(EQ$10&amp;ROW()))))</f>
        <v>#REF!</v>
      </c>
      <c r="EU85" s="142"/>
    </row>
    <row r="86" spans="1:151" outlineLevel="1">
      <c r="A86" t="s">
        <v>206</v>
      </c>
      <c r="B86" t="s">
        <v>24</v>
      </c>
      <c r="C86" s="73" t="s">
        <v>206</v>
      </c>
      <c r="D86" s="6">
        <v>0</v>
      </c>
      <c r="E86" s="6">
        <f t="shared" si="80"/>
        <v>226</v>
      </c>
      <c r="F86" s="6">
        <f t="shared" si="80"/>
        <v>0</v>
      </c>
      <c r="G86" s="6">
        <f t="shared" si="80"/>
        <v>0</v>
      </c>
      <c r="H86" s="6">
        <f t="shared" si="80"/>
        <v>0</v>
      </c>
      <c r="I86" s="6">
        <f t="shared" si="80"/>
        <v>13.618677042801556</v>
      </c>
      <c r="J86" s="6">
        <f t="shared" si="80"/>
        <v>0</v>
      </c>
      <c r="K86" s="6">
        <f t="shared" si="80"/>
        <v>0</v>
      </c>
      <c r="L86" s="6">
        <f t="shared" si="80"/>
        <v>0</v>
      </c>
      <c r="M86" s="6">
        <f t="shared" si="80"/>
        <v>0</v>
      </c>
      <c r="N86" s="6">
        <f t="shared" si="80"/>
        <v>0</v>
      </c>
      <c r="O86" s="6">
        <f t="shared" si="81"/>
        <v>0</v>
      </c>
      <c r="P86" s="6">
        <f t="shared" si="81"/>
        <v>0</v>
      </c>
      <c r="Q86" s="6">
        <f t="shared" si="81"/>
        <v>0</v>
      </c>
      <c r="R86" s="6">
        <f t="shared" si="81"/>
        <v>0</v>
      </c>
      <c r="S86" s="6">
        <f t="shared" si="81"/>
        <v>0</v>
      </c>
      <c r="T86" s="6">
        <f t="shared" si="81"/>
        <v>0</v>
      </c>
      <c r="U86" s="6">
        <f t="shared" si="81"/>
        <v>0</v>
      </c>
      <c r="V86" s="6">
        <f t="shared" si="81"/>
        <v>0</v>
      </c>
      <c r="W86" s="6">
        <f t="shared" si="81"/>
        <v>0</v>
      </c>
      <c r="X86" s="6">
        <f t="shared" si="81"/>
        <v>0</v>
      </c>
      <c r="Y86" s="6">
        <f t="shared" si="82"/>
        <v>0</v>
      </c>
      <c r="Z86" s="6">
        <f t="shared" si="82"/>
        <v>0</v>
      </c>
      <c r="AA86" s="6">
        <f t="shared" si="82"/>
        <v>0</v>
      </c>
      <c r="AB86" s="6">
        <f t="shared" si="82"/>
        <v>0</v>
      </c>
      <c r="AC86" s="6">
        <f t="shared" si="82"/>
        <v>0</v>
      </c>
      <c r="AD86" s="6">
        <f t="shared" si="82"/>
        <v>0</v>
      </c>
      <c r="AE86" s="6">
        <f t="shared" si="82"/>
        <v>0</v>
      </c>
      <c r="AF86" s="6">
        <f t="shared" si="82"/>
        <v>0</v>
      </c>
      <c r="AG86" s="6">
        <f t="shared" si="82"/>
        <v>0</v>
      </c>
      <c r="AH86" s="6">
        <f t="shared" si="82"/>
        <v>0</v>
      </c>
      <c r="AI86" s="6">
        <f t="shared" si="83"/>
        <v>0</v>
      </c>
      <c r="AJ86" s="6">
        <f t="shared" si="83"/>
        <v>0</v>
      </c>
      <c r="AK86" s="6">
        <f t="shared" si="83"/>
        <v>0</v>
      </c>
      <c r="AL86" s="6">
        <f t="shared" si="83"/>
        <v>0</v>
      </c>
      <c r="AM86" s="6">
        <f t="shared" si="83"/>
        <v>0</v>
      </c>
      <c r="AN86" s="6">
        <f t="shared" si="83"/>
        <v>0</v>
      </c>
      <c r="AO86" s="6">
        <f t="shared" si="83"/>
        <v>0</v>
      </c>
      <c r="AP86" s="6">
        <f t="shared" si="83"/>
        <v>0</v>
      </c>
      <c r="AQ86" s="6">
        <f t="shared" si="83"/>
        <v>0</v>
      </c>
      <c r="AR86" s="6">
        <f t="shared" si="83"/>
        <v>0</v>
      </c>
      <c r="AS86" s="6">
        <f t="shared" si="84"/>
        <v>0</v>
      </c>
      <c r="AT86" s="6">
        <f t="shared" si="84"/>
        <v>0</v>
      </c>
      <c r="AU86" s="6">
        <f t="shared" si="84"/>
        <v>0</v>
      </c>
      <c r="AV86" s="6">
        <f t="shared" si="84"/>
        <v>0</v>
      </c>
      <c r="AW86" s="6">
        <f t="shared" si="84"/>
        <v>0</v>
      </c>
      <c r="AX86" s="6">
        <f t="shared" si="84"/>
        <v>0</v>
      </c>
      <c r="AY86" s="6">
        <f t="shared" si="84"/>
        <v>0</v>
      </c>
      <c r="AZ86" s="6">
        <f t="shared" si="84"/>
        <v>0</v>
      </c>
      <c r="BA86" s="6">
        <f t="shared" si="84"/>
        <v>0</v>
      </c>
      <c r="BB86" s="6">
        <f t="shared" si="84"/>
        <v>0</v>
      </c>
      <c r="BC86" s="6">
        <f t="shared" si="85"/>
        <v>40.013289555972491</v>
      </c>
      <c r="BD86" s="6">
        <f t="shared" si="85"/>
        <v>0</v>
      </c>
      <c r="BE86" s="6">
        <f t="shared" si="85"/>
        <v>0</v>
      </c>
      <c r="BF86" s="6">
        <f t="shared" si="85"/>
        <v>0</v>
      </c>
      <c r="BG86" s="6">
        <f t="shared" si="85"/>
        <v>0</v>
      </c>
      <c r="BH86" s="6">
        <f t="shared" si="85"/>
        <v>0</v>
      </c>
      <c r="BI86" s="6">
        <f t="shared" si="85"/>
        <v>0</v>
      </c>
      <c r="BJ86" s="6">
        <f t="shared" si="85"/>
        <v>0</v>
      </c>
      <c r="BK86" s="6">
        <f t="shared" si="85"/>
        <v>11.71875</v>
      </c>
      <c r="BL86" s="6">
        <f t="shared" si="85"/>
        <v>0</v>
      </c>
      <c r="BM86" s="6">
        <f t="shared" si="86"/>
        <v>0</v>
      </c>
      <c r="BN86" s="6">
        <f t="shared" si="86"/>
        <v>0</v>
      </c>
      <c r="BO86" s="6">
        <f t="shared" si="86"/>
        <v>0</v>
      </c>
      <c r="BP86" s="6">
        <f t="shared" si="86"/>
        <v>0</v>
      </c>
      <c r="BQ86" s="6">
        <f t="shared" si="86"/>
        <v>0</v>
      </c>
      <c r="BR86" s="6">
        <f t="shared" si="86"/>
        <v>0</v>
      </c>
      <c r="BS86" s="6">
        <f t="shared" si="86"/>
        <v>0</v>
      </c>
      <c r="BT86" s="6">
        <f t="shared" si="86"/>
        <v>0</v>
      </c>
      <c r="BU86" s="6">
        <f t="shared" si="86"/>
        <v>0</v>
      </c>
      <c r="BV86" s="6">
        <f t="shared" si="86"/>
        <v>0</v>
      </c>
      <c r="BW86" s="6">
        <f t="shared" si="87"/>
        <v>0</v>
      </c>
      <c r="BX86" s="6">
        <f t="shared" si="87"/>
        <v>0</v>
      </c>
      <c r="BY86" s="6">
        <f t="shared" si="87"/>
        <v>0</v>
      </c>
      <c r="BZ86" s="6">
        <f t="shared" si="87"/>
        <v>0</v>
      </c>
      <c r="CA86" s="6">
        <f t="shared" si="87"/>
        <v>0</v>
      </c>
      <c r="CB86" s="6">
        <f t="shared" si="87"/>
        <v>0</v>
      </c>
      <c r="CC86" s="6">
        <f t="shared" si="87"/>
        <v>17.949740725967292</v>
      </c>
      <c r="CD86" s="6">
        <f t="shared" si="87"/>
        <v>0</v>
      </c>
      <c r="CE86" s="6">
        <f t="shared" si="87"/>
        <v>0</v>
      </c>
      <c r="CF86" s="6">
        <f t="shared" si="87"/>
        <v>47.865975269246107</v>
      </c>
      <c r="CG86" s="6">
        <f t="shared" si="87"/>
        <v>0</v>
      </c>
      <c r="CH86" s="6">
        <f t="shared" si="87"/>
        <v>0</v>
      </c>
      <c r="CI86" s="6">
        <f t="shared" si="87"/>
        <v>0</v>
      </c>
      <c r="CJ86" s="6">
        <f t="shared" si="87"/>
        <v>0</v>
      </c>
      <c r="CK86" s="6">
        <f t="shared" si="88"/>
        <v>0</v>
      </c>
      <c r="CL86" s="6">
        <f t="shared" si="88"/>
        <v>20.505353838687171</v>
      </c>
      <c r="CM86" s="6">
        <f t="shared" si="88"/>
        <v>0</v>
      </c>
      <c r="CN86" s="6">
        <f t="shared" si="88"/>
        <v>0</v>
      </c>
      <c r="CO86" s="6">
        <f t="shared" si="88"/>
        <v>0</v>
      </c>
      <c r="CP86" s="6">
        <f t="shared" si="88"/>
        <v>0</v>
      </c>
      <c r="CQ86" s="6">
        <f t="shared" si="79"/>
        <v>0</v>
      </c>
      <c r="CR86" s="6">
        <f t="shared" si="79"/>
        <v>0</v>
      </c>
      <c r="CS86" s="6">
        <f t="shared" si="79"/>
        <v>0</v>
      </c>
      <c r="CT86" s="6">
        <f t="shared" si="79"/>
        <v>0</v>
      </c>
      <c r="CU86" s="6">
        <f t="shared" si="79"/>
        <v>0</v>
      </c>
      <c r="CV86" s="6">
        <f t="shared" si="79"/>
        <v>0</v>
      </c>
      <c r="CW86" s="6">
        <f t="shared" si="79"/>
        <v>0</v>
      </c>
      <c r="CX86" s="6">
        <f t="shared" si="79"/>
        <v>0</v>
      </c>
      <c r="CY86" s="6">
        <f t="shared" si="79"/>
        <v>0</v>
      </c>
      <c r="CZ86" s="6">
        <f t="shared" si="79"/>
        <v>0</v>
      </c>
      <c r="DA86" s="198">
        <f t="shared" si="79"/>
        <v>0</v>
      </c>
      <c r="DB86" s="63">
        <f t="shared" si="79"/>
        <v>0</v>
      </c>
      <c r="DC86" s="28">
        <f t="shared" si="78"/>
        <v>377.67178643267459</v>
      </c>
      <c r="EI86" s="73" t="s">
        <v>206</v>
      </c>
      <c r="EJ86" s="63">
        <f ca="1">SUM((INDIRECT(EJ$9&amp;ROW()):(INDIRECT(EJ$10&amp;ROW()))))</f>
        <v>239.61867704280155</v>
      </c>
      <c r="EK86" s="63">
        <f ca="1">SUM((INDIRECT(EK$9&amp;ROW()):(INDIRECT(EK$10&amp;ROW()))))</f>
        <v>0</v>
      </c>
      <c r="EL86" s="63">
        <f ca="1">SUM((INDIRECT(EL$9&amp;ROW()):(INDIRECT(EL$10&amp;ROW()))))</f>
        <v>51.732039555972491</v>
      </c>
      <c r="EM86" s="63">
        <f ca="1">SUM((INDIRECT(EM$9&amp;ROW()):(INDIRECT(EM$10&amp;ROW()))))</f>
        <v>86.321069833900566</v>
      </c>
      <c r="EN86" s="63" t="e">
        <f ca="1">SUM((INDIRECT(EN$9&amp;ROW()):(INDIRECT(EN$10&amp;ROW()))))</f>
        <v>#REF!</v>
      </c>
      <c r="EO86" s="63" t="e">
        <f ca="1">SUM((INDIRECT(EO$9&amp;ROW()):(INDIRECT(EO$10&amp;ROW()))))</f>
        <v>#REF!</v>
      </c>
      <c r="EP86" s="63" t="e">
        <f ca="1">SUM((INDIRECT(EP$9&amp;ROW()):(INDIRECT(EP$10&amp;ROW()))))</f>
        <v>#REF!</v>
      </c>
      <c r="EQ86" s="63" t="e">
        <f ca="1">SUM((INDIRECT(EQ$9&amp;ROW()):(INDIRECT(EQ$10&amp;ROW()))))</f>
        <v>#REF!</v>
      </c>
      <c r="ER86" t="s">
        <v>556</v>
      </c>
      <c r="EU86" s="142"/>
    </row>
    <row r="87" spans="1:151" ht="15" outlineLevel="1" thickBot="1">
      <c r="A87" t="s">
        <v>136</v>
      </c>
      <c r="B87" t="s">
        <v>24</v>
      </c>
      <c r="C87" s="74" t="s">
        <v>136</v>
      </c>
      <c r="D87" s="6"/>
      <c r="E87" s="6">
        <f t="shared" si="80"/>
        <v>0</v>
      </c>
      <c r="F87" s="6">
        <f t="shared" si="80"/>
        <v>0</v>
      </c>
      <c r="G87" s="6">
        <f t="shared" si="80"/>
        <v>0</v>
      </c>
      <c r="H87" s="6">
        <f t="shared" si="80"/>
        <v>0</v>
      </c>
      <c r="I87" s="6">
        <f t="shared" si="80"/>
        <v>0</v>
      </c>
      <c r="J87" s="6">
        <f t="shared" si="80"/>
        <v>0</v>
      </c>
      <c r="K87" s="6">
        <f t="shared" si="80"/>
        <v>0</v>
      </c>
      <c r="L87" s="6">
        <f t="shared" si="80"/>
        <v>0</v>
      </c>
      <c r="M87" s="6">
        <f t="shared" si="80"/>
        <v>0</v>
      </c>
      <c r="N87" s="6">
        <f t="shared" si="80"/>
        <v>0</v>
      </c>
      <c r="O87" s="6">
        <f t="shared" si="81"/>
        <v>0</v>
      </c>
      <c r="P87" s="6">
        <f t="shared" si="81"/>
        <v>0</v>
      </c>
      <c r="Q87" s="6">
        <f t="shared" si="81"/>
        <v>0</v>
      </c>
      <c r="R87" s="6">
        <f t="shared" si="81"/>
        <v>0</v>
      </c>
      <c r="S87" s="6">
        <f t="shared" si="81"/>
        <v>0</v>
      </c>
      <c r="T87" s="6">
        <f t="shared" si="81"/>
        <v>0</v>
      </c>
      <c r="U87" s="6">
        <f t="shared" si="81"/>
        <v>0</v>
      </c>
      <c r="V87" s="6">
        <f t="shared" si="81"/>
        <v>0</v>
      </c>
      <c r="W87" s="6">
        <f t="shared" si="81"/>
        <v>0</v>
      </c>
      <c r="X87" s="6">
        <f t="shared" si="81"/>
        <v>0</v>
      </c>
      <c r="Y87" s="6">
        <f t="shared" si="82"/>
        <v>0</v>
      </c>
      <c r="Z87" s="6">
        <f t="shared" si="82"/>
        <v>0</v>
      </c>
      <c r="AA87" s="6">
        <f t="shared" si="82"/>
        <v>0</v>
      </c>
      <c r="AB87" s="6">
        <f t="shared" si="82"/>
        <v>0</v>
      </c>
      <c r="AC87" s="6">
        <f t="shared" si="82"/>
        <v>0</v>
      </c>
      <c r="AD87" s="6">
        <f t="shared" si="82"/>
        <v>0</v>
      </c>
      <c r="AE87" s="6">
        <f t="shared" si="82"/>
        <v>0</v>
      </c>
      <c r="AF87" s="6">
        <f t="shared" si="82"/>
        <v>0</v>
      </c>
      <c r="AG87" s="6">
        <f t="shared" si="82"/>
        <v>0</v>
      </c>
      <c r="AH87" s="6">
        <f t="shared" si="82"/>
        <v>0</v>
      </c>
      <c r="AI87" s="6">
        <f t="shared" si="83"/>
        <v>0</v>
      </c>
      <c r="AJ87" s="6">
        <f t="shared" si="83"/>
        <v>84.046692607003891</v>
      </c>
      <c r="AK87" s="6">
        <f t="shared" si="83"/>
        <v>0</v>
      </c>
      <c r="AL87" s="6">
        <f t="shared" si="83"/>
        <v>0</v>
      </c>
      <c r="AM87" s="6">
        <f t="shared" si="83"/>
        <v>0</v>
      </c>
      <c r="AN87" s="6">
        <f t="shared" si="83"/>
        <v>0</v>
      </c>
      <c r="AO87" s="6">
        <f t="shared" si="83"/>
        <v>0</v>
      </c>
      <c r="AP87" s="6">
        <f t="shared" si="83"/>
        <v>0</v>
      </c>
      <c r="AQ87" s="6">
        <f t="shared" si="83"/>
        <v>0</v>
      </c>
      <c r="AR87" s="6">
        <f t="shared" si="83"/>
        <v>0</v>
      </c>
      <c r="AS87" s="6">
        <f t="shared" si="84"/>
        <v>0</v>
      </c>
      <c r="AT87" s="6">
        <f t="shared" si="84"/>
        <v>0</v>
      </c>
      <c r="AU87" s="6">
        <f t="shared" si="84"/>
        <v>0</v>
      </c>
      <c r="AV87" s="6">
        <f t="shared" si="84"/>
        <v>0</v>
      </c>
      <c r="AW87" s="6">
        <f t="shared" si="84"/>
        <v>0</v>
      </c>
      <c r="AX87" s="6">
        <f t="shared" si="84"/>
        <v>0</v>
      </c>
      <c r="AY87" s="6">
        <f t="shared" si="84"/>
        <v>0</v>
      </c>
      <c r="AZ87" s="6">
        <f t="shared" si="84"/>
        <v>0</v>
      </c>
      <c r="BA87" s="6">
        <f t="shared" si="84"/>
        <v>0</v>
      </c>
      <c r="BB87" s="6">
        <f t="shared" si="84"/>
        <v>0</v>
      </c>
      <c r="BC87" s="6">
        <f t="shared" si="85"/>
        <v>0</v>
      </c>
      <c r="BD87" s="6">
        <f t="shared" si="85"/>
        <v>0</v>
      </c>
      <c r="BE87" s="6">
        <f t="shared" si="85"/>
        <v>0</v>
      </c>
      <c r="BF87" s="6">
        <f t="shared" si="85"/>
        <v>0</v>
      </c>
      <c r="BG87" s="6">
        <f t="shared" si="85"/>
        <v>0</v>
      </c>
      <c r="BH87" s="6">
        <f t="shared" si="85"/>
        <v>0</v>
      </c>
      <c r="BI87" s="6">
        <f t="shared" si="85"/>
        <v>0</v>
      </c>
      <c r="BJ87" s="6">
        <f t="shared" si="85"/>
        <v>0</v>
      </c>
      <c r="BK87" s="6">
        <f t="shared" si="85"/>
        <v>0</v>
      </c>
      <c r="BL87" s="6">
        <f t="shared" si="85"/>
        <v>0</v>
      </c>
      <c r="BM87" s="6">
        <f t="shared" si="86"/>
        <v>0</v>
      </c>
      <c r="BN87" s="6">
        <f t="shared" si="86"/>
        <v>0</v>
      </c>
      <c r="BO87" s="6">
        <f t="shared" si="86"/>
        <v>0</v>
      </c>
      <c r="BP87" s="6">
        <f t="shared" si="86"/>
        <v>0</v>
      </c>
      <c r="BQ87" s="6">
        <f t="shared" si="86"/>
        <v>0</v>
      </c>
      <c r="BR87" s="6">
        <f t="shared" si="86"/>
        <v>0</v>
      </c>
      <c r="BS87" s="6">
        <f t="shared" si="86"/>
        <v>0</v>
      </c>
      <c r="BT87" s="6">
        <f t="shared" si="86"/>
        <v>0</v>
      </c>
      <c r="BU87" s="6">
        <f t="shared" si="86"/>
        <v>0</v>
      </c>
      <c r="BV87" s="6">
        <f t="shared" si="86"/>
        <v>0</v>
      </c>
      <c r="BW87" s="6">
        <f t="shared" si="87"/>
        <v>0</v>
      </c>
      <c r="BX87" s="6">
        <f t="shared" si="87"/>
        <v>0</v>
      </c>
      <c r="BY87" s="6">
        <f t="shared" si="87"/>
        <v>0</v>
      </c>
      <c r="BZ87" s="6">
        <f t="shared" si="87"/>
        <v>0</v>
      </c>
      <c r="CA87" s="6">
        <f t="shared" si="87"/>
        <v>0</v>
      </c>
      <c r="CB87" s="6">
        <f t="shared" si="87"/>
        <v>0</v>
      </c>
      <c r="CC87" s="6">
        <f t="shared" si="87"/>
        <v>0</v>
      </c>
      <c r="CD87" s="6">
        <f t="shared" si="87"/>
        <v>0</v>
      </c>
      <c r="CE87" s="6">
        <f t="shared" si="87"/>
        <v>0</v>
      </c>
      <c r="CF87" s="6">
        <f t="shared" si="87"/>
        <v>0</v>
      </c>
      <c r="CG87" s="6">
        <f t="shared" si="87"/>
        <v>0</v>
      </c>
      <c r="CH87" s="6">
        <f t="shared" si="87"/>
        <v>4.786597526924611</v>
      </c>
      <c r="CI87" s="6">
        <f t="shared" si="87"/>
        <v>0</v>
      </c>
      <c r="CJ87" s="6">
        <f t="shared" si="87"/>
        <v>39.888312724371758</v>
      </c>
      <c r="CK87" s="6">
        <f t="shared" si="88"/>
        <v>47.320047320047316</v>
      </c>
      <c r="CL87" s="6">
        <f t="shared" si="88"/>
        <v>37.461704128370791</v>
      </c>
      <c r="CM87" s="6">
        <f t="shared" si="88"/>
        <v>57.572724239390908</v>
      </c>
      <c r="CN87" s="6">
        <f t="shared" si="88"/>
        <v>11.830011830011829</v>
      </c>
      <c r="CO87" s="6">
        <f t="shared" si="88"/>
        <v>25.631692298358963</v>
      </c>
      <c r="CP87" s="6">
        <f t="shared" si="88"/>
        <v>0</v>
      </c>
      <c r="CQ87" s="6">
        <f t="shared" si="79"/>
        <v>0</v>
      </c>
      <c r="CR87" s="6">
        <f t="shared" si="79"/>
        <v>0</v>
      </c>
      <c r="CS87" s="6">
        <f t="shared" si="79"/>
        <v>0</v>
      </c>
      <c r="CT87" s="6">
        <f t="shared" si="79"/>
        <v>0</v>
      </c>
      <c r="CU87" s="6">
        <f t="shared" si="79"/>
        <v>0</v>
      </c>
      <c r="CV87" s="6">
        <f t="shared" si="79"/>
        <v>0</v>
      </c>
      <c r="CW87" s="6">
        <f t="shared" si="79"/>
        <v>0</v>
      </c>
      <c r="CX87" s="6">
        <f t="shared" si="79"/>
        <v>0</v>
      </c>
      <c r="CY87" s="6">
        <f t="shared" si="79"/>
        <v>0</v>
      </c>
      <c r="CZ87" s="6">
        <f t="shared" si="79"/>
        <v>0</v>
      </c>
      <c r="DA87" s="198">
        <f t="shared" si="79"/>
        <v>0</v>
      </c>
      <c r="DB87" s="63">
        <f t="shared" si="79"/>
        <v>0</v>
      </c>
      <c r="DC87" s="28">
        <f t="shared" si="78"/>
        <v>308.53778267448007</v>
      </c>
      <c r="DD87" s="16">
        <v>0</v>
      </c>
      <c r="EI87" s="74" t="s">
        <v>136</v>
      </c>
      <c r="EJ87" s="63">
        <f ca="1">SUM((INDIRECT(EJ$9&amp;ROW()):(INDIRECT(EJ$10&amp;ROW()))))</f>
        <v>0</v>
      </c>
      <c r="EK87" s="63">
        <f ca="1">SUM((INDIRECT(EK$9&amp;ROW()):(INDIRECT(EK$10&amp;ROW()))))</f>
        <v>84.046692607003891</v>
      </c>
      <c r="EL87" s="63">
        <f ca="1">SUM((INDIRECT(EL$9&amp;ROW()):(INDIRECT(EL$10&amp;ROW()))))</f>
        <v>0</v>
      </c>
      <c r="EM87" s="63">
        <f ca="1">SUM((INDIRECT(EM$9&amp;ROW()):(INDIRECT(EM$10&amp;ROW()))))</f>
        <v>224.49109006747619</v>
      </c>
      <c r="EN87" s="63" t="e">
        <f ca="1">SUM((INDIRECT(EN$9&amp;ROW()):(INDIRECT(EN$10&amp;ROW()))))</f>
        <v>#REF!</v>
      </c>
      <c r="EO87" s="63" t="e">
        <f ca="1">SUM((INDIRECT(EO$9&amp;ROW()):(INDIRECT(EO$10&amp;ROW()))))</f>
        <v>#REF!</v>
      </c>
      <c r="EP87" s="63" t="e">
        <f ca="1">SUM((INDIRECT(EP$9&amp;ROW()):(INDIRECT(EP$10&amp;ROW()))))</f>
        <v>#REF!</v>
      </c>
      <c r="EQ87" s="63" t="e">
        <f ca="1">SUM((INDIRECT(EQ$9&amp;ROW()):(INDIRECT(EQ$10&amp;ROW()))))</f>
        <v>#REF!</v>
      </c>
      <c r="EU87" s="142"/>
    </row>
    <row r="88" spans="1:151" ht="15" outlineLevel="1" thickBot="1">
      <c r="A88" t="s">
        <v>564</v>
      </c>
      <c r="B88" t="s">
        <v>558</v>
      </c>
      <c r="C88" s="74" t="s">
        <v>564</v>
      </c>
      <c r="D88" s="6"/>
      <c r="E88" s="6">
        <f t="shared" si="80"/>
        <v>0</v>
      </c>
      <c r="F88" s="6">
        <f t="shared" si="80"/>
        <v>2334.6303501945526</v>
      </c>
      <c r="G88" s="6">
        <f t="shared" si="80"/>
        <v>0</v>
      </c>
      <c r="H88" s="6">
        <f t="shared" si="80"/>
        <v>0</v>
      </c>
      <c r="I88" s="6">
        <f t="shared" si="80"/>
        <v>0</v>
      </c>
      <c r="J88" s="6">
        <f t="shared" si="80"/>
        <v>0</v>
      </c>
      <c r="K88" s="6">
        <f t="shared" si="80"/>
        <v>0</v>
      </c>
      <c r="L88" s="6">
        <f t="shared" si="80"/>
        <v>0</v>
      </c>
      <c r="M88" s="6">
        <f t="shared" si="80"/>
        <v>0</v>
      </c>
      <c r="N88" s="6">
        <f t="shared" si="80"/>
        <v>0</v>
      </c>
      <c r="O88" s="6">
        <f t="shared" si="81"/>
        <v>0</v>
      </c>
      <c r="P88" s="6">
        <f t="shared" si="81"/>
        <v>0</v>
      </c>
      <c r="Q88" s="6">
        <f t="shared" si="81"/>
        <v>0</v>
      </c>
      <c r="R88" s="6">
        <f t="shared" si="81"/>
        <v>0</v>
      </c>
      <c r="S88" s="6">
        <f t="shared" si="81"/>
        <v>0</v>
      </c>
      <c r="T88" s="6">
        <f t="shared" si="81"/>
        <v>0</v>
      </c>
      <c r="U88" s="6">
        <f t="shared" si="81"/>
        <v>0</v>
      </c>
      <c r="V88" s="6">
        <f t="shared" si="81"/>
        <v>0</v>
      </c>
      <c r="W88" s="6">
        <f t="shared" si="81"/>
        <v>0</v>
      </c>
      <c r="X88" s="6">
        <f t="shared" si="81"/>
        <v>0</v>
      </c>
      <c r="Y88" s="6">
        <f t="shared" si="82"/>
        <v>0</v>
      </c>
      <c r="Z88" s="6">
        <f t="shared" si="82"/>
        <v>0</v>
      </c>
      <c r="AA88" s="6">
        <f t="shared" si="82"/>
        <v>0</v>
      </c>
      <c r="AB88" s="6">
        <f t="shared" si="82"/>
        <v>0</v>
      </c>
      <c r="AC88" s="6">
        <f t="shared" si="82"/>
        <v>0</v>
      </c>
      <c r="AD88" s="6">
        <f t="shared" si="82"/>
        <v>0</v>
      </c>
      <c r="AE88" s="6">
        <f t="shared" si="82"/>
        <v>0</v>
      </c>
      <c r="AF88" s="6">
        <f t="shared" si="82"/>
        <v>0</v>
      </c>
      <c r="AG88" s="6">
        <f t="shared" si="82"/>
        <v>0</v>
      </c>
      <c r="AH88" s="6">
        <f t="shared" si="82"/>
        <v>0</v>
      </c>
      <c r="AI88" s="6">
        <f t="shared" si="83"/>
        <v>0</v>
      </c>
      <c r="AJ88" s="6">
        <f t="shared" si="83"/>
        <v>0</v>
      </c>
      <c r="AK88" s="6">
        <f t="shared" si="83"/>
        <v>0</v>
      </c>
      <c r="AL88" s="6">
        <f t="shared" si="83"/>
        <v>0</v>
      </c>
      <c r="AM88" s="6">
        <f t="shared" si="83"/>
        <v>0</v>
      </c>
      <c r="AN88" s="6">
        <f t="shared" si="83"/>
        <v>0</v>
      </c>
      <c r="AO88" s="6">
        <f t="shared" si="83"/>
        <v>0</v>
      </c>
      <c r="AP88" s="6">
        <f t="shared" si="83"/>
        <v>0</v>
      </c>
      <c r="AQ88" s="6">
        <f t="shared" si="83"/>
        <v>0</v>
      </c>
      <c r="AR88" s="6">
        <f t="shared" si="83"/>
        <v>0</v>
      </c>
      <c r="AS88" s="6">
        <f t="shared" si="84"/>
        <v>0</v>
      </c>
      <c r="AT88" s="6">
        <f t="shared" si="84"/>
        <v>0</v>
      </c>
      <c r="AU88" s="6">
        <f t="shared" si="84"/>
        <v>0</v>
      </c>
      <c r="AV88" s="6">
        <f t="shared" si="84"/>
        <v>0</v>
      </c>
      <c r="AW88" s="6">
        <f t="shared" si="84"/>
        <v>0</v>
      </c>
      <c r="AX88" s="6">
        <f t="shared" si="84"/>
        <v>0</v>
      </c>
      <c r="AY88" s="6">
        <f t="shared" si="84"/>
        <v>0</v>
      </c>
      <c r="AZ88" s="6">
        <f t="shared" si="84"/>
        <v>0</v>
      </c>
      <c r="BA88" s="6">
        <f t="shared" si="84"/>
        <v>0</v>
      </c>
      <c r="BB88" s="6">
        <f t="shared" si="84"/>
        <v>0</v>
      </c>
      <c r="BC88" s="6">
        <f t="shared" si="85"/>
        <v>0</v>
      </c>
      <c r="BD88" s="6">
        <f t="shared" si="85"/>
        <v>0</v>
      </c>
      <c r="BE88" s="6">
        <f t="shared" si="85"/>
        <v>0</v>
      </c>
      <c r="BF88" s="6">
        <f t="shared" si="85"/>
        <v>0</v>
      </c>
      <c r="BG88" s="6">
        <f t="shared" si="85"/>
        <v>0</v>
      </c>
      <c r="BH88" s="6">
        <f t="shared" si="85"/>
        <v>0</v>
      </c>
      <c r="BI88" s="6">
        <f t="shared" si="85"/>
        <v>0</v>
      </c>
      <c r="BJ88" s="6">
        <f t="shared" si="85"/>
        <v>0</v>
      </c>
      <c r="BK88" s="6">
        <f t="shared" si="85"/>
        <v>0</v>
      </c>
      <c r="BL88" s="6">
        <f t="shared" si="85"/>
        <v>0</v>
      </c>
      <c r="BM88" s="6">
        <f t="shared" si="86"/>
        <v>0</v>
      </c>
      <c r="BN88" s="6">
        <f t="shared" si="86"/>
        <v>0</v>
      </c>
      <c r="BO88" s="6">
        <f t="shared" si="86"/>
        <v>0</v>
      </c>
      <c r="BP88" s="6">
        <f t="shared" si="86"/>
        <v>0</v>
      </c>
      <c r="BQ88" s="6">
        <f t="shared" si="86"/>
        <v>0</v>
      </c>
      <c r="BR88" s="6">
        <f t="shared" si="86"/>
        <v>0</v>
      </c>
      <c r="BS88" s="6">
        <f t="shared" si="86"/>
        <v>0</v>
      </c>
      <c r="BT88" s="6">
        <f t="shared" si="86"/>
        <v>0</v>
      </c>
      <c r="BU88" s="6">
        <f t="shared" si="86"/>
        <v>0</v>
      </c>
      <c r="BV88" s="6">
        <f t="shared" si="86"/>
        <v>0</v>
      </c>
      <c r="BW88" s="6">
        <f t="shared" si="87"/>
        <v>0</v>
      </c>
      <c r="BX88" s="6">
        <f t="shared" si="87"/>
        <v>0</v>
      </c>
      <c r="BY88" s="6">
        <f t="shared" si="87"/>
        <v>0</v>
      </c>
      <c r="BZ88" s="6">
        <f t="shared" si="87"/>
        <v>0</v>
      </c>
      <c r="CA88" s="6">
        <f t="shared" si="87"/>
        <v>0</v>
      </c>
      <c r="CB88" s="6">
        <f t="shared" si="87"/>
        <v>0</v>
      </c>
      <c r="CC88" s="6">
        <f t="shared" si="87"/>
        <v>0</v>
      </c>
      <c r="CD88" s="6">
        <f t="shared" si="87"/>
        <v>0</v>
      </c>
      <c r="CE88" s="6">
        <f t="shared" si="87"/>
        <v>0</v>
      </c>
      <c r="CF88" s="6">
        <f t="shared" si="87"/>
        <v>0</v>
      </c>
      <c r="CG88" s="6">
        <f t="shared" si="87"/>
        <v>0</v>
      </c>
      <c r="CH88" s="6">
        <f t="shared" si="87"/>
        <v>0</v>
      </c>
      <c r="CI88" s="6">
        <f t="shared" si="87"/>
        <v>0</v>
      </c>
      <c r="CJ88" s="6">
        <f t="shared" si="87"/>
        <v>0</v>
      </c>
      <c r="CK88" s="6">
        <f t="shared" ref="CK88:CO89" si="89">+SUMIF($C$12:$C$29,$C88,CK$12:CK$29)/CK$6+SUMIF($C$46:$C$63,$C88,CK$47:CK$64)</f>
        <v>0</v>
      </c>
      <c r="CL88" s="6">
        <f t="shared" si="89"/>
        <v>0</v>
      </c>
      <c r="CM88" s="6">
        <f t="shared" si="89"/>
        <v>0</v>
      </c>
      <c r="CN88" s="6">
        <f t="shared" si="89"/>
        <v>0</v>
      </c>
      <c r="CO88" s="6">
        <f t="shared" si="89"/>
        <v>1719.9840446749101</v>
      </c>
      <c r="CP88" s="6"/>
      <c r="CQ88" s="6"/>
      <c r="CR88" s="6"/>
      <c r="CS88" s="6"/>
      <c r="CT88" s="6"/>
      <c r="CU88" s="6"/>
      <c r="CV88" s="6"/>
      <c r="CW88" s="6"/>
      <c r="CX88" s="6"/>
      <c r="CY88" s="6"/>
      <c r="CZ88" s="6"/>
      <c r="DA88" s="198"/>
      <c r="DB88" s="63"/>
      <c r="DC88" s="28">
        <f t="shared" si="78"/>
        <v>4054.6143948694626</v>
      </c>
      <c r="DD88" s="16"/>
      <c r="EI88" s="74" t="s">
        <v>564</v>
      </c>
      <c r="EJ88" s="63">
        <f ca="1">SUM((INDIRECT(EJ$9&amp;ROW()):(INDIRECT(EJ$10&amp;ROW()))))</f>
        <v>2334.6303501945526</v>
      </c>
      <c r="EK88" s="63">
        <f ca="1">SUM((INDIRECT(EK$9&amp;ROW()):(INDIRECT(EK$10&amp;ROW()))))</f>
        <v>0</v>
      </c>
      <c r="EL88" s="63">
        <f ca="1">SUM((INDIRECT(EL$9&amp;ROW()):(INDIRECT(EL$10&amp;ROW()))))</f>
        <v>0</v>
      </c>
      <c r="EM88" s="63">
        <f ca="1">SUM((INDIRECT(EM$9&amp;ROW()):(INDIRECT(EM$10&amp;ROW()))))</f>
        <v>1719.9840446749101</v>
      </c>
      <c r="EN88" s="63" t="e">
        <f ca="1">SUM((INDIRECT(EN$9&amp;ROW()):(INDIRECT(EN$10&amp;ROW()))))</f>
        <v>#REF!</v>
      </c>
      <c r="EO88" s="63" t="e">
        <f ca="1">SUM((INDIRECT(EO$9&amp;ROW()):(INDIRECT(EO$10&amp;ROW()))))</f>
        <v>#REF!</v>
      </c>
      <c r="EP88" s="63" t="e">
        <f ca="1">SUM((INDIRECT(EP$9&amp;ROW()):(INDIRECT(EP$10&amp;ROW()))))</f>
        <v>#REF!</v>
      </c>
      <c r="EQ88" s="63" t="e">
        <f ca="1">SUM((INDIRECT(EQ$9&amp;ROW()):(INDIRECT(EQ$10&amp;ROW()))))</f>
        <v>#REF!</v>
      </c>
      <c r="EU88" s="142"/>
    </row>
    <row r="89" spans="1:151" ht="15" outlineLevel="1" thickBot="1">
      <c r="A89" t="s">
        <v>549</v>
      </c>
      <c r="B89" t="s">
        <v>558</v>
      </c>
      <c r="C89" s="74" t="s">
        <v>549</v>
      </c>
      <c r="D89" s="6"/>
      <c r="E89" s="6">
        <f t="shared" si="80"/>
        <v>0</v>
      </c>
      <c r="F89" s="6">
        <f t="shared" si="80"/>
        <v>0</v>
      </c>
      <c r="G89" s="6">
        <f t="shared" si="80"/>
        <v>0</v>
      </c>
      <c r="H89" s="6">
        <f t="shared" si="80"/>
        <v>0</v>
      </c>
      <c r="I89" s="6">
        <f t="shared" si="80"/>
        <v>0</v>
      </c>
      <c r="J89" s="6">
        <f t="shared" si="80"/>
        <v>0</v>
      </c>
      <c r="K89" s="6">
        <f t="shared" si="80"/>
        <v>0</v>
      </c>
      <c r="L89" s="6">
        <f t="shared" si="80"/>
        <v>0</v>
      </c>
      <c r="M89" s="6">
        <f t="shared" si="80"/>
        <v>0</v>
      </c>
      <c r="N89" s="6">
        <f t="shared" si="80"/>
        <v>0</v>
      </c>
      <c r="O89" s="6">
        <f t="shared" si="81"/>
        <v>0</v>
      </c>
      <c r="P89" s="6">
        <f t="shared" si="81"/>
        <v>0</v>
      </c>
      <c r="Q89" s="6">
        <f t="shared" si="81"/>
        <v>466.9260700389105</v>
      </c>
      <c r="R89" s="6">
        <f t="shared" si="81"/>
        <v>0</v>
      </c>
      <c r="S89" s="6">
        <f t="shared" si="81"/>
        <v>0</v>
      </c>
      <c r="T89" s="6">
        <f t="shared" si="81"/>
        <v>0</v>
      </c>
      <c r="U89" s="6">
        <f t="shared" si="81"/>
        <v>0</v>
      </c>
      <c r="V89" s="6">
        <f t="shared" si="81"/>
        <v>0</v>
      </c>
      <c r="W89" s="6">
        <f t="shared" si="81"/>
        <v>0</v>
      </c>
      <c r="X89" s="6">
        <f t="shared" si="81"/>
        <v>0</v>
      </c>
      <c r="Y89" s="6">
        <f t="shared" si="82"/>
        <v>0</v>
      </c>
      <c r="Z89" s="6">
        <f t="shared" si="82"/>
        <v>0</v>
      </c>
      <c r="AA89" s="6">
        <f t="shared" si="82"/>
        <v>0</v>
      </c>
      <c r="AB89" s="6">
        <f t="shared" si="82"/>
        <v>0</v>
      </c>
      <c r="AC89" s="6">
        <f t="shared" si="82"/>
        <v>0</v>
      </c>
      <c r="AD89" s="6">
        <f t="shared" si="82"/>
        <v>0</v>
      </c>
      <c r="AE89" s="6">
        <f t="shared" si="82"/>
        <v>0</v>
      </c>
      <c r="AF89" s="6">
        <f t="shared" si="82"/>
        <v>0</v>
      </c>
      <c r="AG89" s="6">
        <f t="shared" si="82"/>
        <v>0</v>
      </c>
      <c r="AH89" s="6">
        <f t="shared" si="82"/>
        <v>0</v>
      </c>
      <c r="AI89" s="6">
        <f t="shared" si="83"/>
        <v>0</v>
      </c>
      <c r="AJ89" s="6">
        <f t="shared" si="83"/>
        <v>0</v>
      </c>
      <c r="AK89" s="6">
        <f t="shared" si="83"/>
        <v>0</v>
      </c>
      <c r="AL89" s="6">
        <f t="shared" si="83"/>
        <v>0</v>
      </c>
      <c r="AM89" s="6">
        <f t="shared" si="83"/>
        <v>0</v>
      </c>
      <c r="AN89" s="6">
        <f t="shared" si="83"/>
        <v>0</v>
      </c>
      <c r="AO89" s="6">
        <f t="shared" si="83"/>
        <v>0</v>
      </c>
      <c r="AP89" s="6">
        <f t="shared" si="83"/>
        <v>0</v>
      </c>
      <c r="AQ89" s="6">
        <f t="shared" si="83"/>
        <v>0</v>
      </c>
      <c r="AR89" s="6">
        <f t="shared" si="83"/>
        <v>0</v>
      </c>
      <c r="AS89" s="6">
        <f t="shared" si="84"/>
        <v>0</v>
      </c>
      <c r="AT89" s="6">
        <f t="shared" si="84"/>
        <v>0</v>
      </c>
      <c r="AU89" s="6">
        <f t="shared" si="84"/>
        <v>0</v>
      </c>
      <c r="AV89" s="6">
        <f t="shared" si="84"/>
        <v>0</v>
      </c>
      <c r="AW89" s="6">
        <f t="shared" si="84"/>
        <v>0</v>
      </c>
      <c r="AX89" s="6">
        <f t="shared" si="84"/>
        <v>408.29346092503988</v>
      </c>
      <c r="AY89" s="6">
        <f t="shared" si="84"/>
        <v>0</v>
      </c>
      <c r="AZ89" s="6">
        <f t="shared" si="84"/>
        <v>0</v>
      </c>
      <c r="BA89" s="6">
        <f t="shared" si="84"/>
        <v>0</v>
      </c>
      <c r="BB89" s="6">
        <f t="shared" si="84"/>
        <v>0</v>
      </c>
      <c r="BC89" s="6">
        <f t="shared" si="85"/>
        <v>0</v>
      </c>
      <c r="BD89" s="6">
        <f t="shared" si="85"/>
        <v>0</v>
      </c>
      <c r="BE89" s="6">
        <f t="shared" si="85"/>
        <v>0</v>
      </c>
      <c r="BF89" s="6">
        <f t="shared" si="85"/>
        <v>0</v>
      </c>
      <c r="BG89" s="6">
        <f t="shared" si="85"/>
        <v>0</v>
      </c>
      <c r="BH89" s="6">
        <f t="shared" si="85"/>
        <v>0</v>
      </c>
      <c r="BI89" s="6">
        <f t="shared" si="85"/>
        <v>0</v>
      </c>
      <c r="BJ89" s="6">
        <f t="shared" si="85"/>
        <v>0</v>
      </c>
      <c r="BK89" s="6">
        <f t="shared" si="85"/>
        <v>0</v>
      </c>
      <c r="BL89" s="6">
        <f t="shared" si="85"/>
        <v>0</v>
      </c>
      <c r="BM89" s="6">
        <f t="shared" si="86"/>
        <v>0</v>
      </c>
      <c r="BN89" s="6">
        <f t="shared" si="86"/>
        <v>0</v>
      </c>
      <c r="BO89" s="6">
        <f t="shared" si="86"/>
        <v>0</v>
      </c>
      <c r="BP89" s="6">
        <f t="shared" si="86"/>
        <v>0</v>
      </c>
      <c r="BQ89" s="6">
        <f t="shared" si="86"/>
        <v>0</v>
      </c>
      <c r="BR89" s="6">
        <f t="shared" si="86"/>
        <v>0</v>
      </c>
      <c r="BS89" s="6">
        <f t="shared" si="86"/>
        <v>0</v>
      </c>
      <c r="BT89" s="6">
        <f t="shared" si="86"/>
        <v>0</v>
      </c>
      <c r="BU89" s="6">
        <f t="shared" si="86"/>
        <v>0</v>
      </c>
      <c r="BV89" s="6">
        <f t="shared" si="86"/>
        <v>0</v>
      </c>
      <c r="BW89" s="6">
        <f t="shared" si="87"/>
        <v>0</v>
      </c>
      <c r="BX89" s="6">
        <f t="shared" si="87"/>
        <v>0</v>
      </c>
      <c r="BY89" s="6">
        <f t="shared" si="87"/>
        <v>0</v>
      </c>
      <c r="BZ89" s="6">
        <f t="shared" si="87"/>
        <v>0</v>
      </c>
      <c r="CA89" s="6">
        <f t="shared" si="87"/>
        <v>0</v>
      </c>
      <c r="CB89" s="6">
        <f t="shared" si="87"/>
        <v>0</v>
      </c>
      <c r="CC89" s="6">
        <f t="shared" si="87"/>
        <v>457.91783007578778</v>
      </c>
      <c r="CD89" s="6">
        <f t="shared" si="87"/>
        <v>0</v>
      </c>
      <c r="CE89" s="6">
        <f t="shared" si="87"/>
        <v>0</v>
      </c>
      <c r="CF89" s="6">
        <f t="shared" si="87"/>
        <v>0</v>
      </c>
      <c r="CG89" s="6">
        <f t="shared" si="87"/>
        <v>0</v>
      </c>
      <c r="CH89" s="6">
        <f t="shared" si="87"/>
        <v>0</v>
      </c>
      <c r="CI89" s="6">
        <f t="shared" si="87"/>
        <v>0</v>
      </c>
      <c r="CJ89" s="6">
        <f t="shared" si="87"/>
        <v>0</v>
      </c>
      <c r="CK89" s="6">
        <f t="shared" si="89"/>
        <v>0</v>
      </c>
      <c r="CL89" s="6">
        <f t="shared" si="89"/>
        <v>0</v>
      </c>
      <c r="CM89" s="6">
        <f t="shared" si="89"/>
        <v>0</v>
      </c>
      <c r="CN89" s="6">
        <f t="shared" si="89"/>
        <v>0</v>
      </c>
      <c r="CO89" s="6">
        <f t="shared" si="89"/>
        <v>2000</v>
      </c>
      <c r="CP89" s="6"/>
      <c r="CQ89" s="6"/>
      <c r="CR89" s="6"/>
      <c r="CS89" s="6"/>
      <c r="CT89" s="6"/>
      <c r="CU89" s="6"/>
      <c r="CV89" s="6"/>
      <c r="CW89" s="6"/>
      <c r="CX89" s="6"/>
      <c r="CY89" s="6"/>
      <c r="CZ89" s="6"/>
      <c r="DA89" s="198"/>
      <c r="DB89" s="63"/>
      <c r="DC89" s="28">
        <f t="shared" si="78"/>
        <v>3333.1373610397382</v>
      </c>
      <c r="DD89" s="16"/>
      <c r="EI89" s="74" t="s">
        <v>549</v>
      </c>
      <c r="EJ89" s="63">
        <f ca="1">SUM((INDIRECT(EJ$9&amp;ROW()):(INDIRECT(EJ$10&amp;ROW()))))</f>
        <v>466.9260700389105</v>
      </c>
      <c r="EK89" s="63">
        <f ca="1">SUM((INDIRECT(EK$9&amp;ROW()):(INDIRECT(EK$10&amp;ROW()))))</f>
        <v>0</v>
      </c>
      <c r="EL89" s="63">
        <f ca="1">SUM((INDIRECT(EL$9&amp;ROW()):(INDIRECT(EL$10&amp;ROW()))))</f>
        <v>408.29346092503988</v>
      </c>
      <c r="EM89" s="63">
        <f ca="1">SUM((INDIRECT(EM$9&amp;ROW()):(INDIRECT(EM$10&amp;ROW()))))</f>
        <v>2457.9178300757876</v>
      </c>
      <c r="EN89" s="63" t="e">
        <f ca="1">SUM((INDIRECT(EN$9&amp;ROW()):(INDIRECT(EN$10&amp;ROW()))))</f>
        <v>#REF!</v>
      </c>
      <c r="EO89" s="63" t="e">
        <f ca="1">SUM((INDIRECT(EO$9&amp;ROW()):(INDIRECT(EO$10&amp;ROW()))))</f>
        <v>#REF!</v>
      </c>
      <c r="EP89" s="63" t="e">
        <f ca="1">SUM((INDIRECT(EP$9&amp;ROW()):(INDIRECT(EP$10&amp;ROW()))))</f>
        <v>#REF!</v>
      </c>
      <c r="EQ89" s="63" t="e">
        <f ca="1">SUM((INDIRECT(EQ$9&amp;ROW()):(INDIRECT(EQ$10&amp;ROW()))))</f>
        <v>#REF!</v>
      </c>
      <c r="EU89" s="142"/>
    </row>
    <row r="90" spans="1:151" outlineLevel="1">
      <c r="C90" s="2"/>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f t="shared" ref="AV90:CJ90" si="90">+SUMIF($C$12:$C$29,$C90,AV$12:AV$29)/AV$6+SUMIF($C$46:$C$63,$C90,AV$47:AV$64)</f>
        <v>0</v>
      </c>
      <c r="AW90" s="6">
        <f t="shared" si="90"/>
        <v>0</v>
      </c>
      <c r="AX90" s="6">
        <f t="shared" si="90"/>
        <v>0</v>
      </c>
      <c r="AY90" s="6">
        <f t="shared" si="90"/>
        <v>0</v>
      </c>
      <c r="AZ90" s="6">
        <f t="shared" si="90"/>
        <v>0</v>
      </c>
      <c r="BA90" s="6">
        <f t="shared" si="90"/>
        <v>0</v>
      </c>
      <c r="BB90" s="6">
        <f t="shared" si="90"/>
        <v>0</v>
      </c>
      <c r="BC90" s="6">
        <f t="shared" si="90"/>
        <v>0</v>
      </c>
      <c r="BD90" s="6">
        <f t="shared" si="90"/>
        <v>0</v>
      </c>
      <c r="BE90" s="6">
        <f t="shared" si="90"/>
        <v>0</v>
      </c>
      <c r="BF90" s="6">
        <f t="shared" si="90"/>
        <v>0</v>
      </c>
      <c r="BG90" s="6">
        <f t="shared" si="90"/>
        <v>0</v>
      </c>
      <c r="BH90" s="6">
        <f t="shared" si="90"/>
        <v>0</v>
      </c>
      <c r="BI90" s="6">
        <f t="shared" si="90"/>
        <v>0</v>
      </c>
      <c r="BJ90" s="6">
        <f t="shared" si="90"/>
        <v>0</v>
      </c>
      <c r="BK90" s="6">
        <f t="shared" si="90"/>
        <v>0</v>
      </c>
      <c r="BL90" s="6">
        <f t="shared" si="90"/>
        <v>0</v>
      </c>
      <c r="BM90" s="6">
        <f t="shared" si="90"/>
        <v>0</v>
      </c>
      <c r="BN90" s="6">
        <f t="shared" si="90"/>
        <v>0</v>
      </c>
      <c r="BO90" s="6">
        <f t="shared" si="90"/>
        <v>0</v>
      </c>
      <c r="BP90" s="6">
        <f t="shared" si="90"/>
        <v>0</v>
      </c>
      <c r="BQ90" s="6">
        <f t="shared" si="90"/>
        <v>0</v>
      </c>
      <c r="BR90" s="6">
        <f t="shared" si="90"/>
        <v>0</v>
      </c>
      <c r="BS90" s="6">
        <f t="shared" si="90"/>
        <v>0</v>
      </c>
      <c r="BT90" s="6">
        <f t="shared" si="90"/>
        <v>0</v>
      </c>
      <c r="BU90" s="6">
        <f t="shared" si="90"/>
        <v>0</v>
      </c>
      <c r="BV90" s="6">
        <f t="shared" si="90"/>
        <v>0</v>
      </c>
      <c r="BW90" s="6">
        <f t="shared" si="90"/>
        <v>0</v>
      </c>
      <c r="BX90" s="6">
        <f t="shared" si="90"/>
        <v>0</v>
      </c>
      <c r="BY90" s="6">
        <f t="shared" si="90"/>
        <v>0</v>
      </c>
      <c r="BZ90" s="6">
        <f t="shared" si="90"/>
        <v>0</v>
      </c>
      <c r="CA90" s="6">
        <f t="shared" si="90"/>
        <v>0</v>
      </c>
      <c r="CB90" s="6">
        <f t="shared" si="90"/>
        <v>0</v>
      </c>
      <c r="CC90" s="6">
        <f t="shared" si="90"/>
        <v>0</v>
      </c>
      <c r="CD90" s="6">
        <f t="shared" si="90"/>
        <v>0</v>
      </c>
      <c r="CE90" s="6">
        <f t="shared" si="90"/>
        <v>0</v>
      </c>
      <c r="CF90" s="6">
        <f t="shared" si="90"/>
        <v>0</v>
      </c>
      <c r="CG90" s="6">
        <f t="shared" si="90"/>
        <v>0</v>
      </c>
      <c r="CH90" s="6">
        <f t="shared" si="90"/>
        <v>0</v>
      </c>
      <c r="CI90" s="6">
        <f t="shared" si="90"/>
        <v>0</v>
      </c>
      <c r="CJ90" s="6">
        <f t="shared" si="90"/>
        <v>0</v>
      </c>
      <c r="CK90" s="6"/>
      <c r="CL90" s="6"/>
      <c r="CM90" s="6"/>
      <c r="CN90" s="6"/>
      <c r="CO90" s="6"/>
      <c r="CP90" s="6"/>
      <c r="CQ90" s="6"/>
      <c r="CR90" s="6"/>
      <c r="CS90" s="6"/>
      <c r="CT90" s="6"/>
      <c r="CU90" s="6"/>
      <c r="CV90" s="6"/>
      <c r="CW90" s="6"/>
      <c r="CX90" s="6"/>
      <c r="CY90" s="6"/>
      <c r="CZ90" s="6"/>
      <c r="DA90" s="198"/>
      <c r="DB90" s="63"/>
      <c r="DC90" s="28">
        <f t="shared" si="78"/>
        <v>0</v>
      </c>
      <c r="DD90" s="16"/>
      <c r="EI90" s="2"/>
      <c r="EJ90" s="2"/>
      <c r="EK90" s="2"/>
      <c r="EL90" s="2"/>
      <c r="EM90" s="2"/>
      <c r="EN90" s="2"/>
      <c r="EO90" s="2"/>
      <c r="EP90" s="2"/>
      <c r="EQ90" s="2"/>
      <c r="ER90" s="2"/>
      <c r="EU90" s="142"/>
    </row>
    <row r="91" spans="1:151" outlineLevel="1">
      <c r="C91" s="9" t="s">
        <v>14</v>
      </c>
      <c r="D91" s="28">
        <v>0</v>
      </c>
      <c r="E91" s="28">
        <f t="shared" ref="E91:AJ91" si="91">SUM(E72:E89)</f>
        <v>1240.55</v>
      </c>
      <c r="F91" s="28">
        <f t="shared" si="91"/>
        <v>2445.4863813229572</v>
      </c>
      <c r="G91" s="28">
        <f t="shared" si="91"/>
        <v>44.163424124513625</v>
      </c>
      <c r="H91" s="28">
        <f t="shared" si="91"/>
        <v>45.175097276264594</v>
      </c>
      <c r="I91" s="28">
        <f t="shared" si="91"/>
        <v>71.98443579766537</v>
      </c>
      <c r="J91" s="28">
        <f t="shared" si="91"/>
        <v>31.71206225680934</v>
      </c>
      <c r="K91" s="28">
        <f t="shared" si="91"/>
        <v>42.41245136186771</v>
      </c>
      <c r="L91" s="28">
        <f t="shared" si="91"/>
        <v>36.186770428015564</v>
      </c>
      <c r="M91" s="28">
        <f t="shared" si="91"/>
        <v>63.424124513618679</v>
      </c>
      <c r="N91" s="28">
        <f t="shared" si="91"/>
        <v>75.252918287937746</v>
      </c>
      <c r="O91" s="28">
        <f t="shared" si="91"/>
        <v>38.910505836575879</v>
      </c>
      <c r="P91" s="28">
        <f t="shared" si="91"/>
        <v>30.933852140077825</v>
      </c>
      <c r="Q91" s="28">
        <f t="shared" si="91"/>
        <v>588.91050583657591</v>
      </c>
      <c r="R91" s="28">
        <f t="shared" si="91"/>
        <v>54.085603112840467</v>
      </c>
      <c r="S91" s="28">
        <f t="shared" si="91"/>
        <v>39.299610894941637</v>
      </c>
      <c r="T91" s="28">
        <f t="shared" si="91"/>
        <v>501.59035019455251</v>
      </c>
      <c r="U91" s="28">
        <f t="shared" si="91"/>
        <v>336.21762645914396</v>
      </c>
      <c r="V91" s="28">
        <f t="shared" si="91"/>
        <v>329.06482517482516</v>
      </c>
      <c r="W91" s="28">
        <f t="shared" si="91"/>
        <v>28.783774319066147</v>
      </c>
      <c r="X91" s="28">
        <f t="shared" si="91"/>
        <v>35.214007782101163</v>
      </c>
      <c r="Y91" s="28">
        <f t="shared" si="91"/>
        <v>33.657587548638134</v>
      </c>
      <c r="Z91" s="28">
        <f t="shared" si="91"/>
        <v>120.27237354085602</v>
      </c>
      <c r="AA91" s="28">
        <f t="shared" si="91"/>
        <v>45.252918287937746</v>
      </c>
      <c r="AB91" s="28">
        <f t="shared" si="91"/>
        <v>45.252918287937746</v>
      </c>
      <c r="AC91" s="28">
        <f t="shared" si="91"/>
        <v>29.14396887159533</v>
      </c>
      <c r="AD91" s="28">
        <f t="shared" si="91"/>
        <v>41.556420233463037</v>
      </c>
      <c r="AE91" s="28">
        <f t="shared" si="91"/>
        <v>216.84824902723736</v>
      </c>
      <c r="AF91" s="28">
        <f t="shared" si="91"/>
        <v>86.303501945525298</v>
      </c>
      <c r="AG91" s="28">
        <f t="shared" si="91"/>
        <v>107.97665369649806</v>
      </c>
      <c r="AH91" s="28">
        <f t="shared" si="91"/>
        <v>22.490272373540854</v>
      </c>
      <c r="AI91" s="28">
        <f t="shared" si="91"/>
        <v>43.112840466926066</v>
      </c>
      <c r="AJ91" s="28">
        <f t="shared" si="91"/>
        <v>126.53696498054475</v>
      </c>
      <c r="AK91" s="28">
        <f t="shared" ref="AK91:BP91" si="92">SUM(AK72:AK89)</f>
        <v>25.438596491228072</v>
      </c>
      <c r="AL91" s="28">
        <f t="shared" si="92"/>
        <v>46.172248803827756</v>
      </c>
      <c r="AM91" s="28">
        <f t="shared" si="92"/>
        <v>28.947368421052634</v>
      </c>
      <c r="AN91" s="28">
        <f t="shared" si="92"/>
        <v>23.883572567783094</v>
      </c>
      <c r="AO91" s="28">
        <f t="shared" si="92"/>
        <v>26.27591706539075</v>
      </c>
      <c r="AP91" s="28">
        <f t="shared" si="92"/>
        <v>29.425837320574168</v>
      </c>
      <c r="AQ91" s="28">
        <f t="shared" si="92"/>
        <v>63.91547049441786</v>
      </c>
      <c r="AR91" s="28">
        <f t="shared" si="92"/>
        <v>28.429027113237641</v>
      </c>
      <c r="AS91" s="28">
        <f t="shared" si="92"/>
        <v>28.229665071770334</v>
      </c>
      <c r="AT91" s="28">
        <f t="shared" si="92"/>
        <v>34.609250398724086</v>
      </c>
      <c r="AU91" s="28">
        <f t="shared" si="92"/>
        <v>25.837320574162682</v>
      </c>
      <c r="AV91" s="28">
        <f t="shared" si="92"/>
        <v>22.049441786283893</v>
      </c>
      <c r="AW91" s="28">
        <f t="shared" si="92"/>
        <v>31.81818181818182</v>
      </c>
      <c r="AX91" s="28">
        <f t="shared" si="92"/>
        <v>641.4673046251994</v>
      </c>
      <c r="AY91" s="28">
        <f t="shared" si="92"/>
        <v>121.09851156973107</v>
      </c>
      <c r="AZ91" s="28">
        <f t="shared" si="92"/>
        <v>85.773370856785476</v>
      </c>
      <c r="BA91" s="28">
        <f t="shared" si="92"/>
        <v>60.797526383677294</v>
      </c>
      <c r="BB91" s="28">
        <f t="shared" si="92"/>
        <v>67.678795927141962</v>
      </c>
      <c r="BC91" s="28">
        <f t="shared" si="92"/>
        <v>206.22411018605379</v>
      </c>
      <c r="BD91" s="28">
        <f t="shared" si="92"/>
        <v>105.27745602720449</v>
      </c>
      <c r="BE91" s="28">
        <f t="shared" si="92"/>
        <v>37.03125</v>
      </c>
      <c r="BF91" s="28">
        <f t="shared" si="92"/>
        <v>36.25</v>
      </c>
      <c r="BG91" s="28">
        <f t="shared" si="92"/>
        <v>23.8671875</v>
      </c>
      <c r="BH91" s="28">
        <f t="shared" si="92"/>
        <v>33.515625</v>
      </c>
      <c r="BI91" s="28">
        <f t="shared" si="92"/>
        <v>-1.953125</v>
      </c>
      <c r="BJ91" s="28">
        <f t="shared" si="92"/>
        <v>79.8046875</v>
      </c>
      <c r="BK91" s="28">
        <f t="shared" si="92"/>
        <v>66.6015625</v>
      </c>
      <c r="BL91" s="28">
        <f t="shared" si="92"/>
        <v>30.1953125</v>
      </c>
      <c r="BM91" s="28">
        <f t="shared" si="92"/>
        <v>22.058236936577583</v>
      </c>
      <c r="BN91" s="28">
        <f t="shared" si="92"/>
        <v>49.102512963701628</v>
      </c>
      <c r="BO91" s="28">
        <f t="shared" si="92"/>
        <v>68.328679696848823</v>
      </c>
      <c r="BP91" s="28">
        <f t="shared" si="92"/>
        <v>38.811328280813719</v>
      </c>
      <c r="BQ91" s="28">
        <f t="shared" ref="BQ91:CZ91" si="93">SUM(BQ72:BQ89)</f>
        <v>49.581172716394093</v>
      </c>
      <c r="BR91" s="28">
        <f t="shared" si="93"/>
        <v>27.642600717989627</v>
      </c>
      <c r="BS91" s="28">
        <f t="shared" si="93"/>
        <v>22.4571200638213</v>
      </c>
      <c r="BT91" s="28">
        <f t="shared" si="93"/>
        <v>49.38173115277224</v>
      </c>
      <c r="BU91" s="28">
        <f t="shared" si="93"/>
        <v>32.149980055843642</v>
      </c>
      <c r="BV91" s="28">
        <f t="shared" si="93"/>
        <v>23.055444754686874</v>
      </c>
      <c r="BW91" s="28">
        <f t="shared" si="93"/>
        <v>20.462704427602713</v>
      </c>
      <c r="BX91" s="28">
        <f t="shared" si="93"/>
        <v>-8.6557638611886745</v>
      </c>
      <c r="BY91" s="28">
        <f t="shared" si="93"/>
        <v>57.638611886717193</v>
      </c>
      <c r="BZ91" s="28">
        <f t="shared" si="93"/>
        <v>61.148783406461909</v>
      </c>
      <c r="CA91" s="28">
        <f t="shared" si="93"/>
        <v>38.213003589948144</v>
      </c>
      <c r="CB91" s="28">
        <f t="shared" si="93"/>
        <v>33.226964499401674</v>
      </c>
      <c r="CC91" s="28">
        <f t="shared" si="93"/>
        <v>502.11408057439166</v>
      </c>
      <c r="CD91" s="28">
        <f t="shared" si="93"/>
        <v>155.88352612684483</v>
      </c>
      <c r="CE91" s="28">
        <f t="shared" si="93"/>
        <v>69.126445951336251</v>
      </c>
      <c r="CF91" s="28">
        <f t="shared" si="93"/>
        <v>90.86557638611886</v>
      </c>
      <c r="CG91" s="28">
        <f t="shared" si="93"/>
        <v>27.64260071798963</v>
      </c>
      <c r="CH91" s="28">
        <f t="shared" si="93"/>
        <v>53.570003988831267</v>
      </c>
      <c r="CI91" s="28">
        <f t="shared" si="93"/>
        <v>28.839250099720779</v>
      </c>
      <c r="CJ91" s="28">
        <f t="shared" si="93"/>
        <v>144.51535700039886</v>
      </c>
      <c r="CK91" s="28">
        <f t="shared" si="93"/>
        <v>112.99261936145328</v>
      </c>
      <c r="CL91" s="28">
        <f t="shared" si="93"/>
        <v>83.615243048829001</v>
      </c>
      <c r="CM91" s="28">
        <f t="shared" si="93"/>
        <v>105.87747094860511</v>
      </c>
      <c r="CN91" s="28">
        <f t="shared" si="93"/>
        <v>107.14723498927727</v>
      </c>
      <c r="CO91" s="28">
        <f t="shared" si="93"/>
        <v>3940.5574725346032</v>
      </c>
      <c r="CP91" s="28">
        <f t="shared" si="93"/>
        <v>0</v>
      </c>
      <c r="CQ91" s="28">
        <f t="shared" si="93"/>
        <v>0</v>
      </c>
      <c r="CR91" s="28">
        <f t="shared" si="93"/>
        <v>0</v>
      </c>
      <c r="CS91" s="28">
        <f t="shared" si="93"/>
        <v>0</v>
      </c>
      <c r="CT91" s="28">
        <f t="shared" si="93"/>
        <v>0</v>
      </c>
      <c r="CU91" s="28">
        <f t="shared" si="93"/>
        <v>0</v>
      </c>
      <c r="CV91" s="28">
        <f t="shared" si="93"/>
        <v>0</v>
      </c>
      <c r="CW91" s="28">
        <f t="shared" si="93"/>
        <v>0</v>
      </c>
      <c r="CX91" s="28">
        <f t="shared" si="93"/>
        <v>0</v>
      </c>
      <c r="CY91" s="28">
        <f t="shared" si="93"/>
        <v>0</v>
      </c>
      <c r="CZ91" s="28">
        <f t="shared" si="93"/>
        <v>0</v>
      </c>
      <c r="DA91" s="200">
        <f>SUM(DA72:DA87)</f>
        <v>0</v>
      </c>
      <c r="DB91" s="184">
        <f>SUM(DB72:DB87)</f>
        <v>0</v>
      </c>
      <c r="DC91" s="28">
        <f>SUM(D91:DB91)</f>
        <v>15013.774462900272</v>
      </c>
      <c r="DD91" s="13"/>
      <c r="EI91" s="28" t="str">
        <f>+A93</f>
        <v>DONG + EUROS</v>
      </c>
      <c r="EJ91" s="28">
        <f ca="1">SUM((INDIRECT(EJ$9&amp;ROW()):(INDIRECT(EJ$10&amp;ROW()))))</f>
        <v>4848.4877431906616</v>
      </c>
      <c r="EK91" s="28">
        <f ca="1">SUM((INDIRECT(EK$9&amp;ROW()):(INDIRECT(EK$10&amp;ROW()))))</f>
        <v>2564.3071511170247</v>
      </c>
      <c r="EL91" s="28">
        <f ca="1">SUM((INDIRECT(EL$9&amp;ROW()):(INDIRECT(EL$10&amp;ROW()))))</f>
        <v>2178.2326868641862</v>
      </c>
      <c r="EM91" s="28">
        <f ca="1">SUM((INDIRECT(EM$9&amp;ROW()):(INDIRECT(EM$10&amp;ROW()))))</f>
        <v>5422.7468817283998</v>
      </c>
      <c r="EN91" s="28" t="e">
        <f ca="1">SUM((INDIRECT(EN$9&amp;ROW()):(INDIRECT(EN$10&amp;ROW()))))</f>
        <v>#REF!</v>
      </c>
      <c r="EO91" s="28" t="e">
        <f ca="1">SUM((INDIRECT(EO$9&amp;ROW()):(INDIRECT(EO$10&amp;ROW()))))</f>
        <v>#REF!</v>
      </c>
      <c r="EP91" s="28" t="e">
        <f ca="1">SUM((INDIRECT(EP$9&amp;ROW()):(INDIRECT(EP$10&amp;ROW()))))</f>
        <v>#REF!</v>
      </c>
      <c r="EQ91" s="28" t="e">
        <f ca="1">SUM((INDIRECT(EQ$9&amp;ROW()):(INDIRECT(EQ$10&amp;ROW()))))</f>
        <v>#REF!</v>
      </c>
      <c r="EU91" s="142"/>
    </row>
    <row r="92" spans="1:151" outlineLevel="1">
      <c r="D92" s="2">
        <v>0</v>
      </c>
      <c r="E92" s="6">
        <f t="shared" ref="E92:AJ92" si="94">E66+(E40/E$6)</f>
        <v>1240.55</v>
      </c>
      <c r="F92" s="6">
        <f t="shared" si="94"/>
        <v>2445.4863813229572</v>
      </c>
      <c r="G92" s="6">
        <f t="shared" si="94"/>
        <v>44.163424124513618</v>
      </c>
      <c r="H92" s="6">
        <f t="shared" si="94"/>
        <v>45.175097276264594</v>
      </c>
      <c r="I92" s="6">
        <f t="shared" si="94"/>
        <v>71.98443579766537</v>
      </c>
      <c r="J92" s="6">
        <f t="shared" si="94"/>
        <v>31.71206225680934</v>
      </c>
      <c r="K92" s="6">
        <f t="shared" si="94"/>
        <v>42.412451361867703</v>
      </c>
      <c r="L92" s="6">
        <f t="shared" si="94"/>
        <v>36.186770428015564</v>
      </c>
      <c r="M92" s="6">
        <f t="shared" si="94"/>
        <v>63.424124513618679</v>
      </c>
      <c r="N92" s="6">
        <f t="shared" si="94"/>
        <v>75.252918287937746</v>
      </c>
      <c r="O92" s="6">
        <f t="shared" si="94"/>
        <v>38.910505836575879</v>
      </c>
      <c r="P92" s="6">
        <f t="shared" si="94"/>
        <v>30.933852140077821</v>
      </c>
      <c r="Q92" s="6">
        <f t="shared" si="94"/>
        <v>588.91050583657591</v>
      </c>
      <c r="R92" s="6">
        <f t="shared" si="94"/>
        <v>54.085603112840467</v>
      </c>
      <c r="S92" s="6">
        <f t="shared" si="94"/>
        <v>39.299610894941637</v>
      </c>
      <c r="T92" s="6">
        <f t="shared" si="94"/>
        <v>501.59035019455257</v>
      </c>
      <c r="U92" s="6">
        <f t="shared" si="94"/>
        <v>336.21762645914396</v>
      </c>
      <c r="V92" s="6">
        <f t="shared" si="94"/>
        <v>329.06482517482516</v>
      </c>
      <c r="W92" s="6">
        <f t="shared" si="94"/>
        <v>28.783774319066147</v>
      </c>
      <c r="X92" s="6">
        <f t="shared" si="94"/>
        <v>35.21400778210117</v>
      </c>
      <c r="Y92" s="6">
        <f t="shared" si="94"/>
        <v>33.657587548638134</v>
      </c>
      <c r="Z92" s="6">
        <f t="shared" si="94"/>
        <v>120.27237354085604</v>
      </c>
      <c r="AA92" s="6">
        <f t="shared" si="94"/>
        <v>45.252918287937746</v>
      </c>
      <c r="AB92" s="6">
        <f t="shared" si="94"/>
        <v>45.252918287937746</v>
      </c>
      <c r="AC92" s="6">
        <f t="shared" si="94"/>
        <v>29.14396887159533</v>
      </c>
      <c r="AD92" s="6">
        <f t="shared" si="94"/>
        <v>41.556420233463037</v>
      </c>
      <c r="AE92" s="6">
        <f t="shared" si="94"/>
        <v>216.84824902723736</v>
      </c>
      <c r="AF92" s="6">
        <f t="shared" si="94"/>
        <v>86.303501945525298</v>
      </c>
      <c r="AG92" s="6">
        <f t="shared" si="94"/>
        <v>107.97665369649806</v>
      </c>
      <c r="AH92" s="6">
        <f t="shared" si="94"/>
        <v>22.490272373540858</v>
      </c>
      <c r="AI92" s="6">
        <f t="shared" si="94"/>
        <v>43.112840466926073</v>
      </c>
      <c r="AJ92" s="6">
        <f t="shared" si="94"/>
        <v>126.53696498054475</v>
      </c>
      <c r="AK92" s="6">
        <f t="shared" ref="AK92:BP92" si="95">AK66+(AK40/AK$6)</f>
        <v>25.438596491228072</v>
      </c>
      <c r="AL92" s="6">
        <f t="shared" si="95"/>
        <v>46.172248803827756</v>
      </c>
      <c r="AM92" s="6">
        <f t="shared" si="95"/>
        <v>28.947368421052634</v>
      </c>
      <c r="AN92" s="6">
        <f t="shared" si="95"/>
        <v>23.883572567783094</v>
      </c>
      <c r="AO92" s="6">
        <f t="shared" si="95"/>
        <v>26.27591706539075</v>
      </c>
      <c r="AP92" s="6">
        <f t="shared" si="95"/>
        <v>29.425837320574164</v>
      </c>
      <c r="AQ92" s="6">
        <f t="shared" si="95"/>
        <v>63.915470494417868</v>
      </c>
      <c r="AR92" s="6">
        <f t="shared" si="95"/>
        <v>28.429027113237641</v>
      </c>
      <c r="AS92" s="6">
        <f t="shared" si="95"/>
        <v>28.229665071770338</v>
      </c>
      <c r="AT92" s="6">
        <f t="shared" si="95"/>
        <v>34.609250398724086</v>
      </c>
      <c r="AU92" s="6">
        <f t="shared" si="95"/>
        <v>25.837320574162682</v>
      </c>
      <c r="AV92" s="6">
        <f t="shared" si="95"/>
        <v>22.049441786283893</v>
      </c>
      <c r="AW92" s="6">
        <f t="shared" si="95"/>
        <v>31.81818181818182</v>
      </c>
      <c r="AX92" s="6">
        <f t="shared" si="95"/>
        <v>641.4673046251994</v>
      </c>
      <c r="AY92" s="6">
        <f t="shared" si="95"/>
        <v>121.09851156973109</v>
      </c>
      <c r="AZ92" s="6">
        <f t="shared" si="95"/>
        <v>85.77337085678549</v>
      </c>
      <c r="BA92" s="6">
        <f t="shared" si="95"/>
        <v>60.797526383677294</v>
      </c>
      <c r="BB92" s="6">
        <f t="shared" si="95"/>
        <v>67.678795927141962</v>
      </c>
      <c r="BC92" s="6">
        <f t="shared" si="95"/>
        <v>206.22411018605379</v>
      </c>
      <c r="BD92" s="6">
        <f t="shared" si="95"/>
        <v>105.27745602720451</v>
      </c>
      <c r="BE92" s="6">
        <f t="shared" si="95"/>
        <v>37.03125</v>
      </c>
      <c r="BF92" s="6">
        <f t="shared" si="95"/>
        <v>36.25</v>
      </c>
      <c r="BG92" s="6">
        <f t="shared" si="95"/>
        <v>23.8671875</v>
      </c>
      <c r="BH92" s="6">
        <f t="shared" si="95"/>
        <v>33.515625</v>
      </c>
      <c r="BI92" s="6">
        <f t="shared" si="95"/>
        <v>-1.953125</v>
      </c>
      <c r="BJ92" s="6">
        <f t="shared" si="95"/>
        <v>79.8046875</v>
      </c>
      <c r="BK92" s="6">
        <f t="shared" si="95"/>
        <v>66.6015625</v>
      </c>
      <c r="BL92" s="6">
        <f t="shared" si="95"/>
        <v>30.1953125</v>
      </c>
      <c r="BM92" s="6">
        <f t="shared" si="95"/>
        <v>22.058236936577583</v>
      </c>
      <c r="BN92" s="6">
        <f t="shared" si="95"/>
        <v>49.102512963701635</v>
      </c>
      <c r="BO92" s="6">
        <f t="shared" si="95"/>
        <v>68.328679696848823</v>
      </c>
      <c r="BP92" s="6">
        <f t="shared" si="95"/>
        <v>38.811328280813719</v>
      </c>
      <c r="BQ92" s="6">
        <f t="shared" ref="BQ92:CZ92" si="96">BQ66+(BQ40/BQ$6)</f>
        <v>49.581172716394093</v>
      </c>
      <c r="BR92" s="6">
        <f t="shared" si="96"/>
        <v>27.64260071798963</v>
      </c>
      <c r="BS92" s="6">
        <f t="shared" si="96"/>
        <v>22.4571200638213</v>
      </c>
      <c r="BT92" s="6">
        <f t="shared" si="96"/>
        <v>49.38173115277224</v>
      </c>
      <c r="BU92" s="6">
        <f t="shared" si="96"/>
        <v>32.149980055843635</v>
      </c>
      <c r="BV92" s="6">
        <f t="shared" si="96"/>
        <v>23.055444754686878</v>
      </c>
      <c r="BW92" s="6">
        <f t="shared" si="96"/>
        <v>20.462704427602713</v>
      </c>
      <c r="BX92" s="6">
        <f t="shared" si="96"/>
        <v>-8.6557638611886709</v>
      </c>
      <c r="BY92" s="6">
        <f t="shared" si="96"/>
        <v>57.638611886717193</v>
      </c>
      <c r="BZ92" s="6">
        <f t="shared" si="96"/>
        <v>61.148783406461909</v>
      </c>
      <c r="CA92" s="6">
        <f t="shared" si="96"/>
        <v>38.213003589948144</v>
      </c>
      <c r="CB92" s="6">
        <f t="shared" si="96"/>
        <v>33.226964499401674</v>
      </c>
      <c r="CC92" s="6">
        <f t="shared" si="96"/>
        <v>502.11408057439172</v>
      </c>
      <c r="CD92" s="6">
        <f t="shared" si="96"/>
        <v>155.88352612684483</v>
      </c>
      <c r="CE92" s="6">
        <f t="shared" si="96"/>
        <v>69.126445951336251</v>
      </c>
      <c r="CF92" s="6">
        <f t="shared" ca="1" si="96"/>
        <v>90.86557638611886</v>
      </c>
      <c r="CG92" s="6">
        <f t="shared" si="96"/>
        <v>27.64260071798963</v>
      </c>
      <c r="CH92" s="6">
        <f t="shared" si="96"/>
        <v>53.570003988831274</v>
      </c>
      <c r="CI92" s="6">
        <f t="shared" si="96"/>
        <v>28.839250099720783</v>
      </c>
      <c r="CJ92" s="6">
        <f t="shared" si="96"/>
        <v>144.51535700039889</v>
      </c>
      <c r="CK92" s="6">
        <f t="shared" si="96"/>
        <v>113.76146788990826</v>
      </c>
      <c r="CL92" s="6">
        <f t="shared" si="96"/>
        <v>84.284004786597521</v>
      </c>
      <c r="CM92" s="6">
        <f t="shared" si="96"/>
        <v>106.54168328679697</v>
      </c>
      <c r="CN92" s="6">
        <f t="shared" si="96"/>
        <v>107.8978859194256</v>
      </c>
      <c r="CO92" s="6">
        <f t="shared" si="96"/>
        <v>3941.763063422417</v>
      </c>
      <c r="CP92" s="6">
        <f t="shared" si="96"/>
        <v>0</v>
      </c>
      <c r="CQ92" s="6">
        <f t="shared" si="96"/>
        <v>0</v>
      </c>
      <c r="CR92" s="6">
        <f t="shared" si="96"/>
        <v>0</v>
      </c>
      <c r="CS92" s="6">
        <f t="shared" si="96"/>
        <v>0</v>
      </c>
      <c r="CT92" s="6">
        <f t="shared" si="96"/>
        <v>0</v>
      </c>
      <c r="CU92" s="6">
        <f t="shared" si="96"/>
        <v>0</v>
      </c>
      <c r="CV92" s="6">
        <f t="shared" si="96"/>
        <v>0</v>
      </c>
      <c r="CW92" s="6">
        <f t="shared" si="96"/>
        <v>0</v>
      </c>
      <c r="CX92" s="6">
        <f t="shared" si="96"/>
        <v>0</v>
      </c>
      <c r="CY92" s="6">
        <f t="shared" si="96"/>
        <v>0</v>
      </c>
      <c r="CZ92" s="6">
        <f t="shared" si="96"/>
        <v>0</v>
      </c>
      <c r="DA92" s="198">
        <f>DA66+(DA40/TAUXmoyen)</f>
        <v>0</v>
      </c>
      <c r="DB92" s="63">
        <f>DB66+(DB40/TAUXmoyen)</f>
        <v>0</v>
      </c>
      <c r="DC92" s="6">
        <f ca="1">SUM(D92:DB92)</f>
        <v>15017.832527322651</v>
      </c>
      <c r="EI92">
        <v>0</v>
      </c>
    </row>
    <row r="93" spans="1:151">
      <c r="A93" s="9" t="s">
        <v>97</v>
      </c>
      <c r="D93" s="2"/>
      <c r="EI93" s="228" t="s">
        <v>332</v>
      </c>
      <c r="EJ93" s="229">
        <f t="shared" ref="EJ93:EP93" ca="1" si="97">+EJ123</f>
        <v>3656.4200564200564</v>
      </c>
      <c r="EK93" s="229">
        <f t="shared" ca="1" si="97"/>
        <v>1909.5405003075307</v>
      </c>
      <c r="EL93" s="229">
        <f t="shared" ca="1" si="97"/>
        <v>1929.43621127903</v>
      </c>
      <c r="EM93" s="229">
        <f t="shared" ca="1" si="97"/>
        <v>5366.0196131966632</v>
      </c>
      <c r="EN93" s="229" t="e">
        <f t="shared" ca="1" si="97"/>
        <v>#REF!</v>
      </c>
      <c r="EO93" s="229" t="e">
        <f t="shared" ca="1" si="97"/>
        <v>#REF!</v>
      </c>
      <c r="EP93" s="229" t="e">
        <f t="shared" ca="1" si="97"/>
        <v>#REF!</v>
      </c>
      <c r="EQ93" s="229" t="e">
        <f ca="1">+EQ123</f>
        <v>#REF!</v>
      </c>
      <c r="ES93" s="28">
        <f ca="1">SUM(EJ93:EM93)</f>
        <v>12861.416381203278</v>
      </c>
    </row>
    <row r="94" spans="1:151">
      <c r="A94" s="9"/>
      <c r="D94" s="2"/>
      <c r="EI94" s="228" t="s">
        <v>333</v>
      </c>
      <c r="EJ94" s="229">
        <f t="shared" ref="EJ94:EQ94" ca="1" si="98">EJ66</f>
        <v>1240.55</v>
      </c>
      <c r="EK94" s="229">
        <f t="shared" ca="1" si="98"/>
        <v>670.49</v>
      </c>
      <c r="EL94" s="229">
        <f t="shared" ca="1" si="98"/>
        <v>241.81</v>
      </c>
      <c r="EM94" s="229">
        <f t="shared" ca="1" si="98"/>
        <v>0</v>
      </c>
      <c r="EN94" s="229" t="e">
        <f t="shared" ca="1" si="98"/>
        <v>#REF!</v>
      </c>
      <c r="EO94" s="229" t="e">
        <f t="shared" ca="1" si="98"/>
        <v>#REF!</v>
      </c>
      <c r="EP94" s="229" t="e">
        <f t="shared" ca="1" si="98"/>
        <v>#REF!</v>
      </c>
      <c r="EQ94" s="229" t="e">
        <f t="shared" ca="1" si="98"/>
        <v>#REF!</v>
      </c>
      <c r="ES94" s="28">
        <f ca="1">SUM(EJ94:EM94)</f>
        <v>2152.85</v>
      </c>
    </row>
    <row r="95" spans="1:151" outlineLevel="1">
      <c r="D95" s="2"/>
      <c r="E95" s="2" t="str">
        <f>E$8</f>
        <v>Jeu</v>
      </c>
      <c r="F95" s="2" t="str">
        <f t="shared" ref="F95:DB95" si="99">F$8</f>
        <v>Ven</v>
      </c>
      <c r="G95" s="2" t="str">
        <f t="shared" si="99"/>
        <v>Sam</v>
      </c>
      <c r="H95" s="2" t="str">
        <f t="shared" si="99"/>
        <v>Dim</v>
      </c>
      <c r="I95" s="2" t="str">
        <f t="shared" si="99"/>
        <v>Lundi</v>
      </c>
      <c r="J95" s="2" t="str">
        <f t="shared" si="99"/>
        <v>mardi</v>
      </c>
      <c r="K95" s="2" t="str">
        <f t="shared" si="99"/>
        <v>Mer</v>
      </c>
      <c r="L95" s="2" t="str">
        <f t="shared" si="99"/>
        <v>Jeu</v>
      </c>
      <c r="M95" s="2" t="str">
        <f t="shared" si="99"/>
        <v>Ven</v>
      </c>
      <c r="N95" s="2" t="str">
        <f t="shared" si="99"/>
        <v>Sam</v>
      </c>
      <c r="O95" s="2" t="str">
        <f t="shared" si="99"/>
        <v>Dim</v>
      </c>
      <c r="P95" s="2" t="str">
        <f t="shared" si="99"/>
        <v>Lundi</v>
      </c>
      <c r="Q95" s="2" t="str">
        <f t="shared" si="99"/>
        <v>mardi</v>
      </c>
      <c r="R95" s="2" t="str">
        <f t="shared" si="99"/>
        <v>Mer</v>
      </c>
      <c r="S95" s="2" t="str">
        <f t="shared" si="99"/>
        <v>Jeu</v>
      </c>
      <c r="T95" s="2" t="str">
        <f t="shared" si="99"/>
        <v>Ven</v>
      </c>
      <c r="U95" s="2" t="str">
        <f t="shared" si="99"/>
        <v>Sam</v>
      </c>
      <c r="V95" s="2" t="str">
        <f t="shared" si="99"/>
        <v>Dim</v>
      </c>
      <c r="W95" s="2" t="str">
        <f t="shared" si="99"/>
        <v>Lundi</v>
      </c>
      <c r="X95" s="2" t="str">
        <f t="shared" si="99"/>
        <v>mardi</v>
      </c>
      <c r="Y95" s="2" t="str">
        <f t="shared" si="99"/>
        <v>Mer</v>
      </c>
      <c r="Z95" s="2" t="str">
        <f t="shared" si="99"/>
        <v>Jeu</v>
      </c>
      <c r="AA95" s="2" t="str">
        <f t="shared" si="99"/>
        <v>Ven</v>
      </c>
      <c r="AB95" s="2" t="str">
        <f t="shared" si="99"/>
        <v>Sam</v>
      </c>
      <c r="AC95" s="2" t="str">
        <f t="shared" si="99"/>
        <v>Dim</v>
      </c>
      <c r="AD95" s="2" t="str">
        <f t="shared" si="99"/>
        <v>Lundi</v>
      </c>
      <c r="AE95" s="2" t="str">
        <f t="shared" si="99"/>
        <v>mardi</v>
      </c>
      <c r="AF95" s="2" t="str">
        <f t="shared" si="99"/>
        <v>Mer</v>
      </c>
      <c r="AG95" s="2" t="str">
        <f t="shared" si="99"/>
        <v>Jeu</v>
      </c>
      <c r="AH95" s="2" t="str">
        <f t="shared" si="99"/>
        <v>Ven</v>
      </c>
      <c r="AI95" s="2" t="str">
        <f t="shared" si="99"/>
        <v>Sam</v>
      </c>
      <c r="AJ95" s="2" t="str">
        <f t="shared" si="99"/>
        <v>Dim</v>
      </c>
      <c r="AK95" s="2" t="str">
        <f t="shared" si="99"/>
        <v>Lundi</v>
      </c>
      <c r="AL95" s="2" t="str">
        <f t="shared" si="99"/>
        <v>mardi</v>
      </c>
      <c r="AM95" s="2" t="str">
        <f t="shared" si="99"/>
        <v>Mer</v>
      </c>
      <c r="AN95" s="2" t="str">
        <f t="shared" si="99"/>
        <v>Jeu</v>
      </c>
      <c r="AO95" s="2" t="str">
        <f t="shared" si="99"/>
        <v>Ven</v>
      </c>
      <c r="AP95" s="2" t="str">
        <f t="shared" si="99"/>
        <v>Sam</v>
      </c>
      <c r="AQ95" s="2" t="str">
        <f t="shared" si="99"/>
        <v>Dim</v>
      </c>
      <c r="AR95" s="2" t="str">
        <f t="shared" si="99"/>
        <v>Lundi</v>
      </c>
      <c r="AS95" s="2" t="str">
        <f t="shared" si="99"/>
        <v>mardi</v>
      </c>
      <c r="AT95" s="2" t="str">
        <f t="shared" si="99"/>
        <v>Mer</v>
      </c>
      <c r="AU95" s="2" t="str">
        <f t="shared" si="99"/>
        <v>Jeu</v>
      </c>
      <c r="AV95" s="2" t="str">
        <f t="shared" si="99"/>
        <v>Ven</v>
      </c>
      <c r="AW95" s="2" t="str">
        <f t="shared" si="99"/>
        <v>Sam</v>
      </c>
      <c r="AX95" s="2" t="str">
        <f t="shared" si="99"/>
        <v>Dim</v>
      </c>
      <c r="AY95" s="2" t="str">
        <f t="shared" si="99"/>
        <v>Lundi</v>
      </c>
      <c r="AZ95" s="2" t="str">
        <f t="shared" si="99"/>
        <v>mardi</v>
      </c>
      <c r="BA95" s="2" t="str">
        <f t="shared" si="99"/>
        <v>Mer</v>
      </c>
      <c r="BB95" s="2" t="str">
        <f t="shared" si="99"/>
        <v>Jeu</v>
      </c>
      <c r="BC95" s="2" t="str">
        <f t="shared" si="99"/>
        <v>Ven</v>
      </c>
      <c r="BD95" s="2" t="str">
        <f t="shared" si="99"/>
        <v>Sam</v>
      </c>
      <c r="BE95" s="2" t="str">
        <f t="shared" si="99"/>
        <v>Dim</v>
      </c>
      <c r="BF95" s="2" t="str">
        <f t="shared" si="99"/>
        <v>Lundi</v>
      </c>
      <c r="BG95" s="2" t="str">
        <f t="shared" si="99"/>
        <v>mardi</v>
      </c>
      <c r="BH95" s="2" t="str">
        <f t="shared" si="99"/>
        <v>Mer</v>
      </c>
      <c r="BI95" s="2" t="str">
        <f t="shared" si="99"/>
        <v>Jeu</v>
      </c>
      <c r="BJ95" s="2" t="str">
        <f t="shared" si="99"/>
        <v>Ven</v>
      </c>
      <c r="BK95" s="2" t="str">
        <f t="shared" si="99"/>
        <v>Sam</v>
      </c>
      <c r="BL95" s="2" t="str">
        <f t="shared" si="99"/>
        <v>Dim</v>
      </c>
      <c r="BM95" s="2" t="str">
        <f t="shared" si="99"/>
        <v>Lundi</v>
      </c>
      <c r="BN95" s="2" t="str">
        <f t="shared" si="99"/>
        <v>mardi</v>
      </c>
      <c r="BO95" s="2" t="str">
        <f t="shared" si="99"/>
        <v>Mer</v>
      </c>
      <c r="BP95" s="2" t="str">
        <f t="shared" si="99"/>
        <v>Jeu</v>
      </c>
      <c r="BQ95" s="2" t="str">
        <f t="shared" si="99"/>
        <v>Ven</v>
      </c>
      <c r="BR95" s="2" t="str">
        <f t="shared" si="99"/>
        <v>Sam</v>
      </c>
      <c r="BS95" s="2" t="str">
        <f t="shared" si="99"/>
        <v>Dim</v>
      </c>
      <c r="BT95" s="2" t="str">
        <f t="shared" si="99"/>
        <v>Lundi</v>
      </c>
      <c r="BU95" s="2" t="str">
        <f t="shared" si="99"/>
        <v>mardi</v>
      </c>
      <c r="BV95" s="2" t="str">
        <f t="shared" si="99"/>
        <v>Mer</v>
      </c>
      <c r="BW95" s="2" t="str">
        <f t="shared" si="99"/>
        <v>Jeu</v>
      </c>
      <c r="BX95" s="2" t="str">
        <f t="shared" si="99"/>
        <v>Ven</v>
      </c>
      <c r="BY95" s="2" t="str">
        <f t="shared" si="99"/>
        <v>Sam</v>
      </c>
      <c r="BZ95" s="2" t="str">
        <f t="shared" si="99"/>
        <v>Dim</v>
      </c>
      <c r="CA95" s="2" t="str">
        <f t="shared" si="99"/>
        <v>Lundi</v>
      </c>
      <c r="CB95" s="2" t="str">
        <f t="shared" si="99"/>
        <v>mardi</v>
      </c>
      <c r="CC95" s="2" t="str">
        <f t="shared" si="99"/>
        <v>Mer</v>
      </c>
      <c r="CD95" s="2" t="str">
        <f t="shared" si="99"/>
        <v>Jeu</v>
      </c>
      <c r="CE95" s="2" t="str">
        <f t="shared" si="99"/>
        <v>Ven</v>
      </c>
      <c r="CF95" s="2" t="str">
        <f t="shared" si="99"/>
        <v>Sam</v>
      </c>
      <c r="CG95" s="2" t="str">
        <f t="shared" si="99"/>
        <v>Dim</v>
      </c>
      <c r="CH95" s="2" t="str">
        <f t="shared" si="99"/>
        <v>Lundi</v>
      </c>
      <c r="CI95" s="2" t="str">
        <f t="shared" si="99"/>
        <v>mardi</v>
      </c>
      <c r="CJ95" s="2" t="str">
        <f t="shared" si="99"/>
        <v>Mer</v>
      </c>
      <c r="CK95" s="2" t="str">
        <f t="shared" si="99"/>
        <v>Jeu</v>
      </c>
      <c r="CL95" s="2" t="str">
        <f t="shared" si="99"/>
        <v>Ven</v>
      </c>
      <c r="CM95" s="2" t="str">
        <f t="shared" si="99"/>
        <v>Sam</v>
      </c>
      <c r="CN95" s="2" t="str">
        <f t="shared" si="99"/>
        <v>Dim</v>
      </c>
      <c r="CO95" s="2" t="str">
        <f t="shared" si="99"/>
        <v>Lundi</v>
      </c>
      <c r="CP95" s="2" t="str">
        <f t="shared" si="99"/>
        <v>mardi</v>
      </c>
      <c r="CQ95" s="2" t="str">
        <f t="shared" si="99"/>
        <v>Mer</v>
      </c>
      <c r="CR95" s="2" t="str">
        <f t="shared" si="99"/>
        <v>Jeu</v>
      </c>
      <c r="CS95" s="2" t="str">
        <f t="shared" si="99"/>
        <v>Ven</v>
      </c>
      <c r="CT95" s="2" t="str">
        <f t="shared" si="99"/>
        <v>Sam</v>
      </c>
      <c r="CU95" s="2" t="str">
        <f t="shared" si="99"/>
        <v>Dim</v>
      </c>
      <c r="CV95" s="2" t="str">
        <f t="shared" si="99"/>
        <v>Lundi</v>
      </c>
      <c r="CW95" s="2" t="str">
        <f t="shared" si="99"/>
        <v>mardi</v>
      </c>
      <c r="CX95" s="2" t="str">
        <f t="shared" si="99"/>
        <v>Mer</v>
      </c>
      <c r="CY95" s="2" t="str">
        <f t="shared" si="99"/>
        <v>Jeu</v>
      </c>
      <c r="CZ95" s="2" t="str">
        <f t="shared" si="99"/>
        <v>Ven</v>
      </c>
      <c r="DA95" s="11" t="str">
        <f t="shared" si="99"/>
        <v>Ven</v>
      </c>
      <c r="DB95" s="177">
        <f t="shared" si="99"/>
        <v>0</v>
      </c>
      <c r="EI95" s="228">
        <v>0</v>
      </c>
      <c r="EJ95" s="229">
        <f ca="1">+EJ91-EJ93-EJ94</f>
        <v>-48.482313229394776</v>
      </c>
      <c r="EK95" s="229">
        <f t="shared" ref="EK95:EP95" ca="1" si="100">+EK91-EK93-EK94</f>
        <v>-15.723349190506042</v>
      </c>
      <c r="EL95" s="229">
        <f t="shared" ca="1" si="100"/>
        <v>6.9864755851562563</v>
      </c>
      <c r="EM95" s="229">
        <f t="shared" ca="1" si="100"/>
        <v>56.727268531736627</v>
      </c>
      <c r="EN95" s="229" t="e">
        <f t="shared" ca="1" si="100"/>
        <v>#REF!</v>
      </c>
      <c r="EO95" s="229" t="e">
        <f t="shared" ca="1" si="100"/>
        <v>#REF!</v>
      </c>
      <c r="EP95" s="229" t="e">
        <f t="shared" ca="1" si="100"/>
        <v>#REF!</v>
      </c>
      <c r="EQ95" s="229" t="e">
        <f ca="1">+EQ91-EQ93-EQ94</f>
        <v>#REF!</v>
      </c>
      <c r="ES95" s="28">
        <f ca="1">SUM(EJ95:EM95)</f>
        <v>-0.49191830300793526</v>
      </c>
    </row>
    <row r="96" spans="1:151" ht="23.4" outlineLevel="1">
      <c r="E96" s="39">
        <f>E$9</f>
        <v>44637</v>
      </c>
      <c r="F96" s="39">
        <f t="shared" ref="F96:DB96" si="101">F$9</f>
        <v>44638</v>
      </c>
      <c r="G96" s="39">
        <f t="shared" si="101"/>
        <v>44639</v>
      </c>
      <c r="H96" s="39">
        <f t="shared" si="101"/>
        <v>44640</v>
      </c>
      <c r="I96" s="39">
        <f t="shared" si="101"/>
        <v>44641</v>
      </c>
      <c r="J96" s="39">
        <f t="shared" si="101"/>
        <v>44642</v>
      </c>
      <c r="K96" s="39">
        <f t="shared" si="101"/>
        <v>44643</v>
      </c>
      <c r="L96" s="39">
        <f t="shared" si="101"/>
        <v>44644</v>
      </c>
      <c r="M96" s="39">
        <f t="shared" si="101"/>
        <v>44645</v>
      </c>
      <c r="N96" s="39">
        <f t="shared" si="101"/>
        <v>44646</v>
      </c>
      <c r="O96" s="39">
        <f t="shared" si="101"/>
        <v>44647</v>
      </c>
      <c r="P96" s="39">
        <f t="shared" si="101"/>
        <v>44648</v>
      </c>
      <c r="Q96" s="39">
        <f t="shared" si="101"/>
        <v>44649</v>
      </c>
      <c r="R96" s="39">
        <f t="shared" si="101"/>
        <v>44650</v>
      </c>
      <c r="S96" s="39">
        <f t="shared" si="101"/>
        <v>44651</v>
      </c>
      <c r="T96" s="39">
        <f t="shared" si="101"/>
        <v>44652</v>
      </c>
      <c r="U96" s="39">
        <f t="shared" si="101"/>
        <v>44653</v>
      </c>
      <c r="V96" s="39">
        <f t="shared" si="101"/>
        <v>44654</v>
      </c>
      <c r="W96" s="39">
        <f t="shared" si="101"/>
        <v>44655</v>
      </c>
      <c r="X96" s="39">
        <f t="shared" si="101"/>
        <v>44656</v>
      </c>
      <c r="Y96" s="39">
        <f t="shared" si="101"/>
        <v>44657</v>
      </c>
      <c r="Z96" s="39">
        <f t="shared" si="101"/>
        <v>44658</v>
      </c>
      <c r="AA96" s="39">
        <f t="shared" si="101"/>
        <v>44659</v>
      </c>
      <c r="AB96" s="39">
        <f t="shared" si="101"/>
        <v>44660</v>
      </c>
      <c r="AC96" s="39">
        <f t="shared" si="101"/>
        <v>44661</v>
      </c>
      <c r="AD96" s="39">
        <f t="shared" si="101"/>
        <v>44662</v>
      </c>
      <c r="AE96" s="39">
        <f t="shared" si="101"/>
        <v>44663</v>
      </c>
      <c r="AF96" s="39">
        <f t="shared" si="101"/>
        <v>44664</v>
      </c>
      <c r="AG96" s="39">
        <f t="shared" si="101"/>
        <v>44665</v>
      </c>
      <c r="AH96" s="39">
        <f t="shared" si="101"/>
        <v>44666</v>
      </c>
      <c r="AI96" s="39">
        <f t="shared" si="101"/>
        <v>44667</v>
      </c>
      <c r="AJ96" s="39">
        <f t="shared" si="101"/>
        <v>44668</v>
      </c>
      <c r="AK96" s="39">
        <f t="shared" si="101"/>
        <v>44669</v>
      </c>
      <c r="AL96" s="39">
        <f t="shared" si="101"/>
        <v>44670</v>
      </c>
      <c r="AM96" s="39">
        <f t="shared" si="101"/>
        <v>44671</v>
      </c>
      <c r="AN96" s="39">
        <f t="shared" si="101"/>
        <v>44672</v>
      </c>
      <c r="AO96" s="39">
        <f t="shared" si="101"/>
        <v>44673</v>
      </c>
      <c r="AP96" s="39">
        <f t="shared" si="101"/>
        <v>44674</v>
      </c>
      <c r="AQ96" s="39">
        <f t="shared" si="101"/>
        <v>44675</v>
      </c>
      <c r="AR96" s="39">
        <f t="shared" si="101"/>
        <v>44676</v>
      </c>
      <c r="AS96" s="39">
        <f t="shared" si="101"/>
        <v>44677</v>
      </c>
      <c r="AT96" s="39">
        <f t="shared" si="101"/>
        <v>44678</v>
      </c>
      <c r="AU96" s="39">
        <f t="shared" si="101"/>
        <v>44679</v>
      </c>
      <c r="AV96" s="39">
        <f t="shared" si="101"/>
        <v>44680</v>
      </c>
      <c r="AW96" s="39">
        <f t="shared" si="101"/>
        <v>44681</v>
      </c>
      <c r="AX96" s="39">
        <f t="shared" si="101"/>
        <v>44682</v>
      </c>
      <c r="AY96" s="39">
        <f t="shared" si="101"/>
        <v>44683</v>
      </c>
      <c r="AZ96" s="39">
        <f t="shared" si="101"/>
        <v>44684</v>
      </c>
      <c r="BA96" s="39">
        <f t="shared" si="101"/>
        <v>44685</v>
      </c>
      <c r="BB96" s="39">
        <f t="shared" si="101"/>
        <v>44686</v>
      </c>
      <c r="BC96" s="39">
        <f t="shared" si="101"/>
        <v>44687</v>
      </c>
      <c r="BD96" s="39">
        <f t="shared" si="101"/>
        <v>44688</v>
      </c>
      <c r="BE96" s="39">
        <f t="shared" si="101"/>
        <v>44689</v>
      </c>
      <c r="BF96" s="39">
        <f t="shared" si="101"/>
        <v>44690</v>
      </c>
      <c r="BG96" s="39">
        <f t="shared" si="101"/>
        <v>44691</v>
      </c>
      <c r="BH96" s="39">
        <f t="shared" si="101"/>
        <v>44692</v>
      </c>
      <c r="BI96" s="39">
        <f t="shared" si="101"/>
        <v>44693</v>
      </c>
      <c r="BJ96" s="39">
        <f t="shared" si="101"/>
        <v>44694</v>
      </c>
      <c r="BK96" s="39">
        <f t="shared" si="101"/>
        <v>44695</v>
      </c>
      <c r="BL96" s="39">
        <f t="shared" si="101"/>
        <v>44696</v>
      </c>
      <c r="BM96" s="39">
        <f t="shared" si="101"/>
        <v>44697</v>
      </c>
      <c r="BN96" s="39">
        <f t="shared" si="101"/>
        <v>44698</v>
      </c>
      <c r="BO96" s="39">
        <f t="shared" si="101"/>
        <v>44699</v>
      </c>
      <c r="BP96" s="39">
        <f t="shared" si="101"/>
        <v>44700</v>
      </c>
      <c r="BQ96" s="39">
        <f t="shared" si="101"/>
        <v>44701</v>
      </c>
      <c r="BR96" s="39">
        <f t="shared" si="101"/>
        <v>44702</v>
      </c>
      <c r="BS96" s="39">
        <f t="shared" si="101"/>
        <v>44703</v>
      </c>
      <c r="BT96" s="39">
        <f t="shared" si="101"/>
        <v>44704</v>
      </c>
      <c r="BU96" s="39">
        <f t="shared" si="101"/>
        <v>44705</v>
      </c>
      <c r="BV96" s="39">
        <f t="shared" si="101"/>
        <v>44706</v>
      </c>
      <c r="BW96" s="39">
        <f t="shared" si="101"/>
        <v>44707</v>
      </c>
      <c r="BX96" s="39">
        <f t="shared" si="101"/>
        <v>44708</v>
      </c>
      <c r="BY96" s="39">
        <f t="shared" si="101"/>
        <v>44709</v>
      </c>
      <c r="BZ96" s="39">
        <f t="shared" si="101"/>
        <v>44710</v>
      </c>
      <c r="CA96" s="39">
        <f t="shared" si="101"/>
        <v>44711</v>
      </c>
      <c r="CB96" s="39">
        <f t="shared" si="101"/>
        <v>44712</v>
      </c>
      <c r="CC96" s="39">
        <f t="shared" si="101"/>
        <v>44713</v>
      </c>
      <c r="CD96" s="39">
        <f t="shared" si="101"/>
        <v>44714</v>
      </c>
      <c r="CE96" s="39">
        <f t="shared" si="101"/>
        <v>44715</v>
      </c>
      <c r="CF96" s="39">
        <f t="shared" si="101"/>
        <v>44716</v>
      </c>
      <c r="CG96" s="39">
        <f t="shared" si="101"/>
        <v>44717</v>
      </c>
      <c r="CH96" s="39">
        <f t="shared" si="101"/>
        <v>44718</v>
      </c>
      <c r="CI96" s="39">
        <f t="shared" si="101"/>
        <v>44719</v>
      </c>
      <c r="CJ96" s="39">
        <f t="shared" si="101"/>
        <v>44720</v>
      </c>
      <c r="CK96" s="39">
        <f t="shared" si="101"/>
        <v>44721</v>
      </c>
      <c r="CL96" s="39">
        <f t="shared" si="101"/>
        <v>44722</v>
      </c>
      <c r="CM96" s="39">
        <f t="shared" si="101"/>
        <v>44723</v>
      </c>
      <c r="CN96" s="39">
        <f t="shared" si="101"/>
        <v>44724</v>
      </c>
      <c r="CO96" s="39">
        <f t="shared" si="101"/>
        <v>44725</v>
      </c>
      <c r="CP96" s="39">
        <f t="shared" si="101"/>
        <v>44726</v>
      </c>
      <c r="CQ96" s="39">
        <f t="shared" si="101"/>
        <v>44727</v>
      </c>
      <c r="CR96" s="39">
        <f t="shared" si="101"/>
        <v>44728</v>
      </c>
      <c r="CS96" s="39">
        <f t="shared" si="101"/>
        <v>44729</v>
      </c>
      <c r="CT96" s="39">
        <f t="shared" si="101"/>
        <v>44730</v>
      </c>
      <c r="CU96" s="39">
        <f t="shared" si="101"/>
        <v>44731</v>
      </c>
      <c r="CV96" s="39">
        <f t="shared" si="101"/>
        <v>44732</v>
      </c>
      <c r="CW96" s="39">
        <f t="shared" si="101"/>
        <v>44733</v>
      </c>
      <c r="CX96" s="39">
        <f t="shared" si="101"/>
        <v>44734</v>
      </c>
      <c r="CY96" s="39">
        <f t="shared" si="101"/>
        <v>44735</v>
      </c>
      <c r="CZ96" s="39">
        <f t="shared" si="101"/>
        <v>44736</v>
      </c>
      <c r="DA96" s="197">
        <f t="shared" si="101"/>
        <v>44008</v>
      </c>
      <c r="DB96" s="183">
        <f t="shared" si="101"/>
        <v>0</v>
      </c>
      <c r="DE96" s="40"/>
      <c r="EI96">
        <v>0</v>
      </c>
      <c r="ES96" s="2">
        <v>0</v>
      </c>
    </row>
    <row r="97" spans="1:162" outlineLevel="1">
      <c r="D97" s="6"/>
      <c r="E97" s="2" t="str">
        <f>E$10</f>
        <v>Amsterdam</v>
      </c>
      <c r="F97" s="2" t="str">
        <f t="shared" ref="F97:DB97" si="102">F$10</f>
        <v>Hanoi</v>
      </c>
      <c r="G97" s="2" t="str">
        <f t="shared" si="102"/>
        <v>Hanoi</v>
      </c>
      <c r="H97" s="2" t="str">
        <f t="shared" si="102"/>
        <v>Hanoi</v>
      </c>
      <c r="I97" s="2" t="str">
        <f t="shared" si="102"/>
        <v>Hanoi</v>
      </c>
      <c r="J97" s="2" t="str">
        <f t="shared" si="102"/>
        <v>Hanoi</v>
      </c>
      <c r="K97" s="2" t="str">
        <f t="shared" si="102"/>
        <v>Hanoi</v>
      </c>
      <c r="L97" s="2" t="str">
        <f t="shared" si="102"/>
        <v>Hanoi</v>
      </c>
      <c r="M97" s="2" t="str">
        <f t="shared" si="102"/>
        <v>Hanoi</v>
      </c>
      <c r="N97" s="2" t="str">
        <f t="shared" si="102"/>
        <v>Hanoi</v>
      </c>
      <c r="O97" s="2" t="str">
        <f t="shared" si="102"/>
        <v>Hanoi</v>
      </c>
      <c r="P97" s="2" t="str">
        <f t="shared" si="102"/>
        <v>Hanoi</v>
      </c>
      <c r="Q97" s="2" t="str">
        <f t="shared" si="102"/>
        <v>Hanoi</v>
      </c>
      <c r="R97" s="2" t="str">
        <f t="shared" si="102"/>
        <v>Hanoi</v>
      </c>
      <c r="S97" s="2" t="str">
        <f t="shared" si="102"/>
        <v>Hanoi</v>
      </c>
      <c r="T97" s="2" t="str">
        <f t="shared" si="102"/>
        <v>Singapore</v>
      </c>
      <c r="U97" s="2" t="str">
        <f t="shared" si="102"/>
        <v>Singapore</v>
      </c>
      <c r="V97" s="2" t="str">
        <f t="shared" si="102"/>
        <v>Singapore</v>
      </c>
      <c r="W97" s="2" t="str">
        <f t="shared" si="102"/>
        <v>Hanoi</v>
      </c>
      <c r="X97" s="2" t="str">
        <f t="shared" si="102"/>
        <v>Hanoi</v>
      </c>
      <c r="Y97" s="2" t="str">
        <f t="shared" si="102"/>
        <v>Hanoi</v>
      </c>
      <c r="Z97" s="2" t="str">
        <f t="shared" si="102"/>
        <v>Thai Nguyen</v>
      </c>
      <c r="AA97" s="2" t="str">
        <f t="shared" si="102"/>
        <v>Hanoi</v>
      </c>
      <c r="AB97" s="2" t="str">
        <f t="shared" si="102"/>
        <v>Hanoi</v>
      </c>
      <c r="AC97" s="2" t="str">
        <f t="shared" si="102"/>
        <v>Hanoi</v>
      </c>
      <c r="AD97" s="2" t="str">
        <f t="shared" si="102"/>
        <v>Hanoi</v>
      </c>
      <c r="AE97" s="2" t="str">
        <f t="shared" si="102"/>
        <v>Da nang</v>
      </c>
      <c r="AF97" s="2" t="str">
        <f t="shared" si="102"/>
        <v>Da nang</v>
      </c>
      <c r="AG97" s="2" t="str">
        <f t="shared" si="102"/>
        <v>Da nang</v>
      </c>
      <c r="AH97" s="2" t="str">
        <f t="shared" si="102"/>
        <v>Hanoi</v>
      </c>
      <c r="AI97" s="2" t="str">
        <f t="shared" si="102"/>
        <v>Hanoi</v>
      </c>
      <c r="AJ97" s="2" t="str">
        <f t="shared" si="102"/>
        <v>Hai Phong</v>
      </c>
      <c r="AK97" s="2" t="str">
        <f t="shared" si="102"/>
        <v>Hanoi</v>
      </c>
      <c r="AL97" s="2" t="str">
        <f>AL$10</f>
        <v>Hanoi</v>
      </c>
      <c r="AM97" s="2" t="str">
        <f>AM$10</f>
        <v>Hanoi</v>
      </c>
      <c r="AN97" s="2" t="str">
        <f t="shared" si="102"/>
        <v>Hanoi</v>
      </c>
      <c r="AO97" s="2" t="str">
        <f t="shared" si="102"/>
        <v>Hanoi</v>
      </c>
      <c r="AP97" s="2" t="str">
        <f t="shared" si="102"/>
        <v>Hanoi</v>
      </c>
      <c r="AQ97" s="2" t="str">
        <f t="shared" si="102"/>
        <v>Hanoi</v>
      </c>
      <c r="AR97" s="2" t="str">
        <f t="shared" si="102"/>
        <v>Hanoi</v>
      </c>
      <c r="AS97" s="2" t="str">
        <f t="shared" si="102"/>
        <v>Hanoi</v>
      </c>
      <c r="AT97" s="2" t="str">
        <f t="shared" si="102"/>
        <v>Hanoi</v>
      </c>
      <c r="AU97" s="2" t="str">
        <f t="shared" si="102"/>
        <v>Hanoi</v>
      </c>
      <c r="AV97" s="2" t="str">
        <f t="shared" si="102"/>
        <v>Hanoi</v>
      </c>
      <c r="AW97" s="2" t="str">
        <f t="shared" si="102"/>
        <v>Hanoi</v>
      </c>
      <c r="AX97" s="2" t="str">
        <f t="shared" si="102"/>
        <v>Hanoi</v>
      </c>
      <c r="AY97" s="2" t="str">
        <f t="shared" si="102"/>
        <v>Thailand</v>
      </c>
      <c r="AZ97" s="2" t="str">
        <f t="shared" si="102"/>
        <v>Thailand</v>
      </c>
      <c r="BA97" s="2" t="str">
        <f t="shared" si="102"/>
        <v>Thailand</v>
      </c>
      <c r="BB97" s="2" t="str">
        <f t="shared" si="102"/>
        <v>Thailand</v>
      </c>
      <c r="BC97" s="2" t="str">
        <f t="shared" si="102"/>
        <v>Thailand</v>
      </c>
      <c r="BD97" s="2" t="str">
        <f t="shared" si="102"/>
        <v>Hanoi</v>
      </c>
      <c r="BE97" s="2" t="str">
        <f t="shared" si="102"/>
        <v>Hanoi</v>
      </c>
      <c r="BF97" s="2" t="str">
        <f t="shared" si="102"/>
        <v>Hanoi</v>
      </c>
      <c r="BG97" s="2" t="str">
        <f t="shared" si="102"/>
        <v>Hanoi</v>
      </c>
      <c r="BH97" s="2" t="str">
        <f t="shared" si="102"/>
        <v>Hanoi</v>
      </c>
      <c r="BI97" s="2" t="str">
        <f t="shared" si="102"/>
        <v>Hanoi</v>
      </c>
      <c r="BJ97" s="2" t="str">
        <f t="shared" si="102"/>
        <v>Hanoi</v>
      </c>
      <c r="BK97" s="2" t="str">
        <f t="shared" si="102"/>
        <v>Hanoi</v>
      </c>
      <c r="BL97" s="2" t="str">
        <f t="shared" si="102"/>
        <v>Hanoi</v>
      </c>
      <c r="BM97" s="2" t="str">
        <f t="shared" si="102"/>
        <v>Hanoi</v>
      </c>
      <c r="BN97" s="2" t="str">
        <f t="shared" si="102"/>
        <v>Hanoi</v>
      </c>
      <c r="BO97" s="2" t="str">
        <f t="shared" si="102"/>
        <v>Hanoi</v>
      </c>
      <c r="BP97" s="2" t="str">
        <f t="shared" si="102"/>
        <v>Hanoi</v>
      </c>
      <c r="BQ97" s="2" t="str">
        <f t="shared" si="102"/>
        <v>Hanoi</v>
      </c>
      <c r="BR97" s="2" t="str">
        <f t="shared" si="102"/>
        <v>Hanoi</v>
      </c>
      <c r="BS97" s="2" t="str">
        <f t="shared" si="102"/>
        <v>Hanoi</v>
      </c>
      <c r="BT97" s="2" t="str">
        <f t="shared" si="102"/>
        <v>Hanoi</v>
      </c>
      <c r="BU97" s="2" t="str">
        <f t="shared" si="102"/>
        <v>Hanoi</v>
      </c>
      <c r="BV97" s="2" t="str">
        <f t="shared" si="102"/>
        <v>Hanoi</v>
      </c>
      <c r="BW97" s="2" t="str">
        <f t="shared" si="102"/>
        <v>Hanoi</v>
      </c>
      <c r="BX97" s="2" t="str">
        <f t="shared" si="102"/>
        <v>Hanoi</v>
      </c>
      <c r="BY97" s="2" t="str">
        <f t="shared" si="102"/>
        <v>Hanoi</v>
      </c>
      <c r="BZ97" s="2" t="str">
        <f t="shared" si="102"/>
        <v>Hanoi</v>
      </c>
      <c r="CA97" s="2" t="str">
        <f t="shared" si="102"/>
        <v>Hanoi</v>
      </c>
      <c r="CB97" s="2" t="str">
        <f>CB$10</f>
        <v>Hanoi</v>
      </c>
      <c r="CC97" s="2" t="str">
        <f>CC$10</f>
        <v>Hanoi</v>
      </c>
      <c r="CD97" s="2" t="str">
        <f t="shared" si="102"/>
        <v>Nha Toi</v>
      </c>
      <c r="CE97" s="2" t="str">
        <f t="shared" si="102"/>
        <v>Hanoi</v>
      </c>
      <c r="CF97" s="2" t="str">
        <f t="shared" si="102"/>
        <v>Hanoi</v>
      </c>
      <c r="CG97" s="2" t="str">
        <f t="shared" si="102"/>
        <v>Hanoi</v>
      </c>
      <c r="CH97" s="2" t="str">
        <f t="shared" si="102"/>
        <v>Hanoi</v>
      </c>
      <c r="CI97" s="2" t="str">
        <f t="shared" si="102"/>
        <v>Hanoi</v>
      </c>
      <c r="CJ97" s="2" t="str">
        <f t="shared" si="102"/>
        <v>Hanoi</v>
      </c>
      <c r="CK97" s="2" t="str">
        <f t="shared" si="102"/>
        <v>Hanoi</v>
      </c>
      <c r="CL97" s="2" t="str">
        <f t="shared" si="102"/>
        <v>Hanoi</v>
      </c>
      <c r="CM97" s="2" t="str">
        <f t="shared" si="102"/>
        <v>Hanoi</v>
      </c>
      <c r="CN97" s="2" t="str">
        <f t="shared" si="102"/>
        <v>Hanoi</v>
      </c>
      <c r="CO97" s="2" t="str">
        <f t="shared" si="102"/>
        <v>Hanoi</v>
      </c>
      <c r="CP97" s="2" t="str">
        <f t="shared" si="102"/>
        <v>Hanoi</v>
      </c>
      <c r="CQ97" s="2" t="str">
        <f t="shared" si="102"/>
        <v>Hanoi</v>
      </c>
      <c r="CR97" s="2" t="str">
        <f t="shared" si="102"/>
        <v>Hanoi</v>
      </c>
      <c r="CS97" s="2" t="str">
        <f t="shared" si="102"/>
        <v>Hanoi</v>
      </c>
      <c r="CT97" s="2" t="str">
        <f t="shared" si="102"/>
        <v>Hanoi</v>
      </c>
      <c r="CU97" s="2" t="str">
        <f t="shared" si="102"/>
        <v>Hanoi</v>
      </c>
      <c r="CV97" s="2" t="str">
        <f t="shared" si="102"/>
        <v>Hanoi</v>
      </c>
      <c r="CW97" s="2" t="str">
        <f t="shared" si="102"/>
        <v>Hanoi</v>
      </c>
      <c r="CX97" s="2" t="str">
        <f t="shared" si="102"/>
        <v>Hanoi</v>
      </c>
      <c r="CY97" s="2" t="str">
        <f t="shared" si="102"/>
        <v>Hanoi</v>
      </c>
      <c r="CZ97" s="2" t="str">
        <f t="shared" si="102"/>
        <v>Hanoi</v>
      </c>
      <c r="DA97" s="11" t="str">
        <f t="shared" si="102"/>
        <v>Hanoi</v>
      </c>
      <c r="DB97" s="177">
        <f t="shared" si="102"/>
        <v>0</v>
      </c>
      <c r="DC97" s="6"/>
      <c r="DI97" s="4"/>
      <c r="EI97">
        <v>0</v>
      </c>
      <c r="EJ97" s="118" t="str">
        <f t="shared" ref="EJ97:EQ97" si="103">+EJ$11</f>
        <v>MARS</v>
      </c>
      <c r="EK97" s="118" t="str">
        <f t="shared" si="103"/>
        <v>AVRIL</v>
      </c>
      <c r="EL97" s="118" t="str">
        <f t="shared" si="103"/>
        <v>MAI</v>
      </c>
      <c r="EM97" s="118" t="str">
        <f t="shared" si="103"/>
        <v>JUIN</v>
      </c>
      <c r="EN97" s="118" t="str">
        <f t="shared" si="103"/>
        <v>JUIL</v>
      </c>
      <c r="EO97" s="118" t="str">
        <f t="shared" si="103"/>
        <v>AOUT</v>
      </c>
      <c r="EP97" s="118" t="str">
        <f t="shared" si="103"/>
        <v>SEPT</v>
      </c>
      <c r="EQ97" s="167" t="str">
        <f t="shared" si="103"/>
        <v>OCT</v>
      </c>
      <c r="ES97" s="4" t="s">
        <v>14</v>
      </c>
      <c r="FF97" s="4" t="s">
        <v>14</v>
      </c>
    </row>
    <row r="98" spans="1:162" outlineLevel="1">
      <c r="D98" s="2"/>
      <c r="E98" s="2" t="str">
        <f t="shared" ref="E98:DB98" si="104">E$7</f>
        <v>Nbre jours</v>
      </c>
      <c r="F98" s="2">
        <f t="shared" si="104"/>
        <v>1</v>
      </c>
      <c r="G98" s="2">
        <f t="shared" si="104"/>
        <v>2</v>
      </c>
      <c r="H98" s="2">
        <f t="shared" si="104"/>
        <v>3</v>
      </c>
      <c r="I98" s="2">
        <f t="shared" si="104"/>
        <v>4</v>
      </c>
      <c r="J98" s="2">
        <f t="shared" si="104"/>
        <v>5</v>
      </c>
      <c r="K98" s="2">
        <f t="shared" si="104"/>
        <v>6</v>
      </c>
      <c r="L98" s="2">
        <f t="shared" si="104"/>
        <v>7</v>
      </c>
      <c r="M98" s="2">
        <f t="shared" si="104"/>
        <v>8</v>
      </c>
      <c r="N98" s="2">
        <f t="shared" si="104"/>
        <v>9</v>
      </c>
      <c r="O98" s="2">
        <f t="shared" si="104"/>
        <v>10</v>
      </c>
      <c r="P98" s="2">
        <f t="shared" si="104"/>
        <v>11</v>
      </c>
      <c r="Q98" s="2">
        <f t="shared" si="104"/>
        <v>12</v>
      </c>
      <c r="R98" s="2">
        <f t="shared" si="104"/>
        <v>13</v>
      </c>
      <c r="S98" s="2">
        <f t="shared" si="104"/>
        <v>14</v>
      </c>
      <c r="T98" s="2">
        <f t="shared" si="104"/>
        <v>15</v>
      </c>
      <c r="U98" s="2">
        <f t="shared" si="104"/>
        <v>16</v>
      </c>
      <c r="V98" s="2">
        <f t="shared" si="104"/>
        <v>17</v>
      </c>
      <c r="W98" s="2">
        <f t="shared" si="104"/>
        <v>18</v>
      </c>
      <c r="X98" s="2">
        <f t="shared" si="104"/>
        <v>19</v>
      </c>
      <c r="Y98" s="2">
        <f t="shared" si="104"/>
        <v>20</v>
      </c>
      <c r="Z98" s="2">
        <f t="shared" si="104"/>
        <v>21</v>
      </c>
      <c r="AA98" s="2">
        <f t="shared" si="104"/>
        <v>22</v>
      </c>
      <c r="AB98" s="2">
        <f t="shared" si="104"/>
        <v>23</v>
      </c>
      <c r="AC98" s="2">
        <f t="shared" si="104"/>
        <v>24</v>
      </c>
      <c r="AD98" s="2">
        <f t="shared" si="104"/>
        <v>25</v>
      </c>
      <c r="AE98" s="2">
        <f t="shared" si="104"/>
        <v>26</v>
      </c>
      <c r="AF98" s="2">
        <f t="shared" si="104"/>
        <v>27</v>
      </c>
      <c r="AG98" s="2">
        <f t="shared" si="104"/>
        <v>28</v>
      </c>
      <c r="AH98" s="2">
        <f t="shared" si="104"/>
        <v>29</v>
      </c>
      <c r="AI98" s="2">
        <f t="shared" si="104"/>
        <v>30</v>
      </c>
      <c r="AJ98" s="2">
        <f t="shared" si="104"/>
        <v>31</v>
      </c>
      <c r="AK98" s="2">
        <f t="shared" si="104"/>
        <v>32</v>
      </c>
      <c r="AL98" s="2">
        <f t="shared" si="104"/>
        <v>33</v>
      </c>
      <c r="AM98" s="2">
        <f t="shared" si="104"/>
        <v>34</v>
      </c>
      <c r="AN98" s="2">
        <f t="shared" si="104"/>
        <v>35</v>
      </c>
      <c r="AO98" s="2">
        <f t="shared" si="104"/>
        <v>36</v>
      </c>
      <c r="AP98" s="2">
        <f t="shared" si="104"/>
        <v>37</v>
      </c>
      <c r="AQ98" s="2">
        <f t="shared" si="104"/>
        <v>38</v>
      </c>
      <c r="AR98" s="2">
        <f t="shared" si="104"/>
        <v>39</v>
      </c>
      <c r="AS98" s="2">
        <f t="shared" si="104"/>
        <v>40</v>
      </c>
      <c r="AT98" s="2">
        <f t="shared" si="104"/>
        <v>41</v>
      </c>
      <c r="AU98" s="2">
        <f t="shared" si="104"/>
        <v>42</v>
      </c>
      <c r="AV98" s="2">
        <f t="shared" si="104"/>
        <v>43</v>
      </c>
      <c r="AW98" s="2">
        <f t="shared" si="104"/>
        <v>44</v>
      </c>
      <c r="AX98" s="2">
        <f t="shared" si="104"/>
        <v>45</v>
      </c>
      <c r="AY98" s="2">
        <f t="shared" si="104"/>
        <v>46</v>
      </c>
      <c r="AZ98" s="2">
        <f t="shared" si="104"/>
        <v>47</v>
      </c>
      <c r="BA98" s="2">
        <f t="shared" si="104"/>
        <v>48</v>
      </c>
      <c r="BB98" s="2">
        <f t="shared" si="104"/>
        <v>49</v>
      </c>
      <c r="BC98" s="2">
        <f t="shared" si="104"/>
        <v>50</v>
      </c>
      <c r="BD98" s="2">
        <f t="shared" si="104"/>
        <v>51</v>
      </c>
      <c r="BE98" s="2">
        <f t="shared" si="104"/>
        <v>52</v>
      </c>
      <c r="BF98" s="2">
        <f t="shared" si="104"/>
        <v>53</v>
      </c>
      <c r="BG98" s="2">
        <f t="shared" si="104"/>
        <v>54</v>
      </c>
      <c r="BH98" s="2">
        <f t="shared" si="104"/>
        <v>55</v>
      </c>
      <c r="BI98" s="2">
        <f t="shared" si="104"/>
        <v>56</v>
      </c>
      <c r="BJ98" s="2">
        <f t="shared" si="104"/>
        <v>57</v>
      </c>
      <c r="BK98" s="2">
        <f t="shared" si="104"/>
        <v>58</v>
      </c>
      <c r="BL98" s="2">
        <f t="shared" si="104"/>
        <v>59</v>
      </c>
      <c r="BM98" s="2">
        <f t="shared" si="104"/>
        <v>60</v>
      </c>
      <c r="BN98" s="2">
        <f t="shared" si="104"/>
        <v>61</v>
      </c>
      <c r="BO98" s="2">
        <f t="shared" si="104"/>
        <v>62</v>
      </c>
      <c r="BP98" s="2">
        <f t="shared" si="104"/>
        <v>63</v>
      </c>
      <c r="BQ98" s="2">
        <f t="shared" si="104"/>
        <v>64</v>
      </c>
      <c r="BR98" s="2">
        <f t="shared" si="104"/>
        <v>65</v>
      </c>
      <c r="BS98" s="2">
        <f t="shared" si="104"/>
        <v>66</v>
      </c>
      <c r="BT98" s="2">
        <f t="shared" si="104"/>
        <v>67</v>
      </c>
      <c r="BU98" s="2">
        <f t="shared" si="104"/>
        <v>68</v>
      </c>
      <c r="BV98" s="2">
        <f t="shared" si="104"/>
        <v>69</v>
      </c>
      <c r="BW98" s="2">
        <f t="shared" si="104"/>
        <v>70</v>
      </c>
      <c r="BX98" s="2">
        <f t="shared" si="104"/>
        <v>71</v>
      </c>
      <c r="BY98" s="2">
        <f t="shared" si="104"/>
        <v>72</v>
      </c>
      <c r="BZ98" s="2">
        <f t="shared" si="104"/>
        <v>73</v>
      </c>
      <c r="CA98" s="2">
        <f t="shared" si="104"/>
        <v>74</v>
      </c>
      <c r="CB98" s="2">
        <f t="shared" si="104"/>
        <v>75</v>
      </c>
      <c r="CC98" s="2">
        <f t="shared" si="104"/>
        <v>76</v>
      </c>
      <c r="CD98" s="2">
        <f t="shared" si="104"/>
        <v>77</v>
      </c>
      <c r="CE98" s="2">
        <f t="shared" si="104"/>
        <v>78</v>
      </c>
      <c r="CF98" s="2">
        <f t="shared" si="104"/>
        <v>79</v>
      </c>
      <c r="CG98" s="2">
        <f t="shared" si="104"/>
        <v>80</v>
      </c>
      <c r="CH98" s="2">
        <f t="shared" si="104"/>
        <v>81</v>
      </c>
      <c r="CI98" s="2">
        <f t="shared" si="104"/>
        <v>82</v>
      </c>
      <c r="CJ98" s="2">
        <f t="shared" si="104"/>
        <v>83</v>
      </c>
      <c r="CK98" s="2">
        <f t="shared" si="104"/>
        <v>84</v>
      </c>
      <c r="CL98" s="2">
        <f t="shared" si="104"/>
        <v>85</v>
      </c>
      <c r="CM98" s="2">
        <f t="shared" si="104"/>
        <v>86</v>
      </c>
      <c r="CN98" s="2">
        <f t="shared" si="104"/>
        <v>87</v>
      </c>
      <c r="CO98" s="2">
        <f t="shared" si="104"/>
        <v>88</v>
      </c>
      <c r="CP98" s="2">
        <f t="shared" si="104"/>
        <v>89</v>
      </c>
      <c r="CQ98" s="2">
        <f t="shared" si="104"/>
        <v>90</v>
      </c>
      <c r="CR98" s="2">
        <f t="shared" si="104"/>
        <v>91</v>
      </c>
      <c r="CS98" s="2">
        <f t="shared" si="104"/>
        <v>92</v>
      </c>
      <c r="CT98" s="2">
        <f t="shared" si="104"/>
        <v>93</v>
      </c>
      <c r="CU98" s="2">
        <f t="shared" si="104"/>
        <v>94</v>
      </c>
      <c r="CV98" s="2">
        <f t="shared" si="104"/>
        <v>95</v>
      </c>
      <c r="CW98" s="2">
        <f t="shared" si="104"/>
        <v>96</v>
      </c>
      <c r="CX98" s="2">
        <f t="shared" si="104"/>
        <v>97</v>
      </c>
      <c r="CY98" s="2">
        <f t="shared" si="104"/>
        <v>98</v>
      </c>
      <c r="CZ98" s="2">
        <f t="shared" si="104"/>
        <v>224</v>
      </c>
      <c r="DA98" s="11">
        <f t="shared" si="104"/>
        <v>120</v>
      </c>
      <c r="DB98" s="177">
        <f t="shared" si="104"/>
        <v>0</v>
      </c>
      <c r="DC98" s="28"/>
      <c r="DE98" s="20"/>
      <c r="DI98" s="4"/>
      <c r="EI98" t="s">
        <v>303</v>
      </c>
      <c r="EJ98" s="118">
        <v>14</v>
      </c>
      <c r="EK98" s="118">
        <v>30</v>
      </c>
      <c r="EL98" s="118">
        <v>31</v>
      </c>
      <c r="EM98" s="118">
        <v>12</v>
      </c>
      <c r="EN98" s="118"/>
      <c r="EO98" s="118"/>
      <c r="EP98" s="118"/>
      <c r="EQ98" s="167"/>
      <c r="ES98" s="4">
        <f>SUM(EJ98:EQ98)</f>
        <v>87</v>
      </c>
      <c r="FF98" s="4">
        <f>SUM(EW98:FD98)</f>
        <v>0</v>
      </c>
    </row>
    <row r="99" spans="1:162" outlineLevel="1">
      <c r="B99" t="s">
        <v>61</v>
      </c>
      <c r="C99" s="2" t="s">
        <v>328</v>
      </c>
      <c r="D99" s="6">
        <v>0</v>
      </c>
      <c r="E99" s="6">
        <f t="shared" ref="E99:N104" si="105">SUMIF($B$72:$B$89,$C99,E$72:E$89)</f>
        <v>0</v>
      </c>
      <c r="F99" s="6">
        <f t="shared" si="105"/>
        <v>16.381322957198442</v>
      </c>
      <c r="G99" s="6">
        <f t="shared" si="105"/>
        <v>24.708171206225682</v>
      </c>
      <c r="H99" s="6">
        <f t="shared" si="105"/>
        <v>21.82879377431907</v>
      </c>
      <c r="I99" s="6">
        <f t="shared" si="105"/>
        <v>19.066147859922179</v>
      </c>
      <c r="J99" s="6">
        <f t="shared" si="105"/>
        <v>8.1712062256809332</v>
      </c>
      <c r="K99" s="6">
        <f t="shared" si="105"/>
        <v>22.178988326848252</v>
      </c>
      <c r="L99" s="6">
        <f t="shared" si="105"/>
        <v>15.953307392996109</v>
      </c>
      <c r="M99" s="6">
        <f t="shared" si="105"/>
        <v>43.968871595330739</v>
      </c>
      <c r="N99" s="6">
        <f t="shared" si="105"/>
        <v>13.385214007782103</v>
      </c>
      <c r="O99" s="6">
        <f t="shared" ref="O99:X104" si="106">SUMIF($B$72:$B$89,$C99,O$72:O$89)</f>
        <v>15.56420233463035</v>
      </c>
      <c r="P99" s="6">
        <f t="shared" si="106"/>
        <v>6.809338521400778</v>
      </c>
      <c r="Q99" s="6">
        <f t="shared" si="106"/>
        <v>15.369649805447471</v>
      </c>
      <c r="R99" s="6">
        <f t="shared" si="106"/>
        <v>12.451361867704279</v>
      </c>
      <c r="S99" s="6">
        <f t="shared" si="106"/>
        <v>6.6147859922178984</v>
      </c>
      <c r="T99" s="6">
        <f t="shared" si="106"/>
        <v>28.521400778210122</v>
      </c>
      <c r="U99" s="6">
        <f t="shared" si="106"/>
        <v>52.940000000000005</v>
      </c>
      <c r="V99" s="6">
        <f t="shared" si="106"/>
        <v>30.274825174825178</v>
      </c>
      <c r="W99" s="6">
        <f t="shared" si="106"/>
        <v>15.632023346303502</v>
      </c>
      <c r="X99" s="6">
        <f t="shared" si="106"/>
        <v>22.256809338521396</v>
      </c>
      <c r="Y99" s="6">
        <f t="shared" ref="Y99:AH104" si="107">SUMIF($B$72:$B$89,$C99,Y$72:Y$89)</f>
        <v>20.700389105058363</v>
      </c>
      <c r="Z99" s="6">
        <f t="shared" si="107"/>
        <v>5.9922178988326849</v>
      </c>
      <c r="AA99" s="6">
        <f t="shared" si="107"/>
        <v>28.01556420233463</v>
      </c>
      <c r="AB99" s="6">
        <f t="shared" si="107"/>
        <v>31.128404669260703</v>
      </c>
      <c r="AC99" s="6">
        <f t="shared" si="107"/>
        <v>15.214007782101167</v>
      </c>
      <c r="AD99" s="6">
        <f t="shared" si="107"/>
        <v>22.373540856031131</v>
      </c>
      <c r="AE99" s="6">
        <f t="shared" si="107"/>
        <v>19.649805447470818</v>
      </c>
      <c r="AF99" s="6">
        <f t="shared" si="107"/>
        <v>18.871595330739304</v>
      </c>
      <c r="AG99" s="6">
        <f t="shared" si="107"/>
        <v>34.124513618677042</v>
      </c>
      <c r="AH99" s="6">
        <f t="shared" si="107"/>
        <v>7.0038910505836576</v>
      </c>
      <c r="AI99" s="6">
        <f t="shared" ref="AI99:AR104" si="108">SUMIF($B$72:$B$89,$C99,AI$72:AI$89)</f>
        <v>11.284046692607003</v>
      </c>
      <c r="AJ99" s="6">
        <f t="shared" si="108"/>
        <v>3.463035019455253</v>
      </c>
      <c r="AK99" s="6">
        <f t="shared" si="108"/>
        <v>10.964912280701755</v>
      </c>
      <c r="AL99" s="6">
        <f t="shared" si="108"/>
        <v>23.12599681020734</v>
      </c>
      <c r="AM99" s="6">
        <f t="shared" si="108"/>
        <v>15.669856459330145</v>
      </c>
      <c r="AN99" s="6">
        <f t="shared" si="108"/>
        <v>10.606060606060606</v>
      </c>
      <c r="AO99" s="6">
        <f t="shared" si="108"/>
        <v>11.802232854864434</v>
      </c>
      <c r="AP99" s="6">
        <f t="shared" si="108"/>
        <v>12.958532695374803</v>
      </c>
      <c r="AQ99" s="6">
        <f t="shared" si="108"/>
        <v>49.441786283891545</v>
      </c>
      <c r="AR99" s="6">
        <f t="shared" si="108"/>
        <v>12.759170653907496</v>
      </c>
      <c r="AS99" s="6">
        <f t="shared" ref="AS99:BB104" si="109">SUMIF($B$72:$B$89,$C99,AS$72:AS$89)</f>
        <v>13.955342902711324</v>
      </c>
      <c r="AT99" s="6">
        <f t="shared" si="109"/>
        <v>21.331738437001597</v>
      </c>
      <c r="AU99" s="6">
        <f t="shared" si="109"/>
        <v>8.7719298245614041</v>
      </c>
      <c r="AV99" s="6">
        <f t="shared" si="109"/>
        <v>7.5757575757575761</v>
      </c>
      <c r="AW99" s="6">
        <f t="shared" si="109"/>
        <v>18.540669856459331</v>
      </c>
      <c r="AX99" s="6">
        <f t="shared" si="109"/>
        <v>18.939393939393941</v>
      </c>
      <c r="AY99" s="6">
        <f t="shared" si="109"/>
        <v>33.251739368355217</v>
      </c>
      <c r="AZ99" s="6">
        <f t="shared" si="109"/>
        <v>23.520559724828018</v>
      </c>
      <c r="BA99" s="6">
        <f t="shared" si="109"/>
        <v>19.978306754221386</v>
      </c>
      <c r="BB99" s="6">
        <f t="shared" si="109"/>
        <v>14.594082238899311</v>
      </c>
      <c r="BC99" s="6">
        <f t="shared" ref="BC99:BL104" si="110">SUMIF($B$72:$B$89,$C99,BC$72:BC$89)</f>
        <v>24.710756722951846</v>
      </c>
      <c r="BD99" s="6">
        <f t="shared" si="110"/>
        <v>11.051829268292682</v>
      </c>
      <c r="BE99" s="6">
        <f t="shared" si="110"/>
        <v>22.4609375</v>
      </c>
      <c r="BF99" s="6">
        <f t="shared" si="110"/>
        <v>22.0703125</v>
      </c>
      <c r="BG99" s="6">
        <f t="shared" si="110"/>
        <v>10.078125</v>
      </c>
      <c r="BH99" s="6">
        <f t="shared" si="110"/>
        <v>20.5078125</v>
      </c>
      <c r="BI99" s="6">
        <f t="shared" si="110"/>
        <v>27.890625</v>
      </c>
      <c r="BJ99" s="6">
        <f t="shared" si="110"/>
        <v>27.734375</v>
      </c>
      <c r="BK99" s="6">
        <f t="shared" si="110"/>
        <v>32.109375</v>
      </c>
      <c r="BL99" s="6">
        <f t="shared" si="110"/>
        <v>13.28125</v>
      </c>
      <c r="BM99" s="6">
        <f t="shared" ref="BM99:BV104" si="111">SUMIF($B$72:$B$89,$C99,BM$72:BM$89)</f>
        <v>8.7754287993617872</v>
      </c>
      <c r="BN99" s="6">
        <f t="shared" si="111"/>
        <v>35.819704826485832</v>
      </c>
      <c r="BO99" s="6">
        <f t="shared" si="111"/>
        <v>55.045871559633028</v>
      </c>
      <c r="BP99" s="6">
        <f t="shared" si="111"/>
        <v>22.337455125648184</v>
      </c>
      <c r="BQ99" s="6">
        <f t="shared" si="111"/>
        <v>27.124052652572797</v>
      </c>
      <c r="BR99" s="6">
        <f t="shared" si="111"/>
        <v>14.359792580773831</v>
      </c>
      <c r="BS99" s="6">
        <f t="shared" si="111"/>
        <v>9.1743119266055047</v>
      </c>
      <c r="BT99" s="6">
        <f t="shared" si="111"/>
        <v>36.098923015556444</v>
      </c>
      <c r="BU99" s="6">
        <f t="shared" si="111"/>
        <v>18.867171918627843</v>
      </c>
      <c r="BV99" s="6">
        <f t="shared" si="111"/>
        <v>9.7726366174710808</v>
      </c>
      <c r="BW99" s="6">
        <f t="shared" ref="BW99:CF104" si="112">SUMIF($B$72:$B$89,$C99,BW$72:BW$89)</f>
        <v>7.1798962903869166</v>
      </c>
      <c r="BX99" s="6">
        <f t="shared" si="112"/>
        <v>17.750299162345431</v>
      </c>
      <c r="BY99" s="6">
        <f t="shared" si="112"/>
        <v>37.694455524531314</v>
      </c>
      <c r="BZ99" s="6">
        <f t="shared" si="112"/>
        <v>30.714000797766257</v>
      </c>
      <c r="CA99" s="6">
        <f t="shared" si="112"/>
        <v>20.941364180295174</v>
      </c>
      <c r="CB99" s="6">
        <f t="shared" si="112"/>
        <v>15.955325089748705</v>
      </c>
      <c r="CC99" s="6">
        <f t="shared" si="112"/>
        <v>6.980454726765057</v>
      </c>
      <c r="CD99" s="6">
        <f t="shared" si="112"/>
        <v>74.790586358197046</v>
      </c>
      <c r="CE99" s="6">
        <f t="shared" si="112"/>
        <v>31.910650179497406</v>
      </c>
      <c r="CF99" s="6">
        <f t="shared" si="112"/>
        <v>29.716792979656962</v>
      </c>
      <c r="CG99" s="6">
        <f t="shared" ref="CG99:CP104" si="113">SUMIF($B$72:$B$89,$C99,CG$72:CG$89)</f>
        <v>10.370961308336657</v>
      </c>
      <c r="CH99" s="6">
        <f t="shared" si="113"/>
        <v>35.500598324690863</v>
      </c>
      <c r="CI99" s="6">
        <f t="shared" si="113"/>
        <v>13.562026326286396</v>
      </c>
      <c r="CJ99" s="6">
        <f t="shared" si="113"/>
        <v>61.627443159154367</v>
      </c>
      <c r="CK99" s="6">
        <f t="shared" si="113"/>
        <v>33.067411248504186</v>
      </c>
      <c r="CL99" s="6">
        <f t="shared" si="113"/>
        <v>10.370961308336657</v>
      </c>
      <c r="CM99" s="6">
        <f t="shared" si="113"/>
        <v>17.710410849621063</v>
      </c>
      <c r="CN99" s="6">
        <f t="shared" si="113"/>
        <v>27.403270841643401</v>
      </c>
      <c r="CO99" s="6">
        <f t="shared" si="113"/>
        <v>36.298364579178298</v>
      </c>
      <c r="CP99" s="6">
        <f t="shared" si="113"/>
        <v>0</v>
      </c>
      <c r="CQ99" s="6">
        <f t="shared" ref="CQ99:CZ104" si="114">SUMIF($B$72:$B$89,$C99,CQ$72:CQ$89)</f>
        <v>0</v>
      </c>
      <c r="CR99" s="6">
        <f t="shared" si="114"/>
        <v>0</v>
      </c>
      <c r="CS99" s="6">
        <f t="shared" si="114"/>
        <v>0</v>
      </c>
      <c r="CT99" s="6">
        <f t="shared" si="114"/>
        <v>0</v>
      </c>
      <c r="CU99" s="6">
        <f t="shared" si="114"/>
        <v>0</v>
      </c>
      <c r="CV99" s="6">
        <f t="shared" si="114"/>
        <v>0</v>
      </c>
      <c r="CW99" s="6">
        <f t="shared" si="114"/>
        <v>0</v>
      </c>
      <c r="CX99" s="6">
        <f t="shared" si="114"/>
        <v>0</v>
      </c>
      <c r="CY99" s="6">
        <f t="shared" si="114"/>
        <v>0</v>
      </c>
      <c r="CZ99" s="6">
        <f t="shared" si="114"/>
        <v>0</v>
      </c>
      <c r="DA99" s="198">
        <f t="shared" ref="DA99:DB102" si="115">SUMIF($B$72:$B$87,$C99,DA$72:DA$87)</f>
        <v>0</v>
      </c>
      <c r="DB99" s="63">
        <f t="shared" si="115"/>
        <v>0</v>
      </c>
      <c r="DC99" s="28">
        <f>SUM($E99:CY99)</f>
        <v>1906.5015221941667</v>
      </c>
      <c r="DE99" s="20"/>
      <c r="DI99" s="4"/>
      <c r="EI99" t="s">
        <v>328</v>
      </c>
      <c r="EJ99" s="6">
        <f ca="1">SUM((INDIRECT(EJ$9&amp;ROW()):(INDIRECT(EJ$10&amp;ROW()))))</f>
        <v>242.45136186770429</v>
      </c>
      <c r="EK99" s="6">
        <f ca="1">SUM((INDIRECT(EK$9&amp;ROW()):(INDIRECT(EK$10&amp;ROW()))))</f>
        <v>584.9500575518415</v>
      </c>
      <c r="EL99" s="6">
        <f ca="1">SUM((INDIRECT(EL$9&amp;ROW()):(INDIRECT(EL$10&amp;ROW()))))</f>
        <v>689.79017058475267</v>
      </c>
      <c r="EM99" s="6">
        <f ca="1">SUM((INDIRECT(EM$9&amp;ROW()):(INDIRECT(EM$10&amp;ROW()))))</f>
        <v>389.30993218986828</v>
      </c>
      <c r="EN99" s="6" t="e">
        <f ca="1">SUM((INDIRECT(EN$9&amp;ROW()):(INDIRECT(EN$10&amp;ROW()))))</f>
        <v>#REF!</v>
      </c>
      <c r="EO99" s="6" t="e">
        <f ca="1">SUM((INDIRECT(EO$9&amp;ROW()):(INDIRECT(EO$10&amp;ROW()))))</f>
        <v>#REF!</v>
      </c>
      <c r="EP99" s="6" t="e">
        <f ca="1">SUM((INDIRECT(EP$9&amp;ROW()):(INDIRECT(EP$10&amp;ROW()))))</f>
        <v>#REF!</v>
      </c>
      <c r="EQ99" s="6" t="e">
        <f ca="1">SUM((INDIRECT(EQ$9&amp;ROW()):(INDIRECT(EQ$10&amp;ROW()))))</f>
        <v>#REF!</v>
      </c>
      <c r="ES99" s="6">
        <f ca="1">SUM(EJ99:EM99)</f>
        <v>1906.5015221941669</v>
      </c>
      <c r="ET99" s="6">
        <f ca="1">ES99/$ES$98</f>
        <v>21.913810599932955</v>
      </c>
    </row>
    <row r="100" spans="1:162" outlineLevel="1">
      <c r="B100" t="s">
        <v>61</v>
      </c>
      <c r="C100" s="2" t="s">
        <v>559</v>
      </c>
      <c r="D100" s="6">
        <v>0</v>
      </c>
      <c r="E100" s="6">
        <f t="shared" si="105"/>
        <v>0</v>
      </c>
      <c r="F100" s="6">
        <f t="shared" si="105"/>
        <v>33.073929961089497</v>
      </c>
      <c r="G100" s="6">
        <f t="shared" si="105"/>
        <v>19.45525291828794</v>
      </c>
      <c r="H100" s="6">
        <f t="shared" si="105"/>
        <v>23.346303501945528</v>
      </c>
      <c r="I100" s="6">
        <f t="shared" si="105"/>
        <v>21.789883268482491</v>
      </c>
      <c r="J100" s="6">
        <f t="shared" si="105"/>
        <v>23.540856031128406</v>
      </c>
      <c r="K100" s="6">
        <f t="shared" si="105"/>
        <v>20.233463035019458</v>
      </c>
      <c r="L100" s="6">
        <f t="shared" si="105"/>
        <v>20.233463035019458</v>
      </c>
      <c r="M100" s="6">
        <f t="shared" si="105"/>
        <v>19.45525291828794</v>
      </c>
      <c r="N100" s="6">
        <f t="shared" si="105"/>
        <v>22.95719844357977</v>
      </c>
      <c r="O100" s="6">
        <f t="shared" si="106"/>
        <v>23.346303501945528</v>
      </c>
      <c r="P100" s="6">
        <f t="shared" si="106"/>
        <v>24.124513618677046</v>
      </c>
      <c r="Q100" s="6">
        <f t="shared" si="106"/>
        <v>28.793774319066152</v>
      </c>
      <c r="R100" s="6">
        <f t="shared" si="106"/>
        <v>20.233463035019458</v>
      </c>
      <c r="S100" s="6">
        <f t="shared" si="106"/>
        <v>22.95719844357977</v>
      </c>
      <c r="T100" s="6">
        <f t="shared" si="106"/>
        <v>42.801556420233467</v>
      </c>
      <c r="U100" s="6">
        <f t="shared" si="106"/>
        <v>8.39</v>
      </c>
      <c r="V100" s="6">
        <f t="shared" si="106"/>
        <v>0</v>
      </c>
      <c r="W100" s="6">
        <f t="shared" si="106"/>
        <v>13.151750972762647</v>
      </c>
      <c r="X100" s="6">
        <f t="shared" si="106"/>
        <v>12.957198443579767</v>
      </c>
      <c r="Y100" s="6">
        <f t="shared" si="107"/>
        <v>12.957198443579767</v>
      </c>
      <c r="Z100" s="6">
        <f t="shared" si="107"/>
        <v>15.058365758754864</v>
      </c>
      <c r="AA100" s="6">
        <f t="shared" si="107"/>
        <v>17.237354085603112</v>
      </c>
      <c r="AB100" s="6">
        <f t="shared" si="107"/>
        <v>14.124513618677042</v>
      </c>
      <c r="AC100" s="6">
        <f t="shared" si="107"/>
        <v>13.929961089494164</v>
      </c>
      <c r="AD100" s="6">
        <f t="shared" si="107"/>
        <v>19.182879377431906</v>
      </c>
      <c r="AE100" s="6">
        <f t="shared" si="107"/>
        <v>13.735408560311285</v>
      </c>
      <c r="AF100" s="6">
        <f t="shared" si="107"/>
        <v>13.735408560311285</v>
      </c>
      <c r="AG100" s="6">
        <f t="shared" si="107"/>
        <v>12.957198443579767</v>
      </c>
      <c r="AH100" s="6">
        <f t="shared" si="107"/>
        <v>15.486381322957198</v>
      </c>
      <c r="AI100" s="6">
        <f t="shared" si="108"/>
        <v>18.210116731517509</v>
      </c>
      <c r="AJ100" s="6">
        <f t="shared" si="108"/>
        <v>21.1284046692607</v>
      </c>
      <c r="AK100" s="6">
        <f t="shared" si="108"/>
        <v>14.473684210526317</v>
      </c>
      <c r="AL100" s="6">
        <f t="shared" si="108"/>
        <v>23.046251993620416</v>
      </c>
      <c r="AM100" s="6">
        <f t="shared" si="108"/>
        <v>13.277511961722489</v>
      </c>
      <c r="AN100" s="6">
        <f t="shared" si="108"/>
        <v>13.277511961722489</v>
      </c>
      <c r="AO100" s="6">
        <f t="shared" si="108"/>
        <v>14.473684210526317</v>
      </c>
      <c r="AP100" s="6">
        <f t="shared" si="108"/>
        <v>16.467304625199361</v>
      </c>
      <c r="AQ100" s="6">
        <f t="shared" si="108"/>
        <v>14.473684210526317</v>
      </c>
      <c r="AR100" s="6">
        <f t="shared" si="108"/>
        <v>15.669856459330145</v>
      </c>
      <c r="AS100" s="6">
        <f t="shared" si="109"/>
        <v>14.274322169059012</v>
      </c>
      <c r="AT100" s="6">
        <f t="shared" si="109"/>
        <v>13.277511961722489</v>
      </c>
      <c r="AU100" s="6">
        <f t="shared" si="109"/>
        <v>17.065390749601278</v>
      </c>
      <c r="AV100" s="6">
        <f t="shared" si="109"/>
        <v>14.473684210526317</v>
      </c>
      <c r="AW100" s="6">
        <f t="shared" si="109"/>
        <v>13.277511961722489</v>
      </c>
      <c r="AX100" s="6">
        <f t="shared" si="109"/>
        <v>14.872408293460925</v>
      </c>
      <c r="AY100" s="6">
        <f t="shared" si="109"/>
        <v>30.205939258911819</v>
      </c>
      <c r="AZ100" s="6">
        <f t="shared" si="109"/>
        <v>10.201688555347092</v>
      </c>
      <c r="BA100" s="6">
        <f t="shared" si="109"/>
        <v>15.841614876485302</v>
      </c>
      <c r="BB100" s="6">
        <f t="shared" si="109"/>
        <v>14.424713688242651</v>
      </c>
      <c r="BC100" s="6">
        <f t="shared" si="110"/>
        <v>13.0078125</v>
      </c>
      <c r="BD100" s="6">
        <f t="shared" si="110"/>
        <v>59.8828125</v>
      </c>
      <c r="BE100" s="6">
        <f t="shared" si="110"/>
        <v>14.5703125</v>
      </c>
      <c r="BF100" s="6">
        <f t="shared" si="110"/>
        <v>14.1796875</v>
      </c>
      <c r="BG100" s="6">
        <f t="shared" si="110"/>
        <v>13.7890625</v>
      </c>
      <c r="BH100" s="6">
        <f t="shared" si="110"/>
        <v>13.0078125</v>
      </c>
      <c r="BI100" s="6">
        <f t="shared" si="110"/>
        <v>-29.84375</v>
      </c>
      <c r="BJ100" s="6">
        <f t="shared" si="110"/>
        <v>52.0703125</v>
      </c>
      <c r="BK100" s="6">
        <f t="shared" si="110"/>
        <v>22.7734375</v>
      </c>
      <c r="BL100" s="6">
        <f t="shared" si="110"/>
        <v>16.9140625</v>
      </c>
      <c r="BM100" s="6">
        <f t="shared" si="111"/>
        <v>13.282808137215795</v>
      </c>
      <c r="BN100" s="6">
        <f t="shared" si="111"/>
        <v>13.282808137215795</v>
      </c>
      <c r="BO100" s="6">
        <f t="shared" si="111"/>
        <v>13.282808137215795</v>
      </c>
      <c r="BP100" s="6">
        <f t="shared" si="111"/>
        <v>16.473873155165535</v>
      </c>
      <c r="BQ100" s="6">
        <f t="shared" si="111"/>
        <v>22.4571200638213</v>
      </c>
      <c r="BR100" s="6">
        <f t="shared" si="111"/>
        <v>13.282808137215795</v>
      </c>
      <c r="BS100" s="6">
        <f t="shared" si="111"/>
        <v>13.282808137215795</v>
      </c>
      <c r="BT100" s="6">
        <f t="shared" si="111"/>
        <v>13.282808137215795</v>
      </c>
      <c r="BU100" s="6">
        <f t="shared" si="111"/>
        <v>13.282808137215795</v>
      </c>
      <c r="BV100" s="6">
        <f t="shared" si="111"/>
        <v>13.282808137215795</v>
      </c>
      <c r="BW100" s="6">
        <f t="shared" si="112"/>
        <v>13.282808137215795</v>
      </c>
      <c r="BX100" s="6">
        <f t="shared" si="112"/>
        <v>-26.406063023534106</v>
      </c>
      <c r="BY100" s="6">
        <f t="shared" si="112"/>
        <v>19.944156362185879</v>
      </c>
      <c r="BZ100" s="6">
        <f t="shared" si="112"/>
        <v>30.434782608695652</v>
      </c>
      <c r="CA100" s="6">
        <f t="shared" si="112"/>
        <v>17.27163940965297</v>
      </c>
      <c r="CB100" s="6">
        <f t="shared" si="112"/>
        <v>17.27163940965297</v>
      </c>
      <c r="CC100" s="6">
        <f t="shared" si="112"/>
        <v>13.282808137215795</v>
      </c>
      <c r="CD100" s="6">
        <f t="shared" si="112"/>
        <v>13.282808137215795</v>
      </c>
      <c r="CE100" s="6">
        <f t="shared" si="112"/>
        <v>37.215795771838849</v>
      </c>
      <c r="CF100" s="6">
        <f t="shared" si="112"/>
        <v>13.282808137215795</v>
      </c>
      <c r="CG100" s="6">
        <f t="shared" si="113"/>
        <v>17.27163940965297</v>
      </c>
      <c r="CH100" s="6">
        <f t="shared" si="113"/>
        <v>13.282808137215795</v>
      </c>
      <c r="CI100" s="6">
        <f t="shared" si="113"/>
        <v>15.277223773434383</v>
      </c>
      <c r="CJ100" s="6">
        <f t="shared" si="113"/>
        <v>19.864379736737135</v>
      </c>
      <c r="CK100" s="6">
        <f t="shared" si="113"/>
        <v>13.282808137215795</v>
      </c>
      <c r="CL100" s="6">
        <f t="shared" si="113"/>
        <v>15.277223773434383</v>
      </c>
      <c r="CM100" s="6">
        <f t="shared" si="113"/>
        <v>30.594335859593137</v>
      </c>
      <c r="CN100" s="6">
        <f t="shared" si="113"/>
        <v>14.678899082568806</v>
      </c>
      <c r="CO100" s="6">
        <f t="shared" si="113"/>
        <v>79.776625448743516</v>
      </c>
      <c r="CP100" s="6">
        <f t="shared" si="113"/>
        <v>0</v>
      </c>
      <c r="CQ100" s="6">
        <f t="shared" si="114"/>
        <v>0</v>
      </c>
      <c r="CR100" s="6">
        <f t="shared" si="114"/>
        <v>0</v>
      </c>
      <c r="CS100" s="6">
        <f t="shared" si="114"/>
        <v>0</v>
      </c>
      <c r="CT100" s="6">
        <f t="shared" si="114"/>
        <v>0</v>
      </c>
      <c r="CU100" s="6">
        <f t="shared" si="114"/>
        <v>0</v>
      </c>
      <c r="CV100" s="6">
        <f t="shared" si="114"/>
        <v>0</v>
      </c>
      <c r="CW100" s="6">
        <f t="shared" si="114"/>
        <v>0</v>
      </c>
      <c r="CX100" s="6">
        <f t="shared" si="114"/>
        <v>0</v>
      </c>
      <c r="CY100" s="6">
        <f t="shared" si="114"/>
        <v>0</v>
      </c>
      <c r="CZ100" s="6">
        <f t="shared" si="114"/>
        <v>0</v>
      </c>
      <c r="DA100" s="198">
        <f t="shared" si="115"/>
        <v>0</v>
      </c>
      <c r="DB100" s="63">
        <f t="shared" si="115"/>
        <v>0</v>
      </c>
      <c r="DC100" s="28">
        <f>SUM($E100:CY100)</f>
        <v>1575.3729751501019</v>
      </c>
      <c r="DE100" s="20"/>
      <c r="DI100" s="4"/>
      <c r="EI100" t="s">
        <v>631</v>
      </c>
      <c r="EJ100" s="6">
        <f ca="1">SUM((INDIRECT(EJ$9&amp;ROW()):(INDIRECT(EJ$10&amp;ROW()))))+SUM((INDIRECT(EJ$9&amp;ROW()+1):(INDIRECT(EJ$10&amp;ROW()+1))))</f>
        <v>372.17898832684835</v>
      </c>
      <c r="EK100" s="6">
        <f ca="1">SUM((INDIRECT(EK$9&amp;ROW()):(INDIRECT(EK$10&amp;ROW()))))+SUM((INDIRECT(EK$9&amp;ROW()+1):(INDIRECT(EK$10&amp;ROW()+1))))</f>
        <v>899.62495348736184</v>
      </c>
      <c r="EL100" s="6">
        <f ca="1">SUM((INDIRECT(EL$9&amp;ROW()):(INDIRECT(EL$10&amp;ROW()))))+SUM((INDIRECT(EL$9&amp;ROW()+1):(INDIRECT(EL$10&amp;ROW()+1))))</f>
        <v>644.34034839303013</v>
      </c>
      <c r="EM100" s="6">
        <f ca="1">SUM((INDIRECT(EM$9&amp;ROW()):(INDIRECT(EM$10&amp;ROW()))))+SUM((INDIRECT(EM$9&amp;ROW()+1):(INDIRECT(EM$10&amp;ROW()+1))))</f>
        <v>334.12757864293565</v>
      </c>
      <c r="EN100" s="6" t="e">
        <f ca="1">SUM((INDIRECT(EN$9&amp;ROW()):(INDIRECT(EN$10&amp;ROW()))))</f>
        <v>#REF!</v>
      </c>
      <c r="EO100" s="6" t="e">
        <f ca="1">SUM((INDIRECT(EO$9&amp;ROW()):(INDIRECT(EO$10&amp;ROW()))))</f>
        <v>#REF!</v>
      </c>
      <c r="EP100" s="6" t="e">
        <f ca="1">SUM((INDIRECT(EP$9&amp;ROW()):(INDIRECT(EP$10&amp;ROW()))))</f>
        <v>#REF!</v>
      </c>
      <c r="EQ100" s="6" t="e">
        <f ca="1">SUM((INDIRECT(EQ$9&amp;ROW()):(INDIRECT(EQ$10&amp;ROW()))))</f>
        <v>#REF!</v>
      </c>
      <c r="ES100" s="6">
        <f ca="1">SUM(EJ100:EM100)</f>
        <v>2250.2718688501759</v>
      </c>
      <c r="ET100" s="6">
        <f ca="1">ES100/$ES$98</f>
        <v>25.865193894829609</v>
      </c>
    </row>
    <row r="101" spans="1:162" outlineLevel="1">
      <c r="B101" t="s">
        <v>61</v>
      </c>
      <c r="C101" s="2" t="s">
        <v>23</v>
      </c>
      <c r="D101" s="6">
        <v>0</v>
      </c>
      <c r="E101" s="6">
        <f t="shared" si="105"/>
        <v>0</v>
      </c>
      <c r="F101" s="6">
        <f t="shared" si="105"/>
        <v>0</v>
      </c>
      <c r="G101" s="6">
        <f t="shared" si="105"/>
        <v>0</v>
      </c>
      <c r="H101" s="6">
        <f t="shared" si="105"/>
        <v>0</v>
      </c>
      <c r="I101" s="6">
        <f t="shared" si="105"/>
        <v>0</v>
      </c>
      <c r="J101" s="6">
        <f t="shared" si="105"/>
        <v>0</v>
      </c>
      <c r="K101" s="6">
        <f t="shared" si="105"/>
        <v>0</v>
      </c>
      <c r="L101" s="6">
        <f t="shared" si="105"/>
        <v>0</v>
      </c>
      <c r="M101" s="6">
        <f t="shared" si="105"/>
        <v>0</v>
      </c>
      <c r="N101" s="6">
        <f t="shared" si="105"/>
        <v>38.910505836575879</v>
      </c>
      <c r="O101" s="6">
        <f t="shared" si="106"/>
        <v>0</v>
      </c>
      <c r="P101" s="6">
        <f t="shared" si="106"/>
        <v>0</v>
      </c>
      <c r="Q101" s="6">
        <f t="shared" si="106"/>
        <v>0</v>
      </c>
      <c r="R101" s="6">
        <f t="shared" si="106"/>
        <v>0</v>
      </c>
      <c r="S101" s="6">
        <f t="shared" si="106"/>
        <v>9.7276264591439698</v>
      </c>
      <c r="T101" s="6">
        <f t="shared" si="106"/>
        <v>78.150000000000006</v>
      </c>
      <c r="U101" s="6">
        <f t="shared" si="106"/>
        <v>48.51</v>
      </c>
      <c r="V101" s="6">
        <f t="shared" si="106"/>
        <v>118.37</v>
      </c>
      <c r="W101" s="6">
        <f t="shared" si="106"/>
        <v>0</v>
      </c>
      <c r="X101" s="6">
        <f t="shared" si="106"/>
        <v>0</v>
      </c>
      <c r="Y101" s="6">
        <f t="shared" si="107"/>
        <v>0</v>
      </c>
      <c r="Z101" s="6">
        <f t="shared" si="107"/>
        <v>62.2568093385214</v>
      </c>
      <c r="AA101" s="6">
        <f t="shared" si="107"/>
        <v>0</v>
      </c>
      <c r="AB101" s="6">
        <f t="shared" si="107"/>
        <v>0</v>
      </c>
      <c r="AC101" s="6">
        <f t="shared" si="107"/>
        <v>0</v>
      </c>
      <c r="AD101" s="6">
        <f t="shared" si="107"/>
        <v>0</v>
      </c>
      <c r="AE101" s="6">
        <f t="shared" si="107"/>
        <v>38.715953307393001</v>
      </c>
      <c r="AF101" s="6">
        <f t="shared" si="107"/>
        <v>38.715953307393001</v>
      </c>
      <c r="AG101" s="6">
        <f t="shared" si="107"/>
        <v>38.715953307393001</v>
      </c>
      <c r="AH101" s="6">
        <f t="shared" si="107"/>
        <v>0</v>
      </c>
      <c r="AI101" s="6">
        <f t="shared" si="108"/>
        <v>13.618677042801556</v>
      </c>
      <c r="AJ101" s="6">
        <f t="shared" si="108"/>
        <v>0</v>
      </c>
      <c r="AK101" s="6">
        <f t="shared" si="108"/>
        <v>0</v>
      </c>
      <c r="AL101" s="6">
        <f t="shared" si="108"/>
        <v>0</v>
      </c>
      <c r="AM101" s="6">
        <f t="shared" si="108"/>
        <v>0</v>
      </c>
      <c r="AN101" s="6">
        <f t="shared" si="108"/>
        <v>0</v>
      </c>
      <c r="AO101" s="6">
        <f t="shared" si="108"/>
        <v>0</v>
      </c>
      <c r="AP101" s="6">
        <f t="shared" si="108"/>
        <v>0</v>
      </c>
      <c r="AQ101" s="6">
        <f t="shared" si="108"/>
        <v>0</v>
      </c>
      <c r="AR101" s="6">
        <f t="shared" si="108"/>
        <v>0</v>
      </c>
      <c r="AS101" s="6">
        <f t="shared" si="109"/>
        <v>0</v>
      </c>
      <c r="AT101" s="6">
        <f t="shared" si="109"/>
        <v>0</v>
      </c>
      <c r="AU101" s="6">
        <f t="shared" si="109"/>
        <v>0</v>
      </c>
      <c r="AV101" s="6">
        <f t="shared" si="109"/>
        <v>0</v>
      </c>
      <c r="AW101" s="6">
        <f t="shared" si="109"/>
        <v>0</v>
      </c>
      <c r="AX101" s="6">
        <f t="shared" si="109"/>
        <v>0</v>
      </c>
      <c r="AY101" s="6">
        <f t="shared" si="109"/>
        <v>26.48</v>
      </c>
      <c r="AZ101" s="6">
        <f t="shared" si="109"/>
        <v>25.13</v>
      </c>
      <c r="BA101" s="6">
        <f t="shared" si="109"/>
        <v>19.309999999999999</v>
      </c>
      <c r="BB101" s="6">
        <f t="shared" si="109"/>
        <v>38.659999999999997</v>
      </c>
      <c r="BC101" s="6">
        <f t="shared" si="110"/>
        <v>41.87</v>
      </c>
      <c r="BD101" s="6">
        <f t="shared" si="110"/>
        <v>0</v>
      </c>
      <c r="BE101" s="6">
        <f t="shared" si="110"/>
        <v>0</v>
      </c>
      <c r="BF101" s="6">
        <f t="shared" si="110"/>
        <v>0</v>
      </c>
      <c r="BG101" s="6">
        <f t="shared" si="110"/>
        <v>0</v>
      </c>
      <c r="BH101" s="6">
        <f t="shared" si="110"/>
        <v>0</v>
      </c>
      <c r="BI101" s="6">
        <f t="shared" si="110"/>
        <v>0</v>
      </c>
      <c r="BJ101" s="6">
        <f t="shared" si="110"/>
        <v>0</v>
      </c>
      <c r="BK101" s="6">
        <f t="shared" si="110"/>
        <v>0</v>
      </c>
      <c r="BL101" s="6">
        <f t="shared" si="110"/>
        <v>0</v>
      </c>
      <c r="BM101" s="6">
        <f t="shared" si="111"/>
        <v>0</v>
      </c>
      <c r="BN101" s="6">
        <f t="shared" si="111"/>
        <v>0</v>
      </c>
      <c r="BO101" s="6">
        <f t="shared" si="111"/>
        <v>0</v>
      </c>
      <c r="BP101" s="6">
        <f t="shared" si="111"/>
        <v>0</v>
      </c>
      <c r="BQ101" s="6">
        <f t="shared" si="111"/>
        <v>0</v>
      </c>
      <c r="BR101" s="6">
        <f t="shared" si="111"/>
        <v>0</v>
      </c>
      <c r="BS101" s="6">
        <f t="shared" si="111"/>
        <v>0</v>
      </c>
      <c r="BT101" s="6">
        <f t="shared" si="111"/>
        <v>0</v>
      </c>
      <c r="BU101" s="6">
        <f t="shared" si="111"/>
        <v>0</v>
      </c>
      <c r="BV101" s="6">
        <f t="shared" si="111"/>
        <v>0</v>
      </c>
      <c r="BW101" s="6">
        <f t="shared" si="112"/>
        <v>0</v>
      </c>
      <c r="BX101" s="6">
        <f t="shared" si="112"/>
        <v>0</v>
      </c>
      <c r="BY101" s="6">
        <f t="shared" si="112"/>
        <v>0</v>
      </c>
      <c r="BZ101" s="6">
        <f t="shared" si="112"/>
        <v>0</v>
      </c>
      <c r="CA101" s="6">
        <f t="shared" si="112"/>
        <v>0</v>
      </c>
      <c r="CB101" s="6">
        <f t="shared" si="112"/>
        <v>0</v>
      </c>
      <c r="CC101" s="6">
        <f t="shared" si="112"/>
        <v>5.9832469086557634</v>
      </c>
      <c r="CD101" s="6">
        <f t="shared" si="112"/>
        <v>19.944156362185879</v>
      </c>
      <c r="CE101" s="6">
        <f t="shared" si="112"/>
        <v>0</v>
      </c>
      <c r="CF101" s="6">
        <f t="shared" si="112"/>
        <v>0</v>
      </c>
      <c r="CG101" s="6">
        <f t="shared" si="113"/>
        <v>0</v>
      </c>
      <c r="CH101" s="6">
        <f t="shared" si="113"/>
        <v>0</v>
      </c>
      <c r="CI101" s="6">
        <f t="shared" si="113"/>
        <v>0</v>
      </c>
      <c r="CJ101" s="6">
        <f t="shared" si="113"/>
        <v>0</v>
      </c>
      <c r="CK101" s="6">
        <f t="shared" si="113"/>
        <v>0</v>
      </c>
      <c r="CL101" s="6">
        <f t="shared" si="113"/>
        <v>0</v>
      </c>
      <c r="CM101" s="6">
        <f t="shared" si="113"/>
        <v>0</v>
      </c>
      <c r="CN101" s="6">
        <f t="shared" si="113"/>
        <v>11.830011830011829</v>
      </c>
      <c r="CO101" s="6">
        <f t="shared" si="113"/>
        <v>0</v>
      </c>
      <c r="CP101" s="6">
        <f t="shared" si="113"/>
        <v>0</v>
      </c>
      <c r="CQ101" s="6">
        <f t="shared" si="114"/>
        <v>0</v>
      </c>
      <c r="CR101" s="6">
        <f t="shared" si="114"/>
        <v>0</v>
      </c>
      <c r="CS101" s="6">
        <f t="shared" si="114"/>
        <v>0</v>
      </c>
      <c r="CT101" s="6">
        <f t="shared" si="114"/>
        <v>0</v>
      </c>
      <c r="CU101" s="6">
        <f t="shared" si="114"/>
        <v>0</v>
      </c>
      <c r="CV101" s="6">
        <f t="shared" si="114"/>
        <v>0</v>
      </c>
      <c r="CW101" s="6">
        <f t="shared" si="114"/>
        <v>0</v>
      </c>
      <c r="CX101" s="6">
        <f t="shared" si="114"/>
        <v>0</v>
      </c>
      <c r="CY101" s="6">
        <f t="shared" si="114"/>
        <v>0</v>
      </c>
      <c r="CZ101" s="6">
        <f t="shared" si="114"/>
        <v>0</v>
      </c>
      <c r="DA101" s="198">
        <f t="shared" si="115"/>
        <v>0</v>
      </c>
      <c r="DB101" s="63">
        <f t="shared" si="115"/>
        <v>0</v>
      </c>
      <c r="DC101" s="28">
        <f>SUM($E101:CY101)</f>
        <v>674.89889370007529</v>
      </c>
      <c r="DD101" s="154"/>
      <c r="DE101" s="157"/>
      <c r="DI101" s="4"/>
      <c r="EI101" s="327" t="s">
        <v>25</v>
      </c>
      <c r="EJ101" s="113">
        <f ca="1">SUM((INDIRECT(EJ$9&amp;ROW()+1):(INDIRECT(EJ$10&amp;ROW()+1))))</f>
        <v>1097.3515564202332</v>
      </c>
      <c r="EK101" s="6">
        <f ca="1">SUM((INDIRECT(EK$9&amp;ROW()+1):(INDIRECT(EK$10&amp;ROW()+1))))</f>
        <v>995.68544747081705</v>
      </c>
      <c r="EL101" s="6">
        <f ca="1">SUM((INDIRECT(EL$9&amp;ROW()+1):(INDIRECT(EL$10&amp;ROW()+1))))</f>
        <v>357.15554482878059</v>
      </c>
      <c r="EM101" s="6">
        <f ca="1">SUM((INDIRECT(EM$9&amp;ROW()+1):(INDIRECT(EM$10&amp;ROW()+1))))</f>
        <v>126.73272080265831</v>
      </c>
      <c r="EN101" s="6" t="e">
        <f ca="1">SUM((INDIRECT(EN$9&amp;ROW()):(INDIRECT(EN$10&amp;ROW()))))</f>
        <v>#REF!</v>
      </c>
      <c r="EO101" s="98" t="e">
        <f ca="1">SUM((INDIRECT(EO$9&amp;ROW()):(INDIRECT(EO$10&amp;ROW()))))</f>
        <v>#REF!</v>
      </c>
      <c r="EP101" s="6" t="e">
        <f ca="1">SUM((INDIRECT(EP$9&amp;ROW()):(INDIRECT(EP$10&amp;ROW()))))</f>
        <v>#REF!</v>
      </c>
      <c r="EQ101" s="6" t="e">
        <f ca="1">SUM((INDIRECT(EQ$9&amp;ROW()):(INDIRECT(EQ$10&amp;ROW()))))</f>
        <v>#REF!</v>
      </c>
      <c r="ES101" s="6">
        <f ca="1">SUM(EJ101:EM101)</f>
        <v>2576.9252695224891</v>
      </c>
      <c r="ET101" s="6">
        <f ca="1">ES101/$ES$98</f>
        <v>29.619830684166541</v>
      </c>
    </row>
    <row r="102" spans="1:162" outlineLevel="1">
      <c r="B102" t="s">
        <v>61</v>
      </c>
      <c r="C102" s="2" t="s">
        <v>25</v>
      </c>
      <c r="D102" s="6">
        <v>0</v>
      </c>
      <c r="E102" s="6">
        <f t="shared" si="105"/>
        <v>1014.55</v>
      </c>
      <c r="F102" s="6">
        <f t="shared" si="105"/>
        <v>61.400778210116734</v>
      </c>
      <c r="G102" s="6">
        <f t="shared" si="105"/>
        <v>0</v>
      </c>
      <c r="H102" s="6">
        <f t="shared" si="105"/>
        <v>0</v>
      </c>
      <c r="I102" s="6">
        <f t="shared" si="105"/>
        <v>0</v>
      </c>
      <c r="J102" s="6">
        <f t="shared" si="105"/>
        <v>0</v>
      </c>
      <c r="K102" s="6">
        <f t="shared" si="105"/>
        <v>0</v>
      </c>
      <c r="L102" s="6">
        <f t="shared" si="105"/>
        <v>0</v>
      </c>
      <c r="M102" s="6">
        <f t="shared" si="105"/>
        <v>0</v>
      </c>
      <c r="N102" s="6">
        <f t="shared" si="105"/>
        <v>0</v>
      </c>
      <c r="O102" s="6">
        <f t="shared" si="106"/>
        <v>0</v>
      </c>
      <c r="P102" s="6">
        <f t="shared" si="106"/>
        <v>0</v>
      </c>
      <c r="Q102" s="6">
        <f t="shared" si="106"/>
        <v>0</v>
      </c>
      <c r="R102" s="6">
        <f t="shared" si="106"/>
        <v>21.400778210116734</v>
      </c>
      <c r="S102" s="6">
        <f t="shared" si="106"/>
        <v>0</v>
      </c>
      <c r="T102" s="6">
        <f t="shared" si="106"/>
        <v>352.11739299610895</v>
      </c>
      <c r="U102" s="6">
        <f t="shared" si="106"/>
        <v>226.37762645914395</v>
      </c>
      <c r="V102" s="6">
        <f t="shared" si="106"/>
        <v>180.42</v>
      </c>
      <c r="W102" s="6">
        <f t="shared" si="106"/>
        <v>0</v>
      </c>
      <c r="X102" s="6">
        <f t="shared" si="106"/>
        <v>0</v>
      </c>
      <c r="Y102" s="6">
        <f t="shared" si="107"/>
        <v>0</v>
      </c>
      <c r="Z102" s="6">
        <f t="shared" si="107"/>
        <v>36.964980544747085</v>
      </c>
      <c r="AA102" s="6">
        <f t="shared" si="107"/>
        <v>0</v>
      </c>
      <c r="AB102" s="6">
        <f t="shared" si="107"/>
        <v>0</v>
      </c>
      <c r="AC102" s="6">
        <f t="shared" si="107"/>
        <v>0</v>
      </c>
      <c r="AD102" s="6">
        <f t="shared" si="107"/>
        <v>0</v>
      </c>
      <c r="AE102" s="6">
        <f t="shared" si="107"/>
        <v>144.74708171206225</v>
      </c>
      <c r="AF102" s="6">
        <f t="shared" si="107"/>
        <v>14.980544747081712</v>
      </c>
      <c r="AG102" s="6">
        <f t="shared" si="107"/>
        <v>22.178988326848248</v>
      </c>
      <c r="AH102" s="6">
        <f t="shared" si="107"/>
        <v>0</v>
      </c>
      <c r="AI102" s="6">
        <f t="shared" si="108"/>
        <v>0</v>
      </c>
      <c r="AJ102" s="6">
        <f t="shared" si="108"/>
        <v>17.898832684824903</v>
      </c>
      <c r="AK102" s="6">
        <f t="shared" si="108"/>
        <v>0</v>
      </c>
      <c r="AL102" s="6">
        <f t="shared" si="108"/>
        <v>0</v>
      </c>
      <c r="AM102" s="6">
        <f t="shared" si="108"/>
        <v>0</v>
      </c>
      <c r="AN102" s="6">
        <f t="shared" si="108"/>
        <v>0</v>
      </c>
      <c r="AO102" s="6">
        <f t="shared" si="108"/>
        <v>0</v>
      </c>
      <c r="AP102" s="6">
        <f t="shared" si="108"/>
        <v>0</v>
      </c>
      <c r="AQ102" s="6">
        <f t="shared" si="108"/>
        <v>0</v>
      </c>
      <c r="AR102" s="6">
        <f t="shared" si="108"/>
        <v>0</v>
      </c>
      <c r="AS102" s="6">
        <f t="shared" si="109"/>
        <v>0</v>
      </c>
      <c r="AT102" s="6">
        <f t="shared" si="109"/>
        <v>0</v>
      </c>
      <c r="AU102" s="6">
        <f t="shared" si="109"/>
        <v>0</v>
      </c>
      <c r="AV102" s="6">
        <f t="shared" si="109"/>
        <v>0</v>
      </c>
      <c r="AW102" s="6">
        <f t="shared" si="109"/>
        <v>0</v>
      </c>
      <c r="AX102" s="6">
        <f t="shared" si="109"/>
        <v>199.36204146730464</v>
      </c>
      <c r="AY102" s="6">
        <f t="shared" si="109"/>
        <v>31.16083294246404</v>
      </c>
      <c r="AZ102" s="6">
        <f t="shared" si="109"/>
        <v>0</v>
      </c>
      <c r="BA102" s="6">
        <f t="shared" si="109"/>
        <v>5.6676047529706057</v>
      </c>
      <c r="BB102" s="6">
        <f t="shared" si="109"/>
        <v>0</v>
      </c>
      <c r="BC102" s="6">
        <f t="shared" si="110"/>
        <v>86.622251407129454</v>
      </c>
      <c r="BD102" s="6">
        <f t="shared" si="110"/>
        <v>34.342814258911815</v>
      </c>
      <c r="BE102" s="6">
        <f t="shared" si="110"/>
        <v>0</v>
      </c>
      <c r="BF102" s="6">
        <f t="shared" si="110"/>
        <v>0</v>
      </c>
      <c r="BG102" s="6">
        <f t="shared" si="110"/>
        <v>0</v>
      </c>
      <c r="BH102" s="6">
        <f t="shared" si="110"/>
        <v>0</v>
      </c>
      <c r="BI102" s="6">
        <f t="shared" si="110"/>
        <v>0</v>
      </c>
      <c r="BJ102" s="6">
        <f t="shared" si="110"/>
        <v>0</v>
      </c>
      <c r="BK102" s="6">
        <f t="shared" si="110"/>
        <v>0</v>
      </c>
      <c r="BL102" s="6">
        <f t="shared" si="110"/>
        <v>0</v>
      </c>
      <c r="BM102" s="6">
        <f t="shared" si="111"/>
        <v>0</v>
      </c>
      <c r="BN102" s="6">
        <f t="shared" si="111"/>
        <v>0</v>
      </c>
      <c r="BO102" s="6">
        <f t="shared" si="111"/>
        <v>0</v>
      </c>
      <c r="BP102" s="6">
        <f t="shared" si="111"/>
        <v>0</v>
      </c>
      <c r="BQ102" s="6">
        <f t="shared" si="111"/>
        <v>0</v>
      </c>
      <c r="BR102" s="6">
        <f t="shared" si="111"/>
        <v>0</v>
      </c>
      <c r="BS102" s="6">
        <f t="shared" si="111"/>
        <v>0</v>
      </c>
      <c r="BT102" s="6">
        <f t="shared" si="111"/>
        <v>0</v>
      </c>
      <c r="BU102" s="6">
        <f t="shared" si="111"/>
        <v>0</v>
      </c>
      <c r="BV102" s="6">
        <f t="shared" si="111"/>
        <v>0</v>
      </c>
      <c r="BW102" s="6">
        <f t="shared" si="112"/>
        <v>0</v>
      </c>
      <c r="BX102" s="6">
        <f t="shared" si="112"/>
        <v>0</v>
      </c>
      <c r="BY102" s="6">
        <f t="shared" si="112"/>
        <v>0</v>
      </c>
      <c r="BZ102" s="6">
        <f t="shared" si="112"/>
        <v>0</v>
      </c>
      <c r="CA102" s="6">
        <f t="shared" si="112"/>
        <v>0</v>
      </c>
      <c r="CB102" s="6">
        <f t="shared" si="112"/>
        <v>0</v>
      </c>
      <c r="CC102" s="6">
        <f t="shared" si="112"/>
        <v>0</v>
      </c>
      <c r="CD102" s="6">
        <f t="shared" si="112"/>
        <v>47.865975269246107</v>
      </c>
      <c r="CE102" s="6">
        <f t="shared" si="112"/>
        <v>0</v>
      </c>
      <c r="CF102" s="6">
        <f t="shared" si="112"/>
        <v>0</v>
      </c>
      <c r="CG102" s="6">
        <f t="shared" si="113"/>
        <v>0</v>
      </c>
      <c r="CH102" s="6">
        <f t="shared" si="113"/>
        <v>0</v>
      </c>
      <c r="CI102" s="6">
        <f t="shared" si="113"/>
        <v>0</v>
      </c>
      <c r="CJ102" s="6">
        <f t="shared" si="113"/>
        <v>0</v>
      </c>
      <c r="CK102" s="6">
        <f t="shared" si="113"/>
        <v>0</v>
      </c>
      <c r="CL102" s="6">
        <f t="shared" si="113"/>
        <v>0</v>
      </c>
      <c r="CM102" s="6">
        <f t="shared" si="113"/>
        <v>0</v>
      </c>
      <c r="CN102" s="6">
        <f t="shared" si="113"/>
        <v>0</v>
      </c>
      <c r="CO102" s="6">
        <f t="shared" si="113"/>
        <v>78.8667455334122</v>
      </c>
      <c r="CP102" s="6">
        <f t="shared" si="113"/>
        <v>0</v>
      </c>
      <c r="CQ102" s="6">
        <f t="shared" si="114"/>
        <v>0</v>
      </c>
      <c r="CR102" s="6">
        <f t="shared" si="114"/>
        <v>0</v>
      </c>
      <c r="CS102" s="6">
        <f t="shared" si="114"/>
        <v>0</v>
      </c>
      <c r="CT102" s="6">
        <f t="shared" si="114"/>
        <v>0</v>
      </c>
      <c r="CU102" s="6">
        <f t="shared" si="114"/>
        <v>0</v>
      </c>
      <c r="CV102" s="6">
        <f t="shared" si="114"/>
        <v>0</v>
      </c>
      <c r="CW102" s="6">
        <f t="shared" si="114"/>
        <v>0</v>
      </c>
      <c r="CX102" s="6">
        <f t="shared" si="114"/>
        <v>0</v>
      </c>
      <c r="CY102" s="6">
        <f t="shared" si="114"/>
        <v>0</v>
      </c>
      <c r="CZ102" s="6">
        <f t="shared" si="114"/>
        <v>0</v>
      </c>
      <c r="DA102" s="198">
        <f t="shared" si="115"/>
        <v>0</v>
      </c>
      <c r="DB102" s="63">
        <f t="shared" si="115"/>
        <v>0</v>
      </c>
      <c r="DC102" s="28">
        <f>SUM($E102:CY102)</f>
        <v>2576.9252695224891</v>
      </c>
      <c r="DD102" s="154"/>
      <c r="DE102" s="155"/>
      <c r="DI102" s="4"/>
      <c r="EI102" s="176" t="s">
        <v>304</v>
      </c>
      <c r="EJ102" s="176">
        <f t="shared" ref="EJ102:EP102" ca="1" si="116">SUM(EJ99:EJ101)/EJ$98</f>
        <v>122.28442190105613</v>
      </c>
      <c r="EK102" s="176">
        <f t="shared" ca="1" si="116"/>
        <v>82.675348617000679</v>
      </c>
      <c r="EL102" s="176">
        <f t="shared" ca="1" si="116"/>
        <v>54.55761496150204</v>
      </c>
      <c r="EM102" s="176">
        <f t="shared" ca="1" si="116"/>
        <v>70.847519302955178</v>
      </c>
      <c r="EN102" s="176" t="e">
        <f t="shared" ca="1" si="116"/>
        <v>#REF!</v>
      </c>
      <c r="EO102" s="176" t="e">
        <f t="shared" ca="1" si="116"/>
        <v>#REF!</v>
      </c>
      <c r="EP102" s="176" t="e">
        <f t="shared" ca="1" si="116"/>
        <v>#REF!</v>
      </c>
      <c r="EQ102" s="176" t="e">
        <f ca="1">SUM(EQ99:EQ101)/EQ$98</f>
        <v>#REF!</v>
      </c>
      <c r="ES102" s="230">
        <f ca="1">SUM(ES99:ES101)/ES$98</f>
        <v>77.398835178929104</v>
      </c>
      <c r="ET102" s="231">
        <f ca="1">SUM(ET99:ET101)</f>
        <v>77.398835178929104</v>
      </c>
    </row>
    <row r="103" spans="1:162" outlineLevel="1">
      <c r="B103" t="s">
        <v>24</v>
      </c>
      <c r="C103" s="2" t="s">
        <v>24</v>
      </c>
      <c r="D103" s="6"/>
      <c r="E103" s="6">
        <f t="shared" si="105"/>
        <v>226</v>
      </c>
      <c r="F103" s="6">
        <f t="shared" si="105"/>
        <v>0</v>
      </c>
      <c r="G103" s="6">
        <f t="shared" si="105"/>
        <v>0</v>
      </c>
      <c r="H103" s="6">
        <f t="shared" si="105"/>
        <v>0</v>
      </c>
      <c r="I103" s="6">
        <f t="shared" si="105"/>
        <v>31.128404669260703</v>
      </c>
      <c r="J103" s="6">
        <f t="shared" si="105"/>
        <v>0</v>
      </c>
      <c r="K103" s="6">
        <f t="shared" si="105"/>
        <v>0</v>
      </c>
      <c r="L103" s="6">
        <f t="shared" si="105"/>
        <v>0</v>
      </c>
      <c r="M103" s="6">
        <f t="shared" si="105"/>
        <v>0</v>
      </c>
      <c r="N103" s="6">
        <f t="shared" si="105"/>
        <v>0</v>
      </c>
      <c r="O103" s="6">
        <f t="shared" si="106"/>
        <v>0</v>
      </c>
      <c r="P103" s="6">
        <f t="shared" si="106"/>
        <v>0</v>
      </c>
      <c r="Q103" s="6">
        <f t="shared" si="106"/>
        <v>77.821011673151759</v>
      </c>
      <c r="R103" s="6">
        <f t="shared" si="106"/>
        <v>0</v>
      </c>
      <c r="S103" s="6">
        <f t="shared" si="106"/>
        <v>0</v>
      </c>
      <c r="T103" s="6">
        <f t="shared" si="106"/>
        <v>0</v>
      </c>
      <c r="U103" s="6">
        <f t="shared" si="106"/>
        <v>0</v>
      </c>
      <c r="V103" s="6">
        <f t="shared" si="106"/>
        <v>0</v>
      </c>
      <c r="W103" s="6">
        <f t="shared" si="106"/>
        <v>0</v>
      </c>
      <c r="X103" s="6">
        <f t="shared" si="106"/>
        <v>0</v>
      </c>
      <c r="Y103" s="6">
        <f t="shared" si="107"/>
        <v>0</v>
      </c>
      <c r="Z103" s="6">
        <f t="shared" si="107"/>
        <v>0</v>
      </c>
      <c r="AA103" s="6">
        <f t="shared" si="107"/>
        <v>0</v>
      </c>
      <c r="AB103" s="6">
        <f t="shared" si="107"/>
        <v>0</v>
      </c>
      <c r="AC103" s="6">
        <f t="shared" si="107"/>
        <v>0</v>
      </c>
      <c r="AD103" s="6">
        <f t="shared" si="107"/>
        <v>0</v>
      </c>
      <c r="AE103" s="6">
        <f t="shared" si="107"/>
        <v>0</v>
      </c>
      <c r="AF103" s="6">
        <f t="shared" si="107"/>
        <v>0</v>
      </c>
      <c r="AG103" s="6">
        <f t="shared" si="107"/>
        <v>0</v>
      </c>
      <c r="AH103" s="6">
        <f t="shared" si="107"/>
        <v>0</v>
      </c>
      <c r="AI103" s="6">
        <f t="shared" si="108"/>
        <v>0</v>
      </c>
      <c r="AJ103" s="6">
        <f t="shared" si="108"/>
        <v>84.046692607003891</v>
      </c>
      <c r="AK103" s="6">
        <f t="shared" si="108"/>
        <v>0</v>
      </c>
      <c r="AL103" s="6">
        <f t="shared" si="108"/>
        <v>0</v>
      </c>
      <c r="AM103" s="6">
        <f t="shared" si="108"/>
        <v>0</v>
      </c>
      <c r="AN103" s="6">
        <f t="shared" si="108"/>
        <v>0</v>
      </c>
      <c r="AO103" s="6">
        <f t="shared" si="108"/>
        <v>0</v>
      </c>
      <c r="AP103" s="6">
        <f t="shared" si="108"/>
        <v>0</v>
      </c>
      <c r="AQ103" s="6">
        <f t="shared" si="108"/>
        <v>0</v>
      </c>
      <c r="AR103" s="6">
        <f t="shared" si="108"/>
        <v>0</v>
      </c>
      <c r="AS103" s="6">
        <f t="shared" si="109"/>
        <v>0</v>
      </c>
      <c r="AT103" s="6">
        <f t="shared" si="109"/>
        <v>0</v>
      </c>
      <c r="AU103" s="6">
        <f t="shared" si="109"/>
        <v>0</v>
      </c>
      <c r="AV103" s="6">
        <f t="shared" si="109"/>
        <v>0</v>
      </c>
      <c r="AW103" s="6">
        <f t="shared" si="109"/>
        <v>0</v>
      </c>
      <c r="AX103" s="6">
        <f t="shared" si="109"/>
        <v>0</v>
      </c>
      <c r="AY103" s="6">
        <f t="shared" si="109"/>
        <v>0</v>
      </c>
      <c r="AZ103" s="6">
        <f t="shared" si="109"/>
        <v>26.921122576610379</v>
      </c>
      <c r="BA103" s="6">
        <f t="shared" si="109"/>
        <v>0</v>
      </c>
      <c r="BB103" s="6">
        <f t="shared" si="109"/>
        <v>0</v>
      </c>
      <c r="BC103" s="6">
        <f t="shared" si="110"/>
        <v>40.013289555972491</v>
      </c>
      <c r="BD103" s="6">
        <f t="shared" si="110"/>
        <v>0</v>
      </c>
      <c r="BE103" s="6">
        <f t="shared" si="110"/>
        <v>0</v>
      </c>
      <c r="BF103" s="6">
        <f t="shared" si="110"/>
        <v>0</v>
      </c>
      <c r="BG103" s="6">
        <f t="shared" si="110"/>
        <v>0</v>
      </c>
      <c r="BH103" s="6">
        <f t="shared" si="110"/>
        <v>0</v>
      </c>
      <c r="BI103" s="6">
        <f t="shared" si="110"/>
        <v>0</v>
      </c>
      <c r="BJ103" s="6">
        <f t="shared" si="110"/>
        <v>0</v>
      </c>
      <c r="BK103" s="6">
        <f t="shared" si="110"/>
        <v>11.71875</v>
      </c>
      <c r="BL103" s="6">
        <f t="shared" si="110"/>
        <v>0</v>
      </c>
      <c r="BM103" s="6">
        <f t="shared" si="111"/>
        <v>0</v>
      </c>
      <c r="BN103" s="6">
        <f t="shared" si="111"/>
        <v>0</v>
      </c>
      <c r="BO103" s="6">
        <f t="shared" si="111"/>
        <v>0</v>
      </c>
      <c r="BP103" s="6">
        <f t="shared" si="111"/>
        <v>0</v>
      </c>
      <c r="BQ103" s="6">
        <f t="shared" si="111"/>
        <v>0</v>
      </c>
      <c r="BR103" s="6">
        <f t="shared" si="111"/>
        <v>0</v>
      </c>
      <c r="BS103" s="6">
        <f t="shared" si="111"/>
        <v>0</v>
      </c>
      <c r="BT103" s="6">
        <f t="shared" si="111"/>
        <v>0</v>
      </c>
      <c r="BU103" s="6">
        <f t="shared" si="111"/>
        <v>0</v>
      </c>
      <c r="BV103" s="6">
        <f t="shared" si="111"/>
        <v>0</v>
      </c>
      <c r="BW103" s="6">
        <f t="shared" si="112"/>
        <v>0</v>
      </c>
      <c r="BX103" s="6">
        <f t="shared" si="112"/>
        <v>0</v>
      </c>
      <c r="BY103" s="6">
        <f t="shared" si="112"/>
        <v>0</v>
      </c>
      <c r="BZ103" s="6">
        <f t="shared" si="112"/>
        <v>0</v>
      </c>
      <c r="CA103" s="6">
        <f t="shared" si="112"/>
        <v>0</v>
      </c>
      <c r="CB103" s="6">
        <f t="shared" si="112"/>
        <v>0</v>
      </c>
      <c r="CC103" s="6">
        <f t="shared" si="112"/>
        <v>17.949740725967292</v>
      </c>
      <c r="CD103" s="6">
        <f t="shared" si="112"/>
        <v>0</v>
      </c>
      <c r="CE103" s="6">
        <f t="shared" si="112"/>
        <v>0</v>
      </c>
      <c r="CF103" s="6">
        <f t="shared" si="112"/>
        <v>47.865975269246107</v>
      </c>
      <c r="CG103" s="6">
        <f t="shared" si="113"/>
        <v>0</v>
      </c>
      <c r="CH103" s="6">
        <f t="shared" si="113"/>
        <v>4.786597526924611</v>
      </c>
      <c r="CI103" s="6">
        <f t="shared" si="113"/>
        <v>0</v>
      </c>
      <c r="CJ103" s="6">
        <f t="shared" si="113"/>
        <v>63.023534104507377</v>
      </c>
      <c r="CK103" s="6">
        <f t="shared" si="113"/>
        <v>66.642399975733298</v>
      </c>
      <c r="CL103" s="6">
        <f t="shared" si="113"/>
        <v>57.967057967057961</v>
      </c>
      <c r="CM103" s="6">
        <f t="shared" si="113"/>
        <v>57.572724239390908</v>
      </c>
      <c r="CN103" s="6">
        <f t="shared" si="113"/>
        <v>53.235053235053229</v>
      </c>
      <c r="CO103" s="6">
        <f t="shared" si="113"/>
        <v>25.631692298358963</v>
      </c>
      <c r="CP103" s="6">
        <f t="shared" si="113"/>
        <v>0</v>
      </c>
      <c r="CQ103" s="6">
        <f t="shared" si="114"/>
        <v>0</v>
      </c>
      <c r="CR103" s="6">
        <f t="shared" si="114"/>
        <v>0</v>
      </c>
      <c r="CS103" s="6">
        <f t="shared" si="114"/>
        <v>0</v>
      </c>
      <c r="CT103" s="6">
        <f t="shared" si="114"/>
        <v>0</v>
      </c>
      <c r="CU103" s="6">
        <f t="shared" si="114"/>
        <v>0</v>
      </c>
      <c r="CV103" s="6">
        <f t="shared" si="114"/>
        <v>0</v>
      </c>
      <c r="CW103" s="6">
        <f t="shared" si="114"/>
        <v>0</v>
      </c>
      <c r="CX103" s="6">
        <f t="shared" si="114"/>
        <v>0</v>
      </c>
      <c r="CY103" s="6">
        <f t="shared" si="114"/>
        <v>0</v>
      </c>
      <c r="CZ103" s="6">
        <f t="shared" si="114"/>
        <v>0</v>
      </c>
      <c r="DA103" s="198"/>
      <c r="DB103" s="63"/>
      <c r="DC103" s="28">
        <f>SUM($E103:CY103)</f>
        <v>892.32404642423899</v>
      </c>
      <c r="DD103" s="154"/>
      <c r="DE103" s="155"/>
      <c r="DI103" s="4"/>
      <c r="EI103" s="176"/>
      <c r="EJ103" s="176"/>
      <c r="EK103" s="176"/>
      <c r="EL103" s="176"/>
      <c r="EM103" s="176"/>
      <c r="EN103" s="176"/>
      <c r="EO103" s="176"/>
      <c r="EP103" s="176"/>
      <c r="EQ103" s="176"/>
      <c r="ES103" s="230"/>
      <c r="ET103" s="231"/>
    </row>
    <row r="104" spans="1:162" outlineLevel="1">
      <c r="B104" t="s">
        <v>558</v>
      </c>
      <c r="C104" s="2" t="s">
        <v>558</v>
      </c>
      <c r="D104" s="6">
        <v>0</v>
      </c>
      <c r="E104" s="6">
        <f t="shared" si="105"/>
        <v>0</v>
      </c>
      <c r="F104" s="6">
        <f t="shared" si="105"/>
        <v>2334.6303501945526</v>
      </c>
      <c r="G104" s="6">
        <f t="shared" si="105"/>
        <v>0</v>
      </c>
      <c r="H104" s="6">
        <f t="shared" si="105"/>
        <v>0</v>
      </c>
      <c r="I104" s="6">
        <f t="shared" si="105"/>
        <v>0</v>
      </c>
      <c r="J104" s="6">
        <f t="shared" si="105"/>
        <v>0</v>
      </c>
      <c r="K104" s="6">
        <f t="shared" si="105"/>
        <v>0</v>
      </c>
      <c r="L104" s="6">
        <f t="shared" si="105"/>
        <v>0</v>
      </c>
      <c r="M104" s="6">
        <f t="shared" si="105"/>
        <v>0</v>
      </c>
      <c r="N104" s="6">
        <f t="shared" si="105"/>
        <v>0</v>
      </c>
      <c r="O104" s="6">
        <f t="shared" si="106"/>
        <v>0</v>
      </c>
      <c r="P104" s="6">
        <f t="shared" si="106"/>
        <v>0</v>
      </c>
      <c r="Q104" s="6">
        <f t="shared" si="106"/>
        <v>466.9260700389105</v>
      </c>
      <c r="R104" s="6">
        <f t="shared" si="106"/>
        <v>0</v>
      </c>
      <c r="S104" s="6">
        <f t="shared" si="106"/>
        <v>0</v>
      </c>
      <c r="T104" s="6">
        <f t="shared" si="106"/>
        <v>0</v>
      </c>
      <c r="U104" s="6">
        <f t="shared" si="106"/>
        <v>0</v>
      </c>
      <c r="V104" s="6">
        <f t="shared" si="106"/>
        <v>0</v>
      </c>
      <c r="W104" s="6">
        <f t="shared" si="106"/>
        <v>0</v>
      </c>
      <c r="X104" s="6">
        <f t="shared" si="106"/>
        <v>0</v>
      </c>
      <c r="Y104" s="6">
        <f t="shared" si="107"/>
        <v>0</v>
      </c>
      <c r="Z104" s="6">
        <f t="shared" si="107"/>
        <v>0</v>
      </c>
      <c r="AA104" s="6">
        <f t="shared" si="107"/>
        <v>0</v>
      </c>
      <c r="AB104" s="6">
        <f t="shared" si="107"/>
        <v>0</v>
      </c>
      <c r="AC104" s="6">
        <f t="shared" si="107"/>
        <v>0</v>
      </c>
      <c r="AD104" s="6">
        <f t="shared" si="107"/>
        <v>0</v>
      </c>
      <c r="AE104" s="6">
        <f t="shared" si="107"/>
        <v>0</v>
      </c>
      <c r="AF104" s="6">
        <f t="shared" si="107"/>
        <v>0</v>
      </c>
      <c r="AG104" s="6">
        <f t="shared" si="107"/>
        <v>0</v>
      </c>
      <c r="AH104" s="6">
        <f t="shared" si="107"/>
        <v>0</v>
      </c>
      <c r="AI104" s="6">
        <f t="shared" si="108"/>
        <v>0</v>
      </c>
      <c r="AJ104" s="6">
        <f t="shared" si="108"/>
        <v>0</v>
      </c>
      <c r="AK104" s="6">
        <f t="shared" si="108"/>
        <v>0</v>
      </c>
      <c r="AL104" s="6">
        <f t="shared" si="108"/>
        <v>0</v>
      </c>
      <c r="AM104" s="6">
        <f t="shared" si="108"/>
        <v>0</v>
      </c>
      <c r="AN104" s="6">
        <f t="shared" si="108"/>
        <v>0</v>
      </c>
      <c r="AO104" s="6">
        <f t="shared" si="108"/>
        <v>0</v>
      </c>
      <c r="AP104" s="6">
        <f t="shared" si="108"/>
        <v>0</v>
      </c>
      <c r="AQ104" s="6">
        <f t="shared" si="108"/>
        <v>0</v>
      </c>
      <c r="AR104" s="6">
        <f t="shared" si="108"/>
        <v>0</v>
      </c>
      <c r="AS104" s="6">
        <f t="shared" si="109"/>
        <v>0</v>
      </c>
      <c r="AT104" s="6">
        <f t="shared" si="109"/>
        <v>0</v>
      </c>
      <c r="AU104" s="6">
        <f t="shared" si="109"/>
        <v>0</v>
      </c>
      <c r="AV104" s="6">
        <f t="shared" si="109"/>
        <v>0</v>
      </c>
      <c r="AW104" s="6">
        <f t="shared" si="109"/>
        <v>0</v>
      </c>
      <c r="AX104" s="6">
        <f t="shared" si="109"/>
        <v>408.29346092503988</v>
      </c>
      <c r="AY104" s="6">
        <f t="shared" si="109"/>
        <v>0</v>
      </c>
      <c r="AZ104" s="6">
        <f t="shared" si="109"/>
        <v>0</v>
      </c>
      <c r="BA104" s="6">
        <f t="shared" si="109"/>
        <v>0</v>
      </c>
      <c r="BB104" s="6">
        <f t="shared" si="109"/>
        <v>0</v>
      </c>
      <c r="BC104" s="6">
        <f t="shared" si="110"/>
        <v>0</v>
      </c>
      <c r="BD104" s="6">
        <f t="shared" si="110"/>
        <v>0</v>
      </c>
      <c r="BE104" s="6">
        <f t="shared" si="110"/>
        <v>0</v>
      </c>
      <c r="BF104" s="6">
        <f t="shared" si="110"/>
        <v>0</v>
      </c>
      <c r="BG104" s="6">
        <f t="shared" si="110"/>
        <v>0</v>
      </c>
      <c r="BH104" s="6">
        <f t="shared" si="110"/>
        <v>0</v>
      </c>
      <c r="BI104" s="6">
        <f t="shared" si="110"/>
        <v>0</v>
      </c>
      <c r="BJ104" s="6">
        <f t="shared" si="110"/>
        <v>0</v>
      </c>
      <c r="BK104" s="6">
        <f t="shared" si="110"/>
        <v>0</v>
      </c>
      <c r="BL104" s="6">
        <f t="shared" si="110"/>
        <v>0</v>
      </c>
      <c r="BM104" s="6">
        <f t="shared" si="111"/>
        <v>0</v>
      </c>
      <c r="BN104" s="6">
        <f t="shared" si="111"/>
        <v>0</v>
      </c>
      <c r="BO104" s="6">
        <f t="shared" si="111"/>
        <v>0</v>
      </c>
      <c r="BP104" s="6">
        <f t="shared" si="111"/>
        <v>0</v>
      </c>
      <c r="BQ104" s="6">
        <f t="shared" si="111"/>
        <v>0</v>
      </c>
      <c r="BR104" s="6">
        <f t="shared" si="111"/>
        <v>0</v>
      </c>
      <c r="BS104" s="6">
        <f t="shared" si="111"/>
        <v>0</v>
      </c>
      <c r="BT104" s="6">
        <f t="shared" si="111"/>
        <v>0</v>
      </c>
      <c r="BU104" s="6">
        <f t="shared" si="111"/>
        <v>0</v>
      </c>
      <c r="BV104" s="6">
        <f t="shared" si="111"/>
        <v>0</v>
      </c>
      <c r="BW104" s="6">
        <f t="shared" si="112"/>
        <v>0</v>
      </c>
      <c r="BX104" s="6">
        <f t="shared" si="112"/>
        <v>0</v>
      </c>
      <c r="BY104" s="6">
        <f t="shared" si="112"/>
        <v>0</v>
      </c>
      <c r="BZ104" s="6">
        <f t="shared" si="112"/>
        <v>0</v>
      </c>
      <c r="CA104" s="6">
        <f t="shared" si="112"/>
        <v>0</v>
      </c>
      <c r="CB104" s="6">
        <f t="shared" si="112"/>
        <v>0</v>
      </c>
      <c r="CC104" s="6">
        <f t="shared" si="112"/>
        <v>457.91783007578778</v>
      </c>
      <c r="CD104" s="6">
        <f t="shared" si="112"/>
        <v>0</v>
      </c>
      <c r="CE104" s="6">
        <f t="shared" si="112"/>
        <v>0</v>
      </c>
      <c r="CF104" s="6">
        <f t="shared" si="112"/>
        <v>0</v>
      </c>
      <c r="CG104" s="6">
        <f t="shared" si="113"/>
        <v>0</v>
      </c>
      <c r="CH104" s="6">
        <f t="shared" si="113"/>
        <v>0</v>
      </c>
      <c r="CI104" s="6">
        <f t="shared" si="113"/>
        <v>0</v>
      </c>
      <c r="CJ104" s="6">
        <f t="shared" si="113"/>
        <v>0</v>
      </c>
      <c r="CK104" s="6">
        <f t="shared" si="113"/>
        <v>0</v>
      </c>
      <c r="CL104" s="6">
        <f t="shared" si="113"/>
        <v>0</v>
      </c>
      <c r="CM104" s="6">
        <f t="shared" si="113"/>
        <v>0</v>
      </c>
      <c r="CN104" s="6">
        <f t="shared" si="113"/>
        <v>0</v>
      </c>
      <c r="CO104" s="6">
        <f t="shared" si="113"/>
        <v>3719.9840446749104</v>
      </c>
      <c r="CP104" s="6">
        <f t="shared" si="113"/>
        <v>0</v>
      </c>
      <c r="CQ104" s="6">
        <f t="shared" si="114"/>
        <v>0</v>
      </c>
      <c r="CR104" s="6">
        <f t="shared" si="114"/>
        <v>0</v>
      </c>
      <c r="CS104" s="6">
        <f t="shared" si="114"/>
        <v>0</v>
      </c>
      <c r="CT104" s="6">
        <f t="shared" si="114"/>
        <v>0</v>
      </c>
      <c r="CU104" s="6">
        <f t="shared" si="114"/>
        <v>0</v>
      </c>
      <c r="CV104" s="6">
        <f t="shared" si="114"/>
        <v>0</v>
      </c>
      <c r="CW104" s="6">
        <f t="shared" si="114"/>
        <v>0</v>
      </c>
      <c r="CX104" s="6">
        <f t="shared" si="114"/>
        <v>0</v>
      </c>
      <c r="CY104" s="6">
        <f t="shared" si="114"/>
        <v>0</v>
      </c>
      <c r="CZ104" s="6">
        <f t="shared" si="114"/>
        <v>0</v>
      </c>
      <c r="DA104" s="198">
        <f>SUMIF($B$72:$B$87,$C104,DA$72:DA$87)</f>
        <v>0</v>
      </c>
      <c r="DB104" s="63">
        <f>SUMIF($B$72:$B$87,$C104,DB$72:DB$87)</f>
        <v>0</v>
      </c>
      <c r="DC104" s="28">
        <f>SUM($E104:CY104)</f>
        <v>7387.7517559092012</v>
      </c>
      <c r="DD104" s="154"/>
      <c r="DE104" s="155"/>
      <c r="DI104" s="4"/>
      <c r="EI104" t="s">
        <v>24</v>
      </c>
      <c r="EJ104" s="6">
        <f ca="1">SUM((INDIRECT(EJ$9&amp;ROW()):(INDIRECT(EJ$10&amp;ROW()))))+SUM((INDIRECT(EJ$9&amp;ROW()-1):(INDIRECT(EJ$10&amp;ROW()-1))))</f>
        <v>3136.5058365758755</v>
      </c>
      <c r="EK104" s="6">
        <f ca="1">SUM((INDIRECT(EK$9&amp;ROW()):(INDIRECT(EK$10&amp;ROW()))))+SUM((INDIRECT(EK$9&amp;ROW()-1):(INDIRECT(EK$10&amp;ROW()-1))))</f>
        <v>84.046692607003891</v>
      </c>
      <c r="EL104" s="6">
        <f ca="1">SUM((INDIRECT(EL$9&amp;ROW()):(INDIRECT(EL$10&amp;ROW()))))+SUM((INDIRECT(EL$9&amp;ROW()-1):(INDIRECT(EL$10&amp;ROW()-1))))</f>
        <v>486.94662305762279</v>
      </c>
      <c r="EM104" s="6">
        <f ca="1">SUM((INDIRECT(EM$9&amp;ROW()):(INDIRECT(EM$10&amp;ROW()))))+SUM((INDIRECT(EM$9&amp;ROW()-1):(INDIRECT(EM$10&amp;ROW()-1))))</f>
        <v>4572.5766500929376</v>
      </c>
      <c r="EN104" s="6" t="e">
        <f ca="1">SUM((INDIRECT(EN$9&amp;ROW()):(INDIRECT(EN$10&amp;ROW()))))</f>
        <v>#REF!</v>
      </c>
      <c r="EO104" s="6" t="e">
        <f ca="1">SUM((INDIRECT(EO$9&amp;ROW()):(INDIRECT(EO$10&amp;ROW()))))</f>
        <v>#REF!</v>
      </c>
      <c r="EP104" s="6" t="e">
        <f ca="1">SUM((INDIRECT(EP$9&amp;ROW()):(INDIRECT(EP$10&amp;ROW()))))</f>
        <v>#REF!</v>
      </c>
      <c r="EQ104" s="6" t="e">
        <f ca="1">SUM((INDIRECT(EQ$9&amp;ROW()):(INDIRECT(EQ$10&amp;ROW()))))</f>
        <v>#REF!</v>
      </c>
      <c r="ES104" s="6">
        <f ca="1">SUM(EJ104:EM104)</f>
        <v>8280.0758023334402</v>
      </c>
      <c r="ET104" s="6">
        <f ca="1">ES104/$ES$98</f>
        <v>95.173285084292417</v>
      </c>
    </row>
    <row r="105" spans="1:162" outlineLevel="1">
      <c r="C105" s="9" t="s">
        <v>14</v>
      </c>
      <c r="D105" s="28">
        <v>0</v>
      </c>
      <c r="E105" s="28">
        <f t="shared" ref="E105:BP105" si="117">SUM(E99:E104)</f>
        <v>1240.55</v>
      </c>
      <c r="F105" s="28">
        <f t="shared" si="117"/>
        <v>2445.4863813229572</v>
      </c>
      <c r="G105" s="28">
        <f t="shared" si="117"/>
        <v>44.163424124513625</v>
      </c>
      <c r="H105" s="28">
        <f t="shared" si="117"/>
        <v>45.175097276264594</v>
      </c>
      <c r="I105" s="28">
        <f t="shared" si="117"/>
        <v>71.98443579766537</v>
      </c>
      <c r="J105" s="28">
        <f t="shared" si="117"/>
        <v>31.71206225680934</v>
      </c>
      <c r="K105" s="28">
        <f t="shared" si="117"/>
        <v>42.41245136186771</v>
      </c>
      <c r="L105" s="28">
        <f t="shared" si="117"/>
        <v>36.186770428015564</v>
      </c>
      <c r="M105" s="28">
        <f t="shared" si="117"/>
        <v>63.424124513618679</v>
      </c>
      <c r="N105" s="28">
        <f t="shared" si="117"/>
        <v>75.252918287937746</v>
      </c>
      <c r="O105" s="28">
        <f t="shared" si="117"/>
        <v>38.910505836575879</v>
      </c>
      <c r="P105" s="28">
        <f t="shared" si="117"/>
        <v>30.933852140077825</v>
      </c>
      <c r="Q105" s="28">
        <f t="shared" si="117"/>
        <v>588.91050583657591</v>
      </c>
      <c r="R105" s="28">
        <f t="shared" si="117"/>
        <v>54.085603112840467</v>
      </c>
      <c r="S105" s="28">
        <f t="shared" si="117"/>
        <v>39.299610894941637</v>
      </c>
      <c r="T105" s="28">
        <f t="shared" si="117"/>
        <v>501.59035019455257</v>
      </c>
      <c r="U105" s="28">
        <f t="shared" si="117"/>
        <v>336.21762645914396</v>
      </c>
      <c r="V105" s="28">
        <f t="shared" si="117"/>
        <v>329.06482517482516</v>
      </c>
      <c r="W105" s="28">
        <f t="shared" si="117"/>
        <v>28.783774319066147</v>
      </c>
      <c r="X105" s="28">
        <f t="shared" si="117"/>
        <v>35.214007782101163</v>
      </c>
      <c r="Y105" s="28">
        <f t="shared" si="117"/>
        <v>33.657587548638134</v>
      </c>
      <c r="Z105" s="28">
        <f t="shared" si="117"/>
        <v>120.27237354085602</v>
      </c>
      <c r="AA105" s="28">
        <f t="shared" si="117"/>
        <v>45.252918287937746</v>
      </c>
      <c r="AB105" s="28">
        <f t="shared" si="117"/>
        <v>45.252918287937746</v>
      </c>
      <c r="AC105" s="28">
        <f t="shared" si="117"/>
        <v>29.14396887159533</v>
      </c>
      <c r="AD105" s="28">
        <f t="shared" si="117"/>
        <v>41.556420233463037</v>
      </c>
      <c r="AE105" s="28">
        <f t="shared" si="117"/>
        <v>216.84824902723736</v>
      </c>
      <c r="AF105" s="28">
        <f t="shared" si="117"/>
        <v>86.303501945525298</v>
      </c>
      <c r="AG105" s="28">
        <f t="shared" si="117"/>
        <v>107.97665369649806</v>
      </c>
      <c r="AH105" s="28">
        <f t="shared" si="117"/>
        <v>22.490272373540854</v>
      </c>
      <c r="AI105" s="28">
        <f t="shared" si="117"/>
        <v>43.112840466926066</v>
      </c>
      <c r="AJ105" s="28">
        <f t="shared" si="117"/>
        <v>126.53696498054475</v>
      </c>
      <c r="AK105" s="28">
        <f t="shared" si="117"/>
        <v>25.438596491228072</v>
      </c>
      <c r="AL105" s="28">
        <f t="shared" si="117"/>
        <v>46.172248803827756</v>
      </c>
      <c r="AM105" s="28">
        <f t="shared" si="117"/>
        <v>28.947368421052634</v>
      </c>
      <c r="AN105" s="28">
        <f t="shared" si="117"/>
        <v>23.883572567783094</v>
      </c>
      <c r="AO105" s="28">
        <f t="shared" si="117"/>
        <v>26.27591706539075</v>
      </c>
      <c r="AP105" s="28">
        <f t="shared" si="117"/>
        <v>29.425837320574164</v>
      </c>
      <c r="AQ105" s="28">
        <f t="shared" si="117"/>
        <v>63.91547049441786</v>
      </c>
      <c r="AR105" s="28">
        <f t="shared" si="117"/>
        <v>28.429027113237641</v>
      </c>
      <c r="AS105" s="28">
        <f t="shared" si="117"/>
        <v>28.229665071770334</v>
      </c>
      <c r="AT105" s="28">
        <f t="shared" si="117"/>
        <v>34.609250398724086</v>
      </c>
      <c r="AU105" s="28">
        <f t="shared" si="117"/>
        <v>25.837320574162682</v>
      </c>
      <c r="AV105" s="28">
        <f t="shared" si="117"/>
        <v>22.049441786283893</v>
      </c>
      <c r="AW105" s="28">
        <f t="shared" si="117"/>
        <v>31.81818181818182</v>
      </c>
      <c r="AX105" s="28">
        <f t="shared" si="117"/>
        <v>641.4673046251994</v>
      </c>
      <c r="AY105" s="28">
        <f t="shared" si="117"/>
        <v>121.09851156973107</v>
      </c>
      <c r="AZ105" s="28">
        <f t="shared" si="117"/>
        <v>85.773370856785476</v>
      </c>
      <c r="BA105" s="28">
        <f t="shared" si="117"/>
        <v>60.797526383677294</v>
      </c>
      <c r="BB105" s="28">
        <f t="shared" si="117"/>
        <v>67.678795927141962</v>
      </c>
      <c r="BC105" s="28">
        <f t="shared" si="117"/>
        <v>206.22411018605379</v>
      </c>
      <c r="BD105" s="28">
        <f t="shared" si="117"/>
        <v>105.27745602720449</v>
      </c>
      <c r="BE105" s="28">
        <f t="shared" si="117"/>
        <v>37.03125</v>
      </c>
      <c r="BF105" s="28">
        <f t="shared" si="117"/>
        <v>36.25</v>
      </c>
      <c r="BG105" s="28">
        <f t="shared" si="117"/>
        <v>23.8671875</v>
      </c>
      <c r="BH105" s="28">
        <f t="shared" si="117"/>
        <v>33.515625</v>
      </c>
      <c r="BI105" s="28">
        <f t="shared" si="117"/>
        <v>-1.953125</v>
      </c>
      <c r="BJ105" s="28">
        <f t="shared" si="117"/>
        <v>79.8046875</v>
      </c>
      <c r="BK105" s="28">
        <f t="shared" si="117"/>
        <v>66.6015625</v>
      </c>
      <c r="BL105" s="28">
        <f t="shared" si="117"/>
        <v>30.1953125</v>
      </c>
      <c r="BM105" s="28">
        <f t="shared" si="117"/>
        <v>22.058236936577583</v>
      </c>
      <c r="BN105" s="28">
        <f t="shared" si="117"/>
        <v>49.102512963701628</v>
      </c>
      <c r="BO105" s="28">
        <f t="shared" si="117"/>
        <v>68.328679696848823</v>
      </c>
      <c r="BP105" s="28">
        <f t="shared" si="117"/>
        <v>38.811328280813719</v>
      </c>
      <c r="BQ105" s="28">
        <f t="shared" ref="BQ105:CZ105" si="118">SUM(BQ99:BQ104)</f>
        <v>49.581172716394093</v>
      </c>
      <c r="BR105" s="28">
        <f t="shared" si="118"/>
        <v>27.642600717989627</v>
      </c>
      <c r="BS105" s="28">
        <f t="shared" si="118"/>
        <v>22.4571200638213</v>
      </c>
      <c r="BT105" s="28">
        <f t="shared" si="118"/>
        <v>49.38173115277224</v>
      </c>
      <c r="BU105" s="28">
        <f t="shared" si="118"/>
        <v>32.149980055843642</v>
      </c>
      <c r="BV105" s="28">
        <f t="shared" si="118"/>
        <v>23.055444754686874</v>
      </c>
      <c r="BW105" s="28">
        <f t="shared" si="118"/>
        <v>20.462704427602713</v>
      </c>
      <c r="BX105" s="28">
        <f t="shared" si="118"/>
        <v>-8.6557638611886745</v>
      </c>
      <c r="BY105" s="28">
        <f t="shared" si="118"/>
        <v>57.638611886717193</v>
      </c>
      <c r="BZ105" s="28">
        <f t="shared" si="118"/>
        <v>61.148783406461909</v>
      </c>
      <c r="CA105" s="28">
        <f t="shared" si="118"/>
        <v>38.213003589948144</v>
      </c>
      <c r="CB105" s="28">
        <f t="shared" si="118"/>
        <v>33.226964499401674</v>
      </c>
      <c r="CC105" s="28">
        <f t="shared" si="118"/>
        <v>502.11408057439166</v>
      </c>
      <c r="CD105" s="28">
        <f t="shared" si="118"/>
        <v>155.88352612684483</v>
      </c>
      <c r="CE105" s="28">
        <f t="shared" si="118"/>
        <v>69.126445951336251</v>
      </c>
      <c r="CF105" s="28">
        <f t="shared" si="118"/>
        <v>90.86557638611886</v>
      </c>
      <c r="CG105" s="28">
        <f t="shared" si="118"/>
        <v>27.642600717989627</v>
      </c>
      <c r="CH105" s="28">
        <f t="shared" si="118"/>
        <v>53.570003988831267</v>
      </c>
      <c r="CI105" s="28">
        <f t="shared" si="118"/>
        <v>28.839250099720779</v>
      </c>
      <c r="CJ105" s="28">
        <f t="shared" si="118"/>
        <v>144.51535700039886</v>
      </c>
      <c r="CK105" s="28">
        <f t="shared" si="118"/>
        <v>112.99261936145328</v>
      </c>
      <c r="CL105" s="28">
        <f t="shared" si="118"/>
        <v>83.615243048829001</v>
      </c>
      <c r="CM105" s="28">
        <f t="shared" si="118"/>
        <v>105.87747094860511</v>
      </c>
      <c r="CN105" s="28">
        <f t="shared" si="118"/>
        <v>107.14723498927727</v>
      </c>
      <c r="CO105" s="28">
        <f t="shared" si="118"/>
        <v>3940.5574725346032</v>
      </c>
      <c r="CP105" s="28">
        <f t="shared" si="118"/>
        <v>0</v>
      </c>
      <c r="CQ105" s="28">
        <f t="shared" si="118"/>
        <v>0</v>
      </c>
      <c r="CR105" s="28">
        <f t="shared" si="118"/>
        <v>0</v>
      </c>
      <c r="CS105" s="28">
        <f t="shared" si="118"/>
        <v>0</v>
      </c>
      <c r="CT105" s="28">
        <f t="shared" si="118"/>
        <v>0</v>
      </c>
      <c r="CU105" s="28">
        <f t="shared" si="118"/>
        <v>0</v>
      </c>
      <c r="CV105" s="28">
        <f t="shared" si="118"/>
        <v>0</v>
      </c>
      <c r="CW105" s="28">
        <f t="shared" si="118"/>
        <v>0</v>
      </c>
      <c r="CX105" s="28">
        <f t="shared" si="118"/>
        <v>0</v>
      </c>
      <c r="CY105" s="28">
        <f t="shared" si="118"/>
        <v>0</v>
      </c>
      <c r="CZ105" s="28">
        <f t="shared" si="118"/>
        <v>0</v>
      </c>
      <c r="DA105" s="200">
        <f>SUM(DA99:DA104)</f>
        <v>0</v>
      </c>
      <c r="DB105" s="184">
        <f>SUM(DB99:DB104)</f>
        <v>0</v>
      </c>
      <c r="DC105" s="28">
        <f>SUM($E105:CY105)</f>
        <v>15013.774462900272</v>
      </c>
      <c r="DD105" s="154"/>
      <c r="DE105" s="155"/>
      <c r="DI105" s="4"/>
      <c r="EI105" s="9" t="s">
        <v>14</v>
      </c>
      <c r="EJ105" s="28">
        <f ca="1">SUM((INDIRECT(EJ$9&amp;ROW()):(INDIRECT(EJ$10&amp;ROW()))))</f>
        <v>4848.4877431906616</v>
      </c>
      <c r="EK105" s="28">
        <f ca="1">SUM((INDIRECT(EK$9&amp;ROW()):(INDIRECT(EK$10&amp;ROW()))))</f>
        <v>2564.3071511170247</v>
      </c>
      <c r="EL105" s="28">
        <f ca="1">SUM((INDIRECT(EL$9&amp;ROW()):(INDIRECT(EL$10&amp;ROW()))))</f>
        <v>2178.2326868641862</v>
      </c>
      <c r="EM105" s="28">
        <f ca="1">SUM((INDIRECT(EM$9&amp;ROW()):(INDIRECT(EM$10&amp;ROW()))))</f>
        <v>5422.7468817283998</v>
      </c>
      <c r="EN105" s="28" t="e">
        <f ca="1">SUM((INDIRECT(EN$9&amp;ROW()):(INDIRECT(EN$10&amp;ROW()))))</f>
        <v>#REF!</v>
      </c>
      <c r="EO105" s="28" t="e">
        <f ca="1">SUM((INDIRECT(EO$9&amp;ROW()):(INDIRECT(EO$10&amp;ROW()))))</f>
        <v>#REF!</v>
      </c>
      <c r="EP105" s="28" t="e">
        <f ca="1">SUM((INDIRECT(EP$9&amp;ROW()):(INDIRECT(EP$10&amp;ROW()))))</f>
        <v>#REF!</v>
      </c>
      <c r="EQ105" s="28" t="e">
        <f ca="1">SUM((INDIRECT(EQ$9&amp;ROW()):(INDIRECT(EQ$10&amp;ROW()))))</f>
        <v>#REF!</v>
      </c>
      <c r="ES105" s="6">
        <f ca="1">SUM(EJ105:EM105)</f>
        <v>15013.774462900274</v>
      </c>
      <c r="ET105" s="6">
        <f ca="1">ES105/$ES$98</f>
        <v>172.57212026322154</v>
      </c>
    </row>
    <row r="106" spans="1:162" outlineLevel="1">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198"/>
      <c r="DB106" s="63"/>
      <c r="DC106" s="153">
        <f>SUM(E106:DB106)</f>
        <v>0</v>
      </c>
      <c r="DD106" s="154"/>
      <c r="DE106" s="156"/>
      <c r="DI106" s="4"/>
      <c r="EI106" s="176" t="s">
        <v>14</v>
      </c>
      <c r="EJ106" s="211">
        <f t="shared" ref="EJ106:EP106" ca="1" si="119">EJ105/EJ$98</f>
        <v>346.32055308504727</v>
      </c>
      <c r="EK106" s="176">
        <f t="shared" ca="1" si="119"/>
        <v>85.476905037234161</v>
      </c>
      <c r="EL106" s="176">
        <f t="shared" ca="1" si="119"/>
        <v>70.26557054400601</v>
      </c>
      <c r="EM106" s="176">
        <f t="shared" ca="1" si="119"/>
        <v>451.89557347736667</v>
      </c>
      <c r="EN106" s="176" t="e">
        <f t="shared" ca="1" si="119"/>
        <v>#REF!</v>
      </c>
      <c r="EO106" s="176" t="e">
        <f t="shared" ca="1" si="119"/>
        <v>#REF!</v>
      </c>
      <c r="EP106" s="176" t="e">
        <f t="shared" ca="1" si="119"/>
        <v>#REF!</v>
      </c>
      <c r="EQ106" s="176" t="e">
        <f ca="1">EQ105/EQ$98</f>
        <v>#REF!</v>
      </c>
      <c r="ES106" s="230">
        <f ca="1">ES105/ES$98</f>
        <v>172.57212026322154</v>
      </c>
      <c r="ET106" s="231">
        <f ca="1">+ES106</f>
        <v>172.57212026322154</v>
      </c>
    </row>
    <row r="107" spans="1:162" outlineLevel="1">
      <c r="C107" t="s">
        <v>61</v>
      </c>
      <c r="D107" s="6"/>
      <c r="E107" s="6">
        <f>SUM(E99:E102)</f>
        <v>1014.55</v>
      </c>
      <c r="F107" s="6">
        <f t="shared" ref="F107:BQ107" si="120">SUM(F99:F102)</f>
        <v>110.85603112840468</v>
      </c>
      <c r="G107" s="6">
        <f t="shared" si="120"/>
        <v>44.163424124513625</v>
      </c>
      <c r="H107" s="6">
        <f t="shared" si="120"/>
        <v>45.175097276264594</v>
      </c>
      <c r="I107" s="6">
        <f t="shared" si="120"/>
        <v>40.856031128404666</v>
      </c>
      <c r="J107" s="6">
        <f t="shared" si="120"/>
        <v>31.71206225680934</v>
      </c>
      <c r="K107" s="6">
        <f t="shared" si="120"/>
        <v>42.41245136186771</v>
      </c>
      <c r="L107" s="6">
        <f t="shared" si="120"/>
        <v>36.186770428015564</v>
      </c>
      <c r="M107" s="6">
        <f t="shared" si="120"/>
        <v>63.424124513618679</v>
      </c>
      <c r="N107" s="6">
        <f t="shared" si="120"/>
        <v>75.252918287937746</v>
      </c>
      <c r="O107" s="6">
        <f t="shared" si="120"/>
        <v>38.910505836575879</v>
      </c>
      <c r="P107" s="6">
        <f t="shared" si="120"/>
        <v>30.933852140077825</v>
      </c>
      <c r="Q107" s="6">
        <f t="shared" si="120"/>
        <v>44.163424124513625</v>
      </c>
      <c r="R107" s="6">
        <f t="shared" si="120"/>
        <v>54.085603112840467</v>
      </c>
      <c r="S107" s="6">
        <f t="shared" si="120"/>
        <v>39.299610894941637</v>
      </c>
      <c r="T107" s="6">
        <f t="shared" si="120"/>
        <v>501.59035019455257</v>
      </c>
      <c r="U107" s="6">
        <f t="shared" si="120"/>
        <v>336.21762645914396</v>
      </c>
      <c r="V107" s="6">
        <f t="shared" si="120"/>
        <v>329.06482517482516</v>
      </c>
      <c r="W107" s="6">
        <f t="shared" si="120"/>
        <v>28.783774319066147</v>
      </c>
      <c r="X107" s="6">
        <f t="shared" si="120"/>
        <v>35.214007782101163</v>
      </c>
      <c r="Y107" s="6">
        <f t="shared" si="120"/>
        <v>33.657587548638134</v>
      </c>
      <c r="Z107" s="6">
        <f t="shared" si="120"/>
        <v>120.27237354085602</v>
      </c>
      <c r="AA107" s="6">
        <f t="shared" si="120"/>
        <v>45.252918287937746</v>
      </c>
      <c r="AB107" s="6">
        <f t="shared" si="120"/>
        <v>45.252918287937746</v>
      </c>
      <c r="AC107" s="6">
        <f t="shared" si="120"/>
        <v>29.14396887159533</v>
      </c>
      <c r="AD107" s="6">
        <f t="shared" si="120"/>
        <v>41.556420233463037</v>
      </c>
      <c r="AE107" s="6">
        <f t="shared" si="120"/>
        <v>216.84824902723736</v>
      </c>
      <c r="AF107" s="6">
        <f t="shared" si="120"/>
        <v>86.303501945525298</v>
      </c>
      <c r="AG107" s="6">
        <f t="shared" si="120"/>
        <v>107.97665369649806</v>
      </c>
      <c r="AH107" s="6">
        <f t="shared" si="120"/>
        <v>22.490272373540854</v>
      </c>
      <c r="AI107" s="6">
        <f t="shared" si="120"/>
        <v>43.112840466926066</v>
      </c>
      <c r="AJ107" s="6">
        <f t="shared" si="120"/>
        <v>42.490272373540854</v>
      </c>
      <c r="AK107" s="6">
        <f t="shared" si="120"/>
        <v>25.438596491228072</v>
      </c>
      <c r="AL107" s="6">
        <f t="shared" si="120"/>
        <v>46.172248803827756</v>
      </c>
      <c r="AM107" s="6">
        <f t="shared" si="120"/>
        <v>28.947368421052634</v>
      </c>
      <c r="AN107" s="6">
        <f t="shared" si="120"/>
        <v>23.883572567783094</v>
      </c>
      <c r="AO107" s="6">
        <f t="shared" si="120"/>
        <v>26.27591706539075</v>
      </c>
      <c r="AP107" s="6">
        <f t="shared" si="120"/>
        <v>29.425837320574164</v>
      </c>
      <c r="AQ107" s="6">
        <f t="shared" si="120"/>
        <v>63.91547049441786</v>
      </c>
      <c r="AR107" s="6">
        <f t="shared" si="120"/>
        <v>28.429027113237641</v>
      </c>
      <c r="AS107" s="6">
        <f t="shared" si="120"/>
        <v>28.229665071770334</v>
      </c>
      <c r="AT107" s="6">
        <f t="shared" si="120"/>
        <v>34.609250398724086</v>
      </c>
      <c r="AU107" s="6">
        <f t="shared" si="120"/>
        <v>25.837320574162682</v>
      </c>
      <c r="AV107" s="6">
        <f t="shared" si="120"/>
        <v>22.049441786283893</v>
      </c>
      <c r="AW107" s="6">
        <f t="shared" si="120"/>
        <v>31.81818181818182</v>
      </c>
      <c r="AX107" s="6">
        <f t="shared" si="120"/>
        <v>233.17384370015949</v>
      </c>
      <c r="AY107" s="6">
        <f t="shared" si="120"/>
        <v>121.09851156973107</v>
      </c>
      <c r="AZ107" s="6">
        <f t="shared" si="120"/>
        <v>58.852248280175104</v>
      </c>
      <c r="BA107" s="6">
        <f t="shared" si="120"/>
        <v>60.797526383677294</v>
      </c>
      <c r="BB107" s="6">
        <f t="shared" si="120"/>
        <v>67.678795927141962</v>
      </c>
      <c r="BC107" s="6">
        <f t="shared" si="120"/>
        <v>166.21082063008129</v>
      </c>
      <c r="BD107" s="6">
        <f t="shared" si="120"/>
        <v>105.27745602720449</v>
      </c>
      <c r="BE107" s="6">
        <f t="shared" si="120"/>
        <v>37.03125</v>
      </c>
      <c r="BF107" s="6">
        <f t="shared" si="120"/>
        <v>36.25</v>
      </c>
      <c r="BG107" s="6">
        <f t="shared" si="120"/>
        <v>23.8671875</v>
      </c>
      <c r="BH107" s="6">
        <f t="shared" si="120"/>
        <v>33.515625</v>
      </c>
      <c r="BI107" s="6">
        <f t="shared" si="120"/>
        <v>-1.953125</v>
      </c>
      <c r="BJ107" s="6">
        <f t="shared" si="120"/>
        <v>79.8046875</v>
      </c>
      <c r="BK107" s="6">
        <f t="shared" si="120"/>
        <v>54.8828125</v>
      </c>
      <c r="BL107" s="6">
        <f t="shared" si="120"/>
        <v>30.1953125</v>
      </c>
      <c r="BM107" s="6">
        <f t="shared" si="120"/>
        <v>22.058236936577583</v>
      </c>
      <c r="BN107" s="6">
        <f t="shared" si="120"/>
        <v>49.102512963701628</v>
      </c>
      <c r="BO107" s="6">
        <f t="shared" si="120"/>
        <v>68.328679696848823</v>
      </c>
      <c r="BP107" s="6">
        <f t="shared" si="120"/>
        <v>38.811328280813719</v>
      </c>
      <c r="BQ107" s="6">
        <f t="shared" si="120"/>
        <v>49.581172716394093</v>
      </c>
      <c r="BR107" s="6">
        <f t="shared" ref="BR107:CP107" si="121">SUM(BR99:BR102)</f>
        <v>27.642600717989627</v>
      </c>
      <c r="BS107" s="6">
        <f t="shared" si="121"/>
        <v>22.4571200638213</v>
      </c>
      <c r="BT107" s="6">
        <f t="shared" si="121"/>
        <v>49.38173115277224</v>
      </c>
      <c r="BU107" s="6">
        <f t="shared" si="121"/>
        <v>32.149980055843642</v>
      </c>
      <c r="BV107" s="6">
        <f t="shared" si="121"/>
        <v>23.055444754686874</v>
      </c>
      <c r="BW107" s="6">
        <f t="shared" si="121"/>
        <v>20.462704427602713</v>
      </c>
      <c r="BX107" s="6">
        <f t="shared" si="121"/>
        <v>-8.6557638611886745</v>
      </c>
      <c r="BY107" s="6">
        <f t="shared" si="121"/>
        <v>57.638611886717193</v>
      </c>
      <c r="BZ107" s="6">
        <f t="shared" si="121"/>
        <v>61.148783406461909</v>
      </c>
      <c r="CA107" s="6">
        <f t="shared" si="121"/>
        <v>38.213003589948144</v>
      </c>
      <c r="CB107" s="6">
        <f t="shared" si="121"/>
        <v>33.226964499401674</v>
      </c>
      <c r="CC107" s="6">
        <f t="shared" si="121"/>
        <v>26.246509772636614</v>
      </c>
      <c r="CD107" s="6">
        <f t="shared" si="121"/>
        <v>155.88352612684483</v>
      </c>
      <c r="CE107" s="6">
        <f t="shared" si="121"/>
        <v>69.126445951336251</v>
      </c>
      <c r="CF107" s="6">
        <f t="shared" si="121"/>
        <v>42.999601116872753</v>
      </c>
      <c r="CG107" s="6">
        <f t="shared" si="121"/>
        <v>27.642600717989627</v>
      </c>
      <c r="CH107" s="6">
        <f t="shared" si="121"/>
        <v>48.783406461906658</v>
      </c>
      <c r="CI107" s="6">
        <f t="shared" si="121"/>
        <v>28.839250099720779</v>
      </c>
      <c r="CJ107" s="6">
        <f t="shared" si="121"/>
        <v>81.491822895891502</v>
      </c>
      <c r="CK107" s="6">
        <f t="shared" si="121"/>
        <v>46.350219385719981</v>
      </c>
      <c r="CL107" s="6">
        <f t="shared" si="121"/>
        <v>25.64818508177104</v>
      </c>
      <c r="CM107" s="6">
        <f t="shared" si="121"/>
        <v>48.3047467092142</v>
      </c>
      <c r="CN107" s="6">
        <f t="shared" si="121"/>
        <v>53.912181754224036</v>
      </c>
      <c r="CO107" s="6">
        <f t="shared" si="121"/>
        <v>194.94173556133401</v>
      </c>
      <c r="CP107" s="6">
        <f t="shared" si="121"/>
        <v>0</v>
      </c>
      <c r="CQ107" s="6"/>
      <c r="CR107" s="6"/>
      <c r="CS107" s="6"/>
      <c r="CT107" s="6"/>
      <c r="CU107" s="6"/>
      <c r="CV107" s="6"/>
      <c r="CW107" s="6"/>
      <c r="CX107" s="6"/>
      <c r="CY107" s="6"/>
      <c r="CZ107" s="6"/>
      <c r="DA107" s="198"/>
      <c r="DB107" s="63"/>
      <c r="DC107" s="153">
        <f>SUM(E107:DB107)</f>
        <v>6733.6986605668299</v>
      </c>
      <c r="DD107" s="154"/>
      <c r="DE107" s="156"/>
      <c r="DI107" s="4"/>
      <c r="EI107" t="s">
        <v>61</v>
      </c>
      <c r="EJ107" s="6">
        <f ca="1">SUM((INDIRECT(EJ$9&amp;ROW()):(INDIRECT(EJ$10&amp;ROW()))))</f>
        <v>1711.9819066147857</v>
      </c>
      <c r="EK107" s="6">
        <f ca="1">SUM((INDIRECT(EK$9&amp;ROW()):(INDIRECT(EK$10&amp;ROW()))))</f>
        <v>2480.2604585100212</v>
      </c>
      <c r="EL107" s="6">
        <f ca="1">SUM((INDIRECT(EL$9&amp;ROW()):(INDIRECT(EL$10&amp;ROW()))))</f>
        <v>1691.2860638065631</v>
      </c>
      <c r="EM107" s="6">
        <f ca="1">SUM((INDIRECT(EM$9&amp;ROW()):(INDIRECT(EM$10&amp;ROW()))))</f>
        <v>850.1702316354623</v>
      </c>
      <c r="EN107" s="6" t="e">
        <f ca="1">SUM((INDIRECT(EN$9&amp;ROW()):(INDIRECT(EN$10&amp;ROW()))))</f>
        <v>#REF!</v>
      </c>
      <c r="EO107" s="6" t="e">
        <f ca="1">SUM((INDIRECT(EO$9&amp;ROW()):(INDIRECT(EO$10&amp;ROW()))))</f>
        <v>#REF!</v>
      </c>
      <c r="EP107" s="6" t="e">
        <f ca="1">SUM((INDIRECT(EP$9&amp;ROW()):(INDIRECT(EP$10&amp;ROW()))))</f>
        <v>#REF!</v>
      </c>
      <c r="EQ107" s="6" t="e">
        <f ca="1">SUM((INDIRECT(EQ$9&amp;ROW()):(INDIRECT(EQ$10&amp;ROW()))))</f>
        <v>#REF!</v>
      </c>
      <c r="ES107" s="6">
        <f ca="1">SUM(EJ107:EM107)</f>
        <v>6733.6986605668317</v>
      </c>
      <c r="ET107" s="6">
        <f ca="1">ES107/$ES$98</f>
        <v>77.398835178929104</v>
      </c>
    </row>
    <row r="108" spans="1:162" outlineLevel="1">
      <c r="C108" t="s">
        <v>24</v>
      </c>
      <c r="D108" s="6">
        <v>0</v>
      </c>
      <c r="E108" s="6">
        <f>+E103</f>
        <v>226</v>
      </c>
      <c r="F108" s="6">
        <f t="shared" ref="F108:BQ108" si="122">+F103</f>
        <v>0</v>
      </c>
      <c r="G108" s="6">
        <f t="shared" si="122"/>
        <v>0</v>
      </c>
      <c r="H108" s="6">
        <f t="shared" si="122"/>
        <v>0</v>
      </c>
      <c r="I108" s="6">
        <f t="shared" si="122"/>
        <v>31.128404669260703</v>
      </c>
      <c r="J108" s="6">
        <f t="shared" si="122"/>
        <v>0</v>
      </c>
      <c r="K108" s="6">
        <f t="shared" si="122"/>
        <v>0</v>
      </c>
      <c r="L108" s="6">
        <f t="shared" si="122"/>
        <v>0</v>
      </c>
      <c r="M108" s="6">
        <f t="shared" si="122"/>
        <v>0</v>
      </c>
      <c r="N108" s="6">
        <f t="shared" si="122"/>
        <v>0</v>
      </c>
      <c r="O108" s="6">
        <f t="shared" si="122"/>
        <v>0</v>
      </c>
      <c r="P108" s="6">
        <f t="shared" si="122"/>
        <v>0</v>
      </c>
      <c r="Q108" s="6">
        <f t="shared" si="122"/>
        <v>77.821011673151759</v>
      </c>
      <c r="R108" s="6">
        <f t="shared" si="122"/>
        <v>0</v>
      </c>
      <c r="S108" s="6">
        <f t="shared" si="122"/>
        <v>0</v>
      </c>
      <c r="T108" s="6">
        <f t="shared" si="122"/>
        <v>0</v>
      </c>
      <c r="U108" s="6">
        <f t="shared" si="122"/>
        <v>0</v>
      </c>
      <c r="V108" s="6">
        <f t="shared" si="122"/>
        <v>0</v>
      </c>
      <c r="W108" s="6">
        <f t="shared" si="122"/>
        <v>0</v>
      </c>
      <c r="X108" s="6">
        <f t="shared" si="122"/>
        <v>0</v>
      </c>
      <c r="Y108" s="6">
        <f t="shared" si="122"/>
        <v>0</v>
      </c>
      <c r="Z108" s="6">
        <f t="shared" si="122"/>
        <v>0</v>
      </c>
      <c r="AA108" s="6">
        <f t="shared" si="122"/>
        <v>0</v>
      </c>
      <c r="AB108" s="6">
        <f t="shared" si="122"/>
        <v>0</v>
      </c>
      <c r="AC108" s="6">
        <f t="shared" si="122"/>
        <v>0</v>
      </c>
      <c r="AD108" s="6">
        <f t="shared" si="122"/>
        <v>0</v>
      </c>
      <c r="AE108" s="6">
        <f t="shared" si="122"/>
        <v>0</v>
      </c>
      <c r="AF108" s="6">
        <f t="shared" si="122"/>
        <v>0</v>
      </c>
      <c r="AG108" s="6">
        <f t="shared" si="122"/>
        <v>0</v>
      </c>
      <c r="AH108" s="6">
        <f t="shared" si="122"/>
        <v>0</v>
      </c>
      <c r="AI108" s="6">
        <f t="shared" si="122"/>
        <v>0</v>
      </c>
      <c r="AJ108" s="6">
        <f t="shared" si="122"/>
        <v>84.046692607003891</v>
      </c>
      <c r="AK108" s="6">
        <f t="shared" si="122"/>
        <v>0</v>
      </c>
      <c r="AL108" s="6">
        <f t="shared" si="122"/>
        <v>0</v>
      </c>
      <c r="AM108" s="6">
        <f t="shared" si="122"/>
        <v>0</v>
      </c>
      <c r="AN108" s="6">
        <f t="shared" si="122"/>
        <v>0</v>
      </c>
      <c r="AO108" s="6">
        <f t="shared" si="122"/>
        <v>0</v>
      </c>
      <c r="AP108" s="6">
        <f t="shared" si="122"/>
        <v>0</v>
      </c>
      <c r="AQ108" s="6">
        <f t="shared" si="122"/>
        <v>0</v>
      </c>
      <c r="AR108" s="6">
        <f t="shared" si="122"/>
        <v>0</v>
      </c>
      <c r="AS108" s="6">
        <f t="shared" si="122"/>
        <v>0</v>
      </c>
      <c r="AT108" s="6">
        <f t="shared" si="122"/>
        <v>0</v>
      </c>
      <c r="AU108" s="6">
        <f t="shared" si="122"/>
        <v>0</v>
      </c>
      <c r="AV108" s="6">
        <f t="shared" si="122"/>
        <v>0</v>
      </c>
      <c r="AW108" s="6">
        <f t="shared" si="122"/>
        <v>0</v>
      </c>
      <c r="AX108" s="6">
        <f t="shared" si="122"/>
        <v>0</v>
      </c>
      <c r="AY108" s="6">
        <f t="shared" si="122"/>
        <v>0</v>
      </c>
      <c r="AZ108" s="6">
        <f t="shared" si="122"/>
        <v>26.921122576610379</v>
      </c>
      <c r="BA108" s="6">
        <f t="shared" si="122"/>
        <v>0</v>
      </c>
      <c r="BB108" s="6">
        <f t="shared" si="122"/>
        <v>0</v>
      </c>
      <c r="BC108" s="6">
        <f t="shared" si="122"/>
        <v>40.013289555972491</v>
      </c>
      <c r="BD108" s="6">
        <f t="shared" si="122"/>
        <v>0</v>
      </c>
      <c r="BE108" s="6">
        <f t="shared" si="122"/>
        <v>0</v>
      </c>
      <c r="BF108" s="6">
        <f t="shared" si="122"/>
        <v>0</v>
      </c>
      <c r="BG108" s="6">
        <f t="shared" si="122"/>
        <v>0</v>
      </c>
      <c r="BH108" s="6">
        <f t="shared" si="122"/>
        <v>0</v>
      </c>
      <c r="BI108" s="6">
        <f t="shared" si="122"/>
        <v>0</v>
      </c>
      <c r="BJ108" s="6">
        <f t="shared" si="122"/>
        <v>0</v>
      </c>
      <c r="BK108" s="6">
        <f t="shared" si="122"/>
        <v>11.71875</v>
      </c>
      <c r="BL108" s="6">
        <f t="shared" si="122"/>
        <v>0</v>
      </c>
      <c r="BM108" s="6">
        <f t="shared" si="122"/>
        <v>0</v>
      </c>
      <c r="BN108" s="6">
        <f t="shared" si="122"/>
        <v>0</v>
      </c>
      <c r="BO108" s="6">
        <f t="shared" si="122"/>
        <v>0</v>
      </c>
      <c r="BP108" s="6">
        <f t="shared" si="122"/>
        <v>0</v>
      </c>
      <c r="BQ108" s="6">
        <f t="shared" si="122"/>
        <v>0</v>
      </c>
      <c r="BR108" s="6">
        <f t="shared" ref="BR108:CP108" si="123">+BR103</f>
        <v>0</v>
      </c>
      <c r="BS108" s="6">
        <f t="shared" si="123"/>
        <v>0</v>
      </c>
      <c r="BT108" s="6">
        <f t="shared" si="123"/>
        <v>0</v>
      </c>
      <c r="BU108" s="6">
        <f t="shared" si="123"/>
        <v>0</v>
      </c>
      <c r="BV108" s="6">
        <f t="shared" si="123"/>
        <v>0</v>
      </c>
      <c r="BW108" s="6">
        <f t="shared" si="123"/>
        <v>0</v>
      </c>
      <c r="BX108" s="6">
        <f t="shared" si="123"/>
        <v>0</v>
      </c>
      <c r="BY108" s="6">
        <f t="shared" si="123"/>
        <v>0</v>
      </c>
      <c r="BZ108" s="6">
        <f t="shared" si="123"/>
        <v>0</v>
      </c>
      <c r="CA108" s="6">
        <f t="shared" si="123"/>
        <v>0</v>
      </c>
      <c r="CB108" s="6">
        <f t="shared" si="123"/>
        <v>0</v>
      </c>
      <c r="CC108" s="6">
        <f t="shared" si="123"/>
        <v>17.949740725967292</v>
      </c>
      <c r="CD108" s="6">
        <f t="shared" si="123"/>
        <v>0</v>
      </c>
      <c r="CE108" s="6">
        <f t="shared" si="123"/>
        <v>0</v>
      </c>
      <c r="CF108" s="6">
        <f t="shared" si="123"/>
        <v>47.865975269246107</v>
      </c>
      <c r="CG108" s="6">
        <f t="shared" si="123"/>
        <v>0</v>
      </c>
      <c r="CH108" s="6">
        <f t="shared" si="123"/>
        <v>4.786597526924611</v>
      </c>
      <c r="CI108" s="6">
        <f t="shared" si="123"/>
        <v>0</v>
      </c>
      <c r="CJ108" s="6">
        <f t="shared" si="123"/>
        <v>63.023534104507377</v>
      </c>
      <c r="CK108" s="6">
        <f t="shared" si="123"/>
        <v>66.642399975733298</v>
      </c>
      <c r="CL108" s="6">
        <f t="shared" si="123"/>
        <v>57.967057967057961</v>
      </c>
      <c r="CM108" s="6">
        <f t="shared" si="123"/>
        <v>57.572724239390908</v>
      </c>
      <c r="CN108" s="6">
        <f t="shared" si="123"/>
        <v>53.235053235053229</v>
      </c>
      <c r="CO108" s="6">
        <f t="shared" si="123"/>
        <v>25.631692298358963</v>
      </c>
      <c r="CP108" s="6">
        <f t="shared" si="123"/>
        <v>0</v>
      </c>
      <c r="CQ108" s="6">
        <f>SUM(CQ99:CQ102)</f>
        <v>0</v>
      </c>
      <c r="CR108" s="6">
        <f>SUM(CR99:CR102)</f>
        <v>0</v>
      </c>
      <c r="CS108" s="6">
        <f>SUM(CS99:CS102)</f>
        <v>0</v>
      </c>
      <c r="CT108" s="6">
        <f>SUM(CT99:CT102)</f>
        <v>0</v>
      </c>
      <c r="CU108" s="6">
        <f t="shared" ref="CU108:CZ108" si="124">SUM(CU99:CU102)</f>
        <v>0</v>
      </c>
      <c r="CV108" s="6">
        <f t="shared" si="124"/>
        <v>0</v>
      </c>
      <c r="CW108" s="6">
        <f t="shared" si="124"/>
        <v>0</v>
      </c>
      <c r="CX108" s="6">
        <f t="shared" si="124"/>
        <v>0</v>
      </c>
      <c r="CY108" s="6">
        <f t="shared" si="124"/>
        <v>0</v>
      </c>
      <c r="CZ108" s="6">
        <f t="shared" si="124"/>
        <v>0</v>
      </c>
      <c r="DA108" s="198">
        <f>SUM(DA99:DA102)</f>
        <v>0</v>
      </c>
      <c r="DB108" s="63">
        <f>SUM(DB99:DB102)</f>
        <v>0</v>
      </c>
      <c r="DC108" s="28">
        <f>SUM($E108:CY108)</f>
        <v>892.32404642423899</v>
      </c>
      <c r="DD108" s="154"/>
      <c r="DE108" s="155"/>
      <c r="DI108" s="4"/>
      <c r="EI108" t="s">
        <v>24</v>
      </c>
      <c r="EJ108" s="6">
        <f ca="1">SUM((INDIRECT(EJ$9&amp;ROW()):(INDIRECT(EJ$10&amp;ROW()))))</f>
        <v>334.94941634241246</v>
      </c>
      <c r="EK108" s="6">
        <f ca="1">SUM((INDIRECT(EK$9&amp;ROW()):(INDIRECT(EK$10&amp;ROW()))))</f>
        <v>84.046692607003891</v>
      </c>
      <c r="EL108" s="6">
        <f ca="1">SUM((INDIRECT(EL$9&amp;ROW()):(INDIRECT(EL$10&amp;ROW()))))</f>
        <v>78.653162132582878</v>
      </c>
      <c r="EM108" s="6">
        <f ca="1">SUM((INDIRECT(EM$9&amp;ROW()):(INDIRECT(EM$10&amp;ROW()))))</f>
        <v>394.67477534223974</v>
      </c>
      <c r="EN108" s="6" t="e">
        <f ca="1">SUM((INDIRECT(EN$9&amp;ROW()):(INDIRECT(EN$10&amp;ROW()))))</f>
        <v>#REF!</v>
      </c>
      <c r="EO108" s="6" t="e">
        <f ca="1">SUM((INDIRECT(EO$9&amp;ROW()):(INDIRECT(EO$10&amp;ROW()))))</f>
        <v>#REF!</v>
      </c>
      <c r="EP108" s="6" t="e">
        <f ca="1">SUM((INDIRECT(EP$9&amp;ROW()):(INDIRECT(EP$10&amp;ROW()))))</f>
        <v>#REF!</v>
      </c>
      <c r="EQ108" s="6" t="e">
        <f ca="1">SUM((INDIRECT(EQ$9&amp;ROW()):(INDIRECT(EQ$10&amp;ROW()))))</f>
        <v>#REF!</v>
      </c>
      <c r="ES108" s="6">
        <f ca="1">SUM(EJ108:EM108)</f>
        <v>892.32404642423899</v>
      </c>
      <c r="ET108" s="6">
        <f ca="1">ES108/$ES$98</f>
        <v>10.256598234761368</v>
      </c>
    </row>
    <row r="109" spans="1:162" outlineLevel="1">
      <c r="C109" t="s">
        <v>558</v>
      </c>
      <c r="D109" s="6">
        <v>0</v>
      </c>
      <c r="E109" s="6">
        <f>E104</f>
        <v>0</v>
      </c>
      <c r="F109" s="6">
        <f t="shared" ref="F109:BQ109" si="125">F104</f>
        <v>2334.6303501945526</v>
      </c>
      <c r="G109" s="6">
        <f t="shared" si="125"/>
        <v>0</v>
      </c>
      <c r="H109" s="6">
        <f t="shared" si="125"/>
        <v>0</v>
      </c>
      <c r="I109" s="6">
        <f t="shared" si="125"/>
        <v>0</v>
      </c>
      <c r="J109" s="6">
        <f t="shared" si="125"/>
        <v>0</v>
      </c>
      <c r="K109" s="6">
        <f t="shared" si="125"/>
        <v>0</v>
      </c>
      <c r="L109" s="6">
        <f t="shared" si="125"/>
        <v>0</v>
      </c>
      <c r="M109" s="6">
        <f t="shared" si="125"/>
        <v>0</v>
      </c>
      <c r="N109" s="6">
        <f t="shared" si="125"/>
        <v>0</v>
      </c>
      <c r="O109" s="6">
        <f t="shared" si="125"/>
        <v>0</v>
      </c>
      <c r="P109" s="6">
        <f t="shared" si="125"/>
        <v>0</v>
      </c>
      <c r="Q109" s="6">
        <f t="shared" si="125"/>
        <v>466.9260700389105</v>
      </c>
      <c r="R109" s="6">
        <f t="shared" si="125"/>
        <v>0</v>
      </c>
      <c r="S109" s="6">
        <f t="shared" si="125"/>
        <v>0</v>
      </c>
      <c r="T109" s="6">
        <f t="shared" si="125"/>
        <v>0</v>
      </c>
      <c r="U109" s="6">
        <f t="shared" si="125"/>
        <v>0</v>
      </c>
      <c r="V109" s="6">
        <f t="shared" si="125"/>
        <v>0</v>
      </c>
      <c r="W109" s="6">
        <f t="shared" si="125"/>
        <v>0</v>
      </c>
      <c r="X109" s="6">
        <f t="shared" si="125"/>
        <v>0</v>
      </c>
      <c r="Y109" s="6">
        <f t="shared" si="125"/>
        <v>0</v>
      </c>
      <c r="Z109" s="6">
        <f t="shared" si="125"/>
        <v>0</v>
      </c>
      <c r="AA109" s="6">
        <f t="shared" si="125"/>
        <v>0</v>
      </c>
      <c r="AB109" s="6">
        <f t="shared" si="125"/>
        <v>0</v>
      </c>
      <c r="AC109" s="6">
        <f t="shared" si="125"/>
        <v>0</v>
      </c>
      <c r="AD109" s="6">
        <f t="shared" si="125"/>
        <v>0</v>
      </c>
      <c r="AE109" s="6">
        <f t="shared" si="125"/>
        <v>0</v>
      </c>
      <c r="AF109" s="6">
        <f t="shared" si="125"/>
        <v>0</v>
      </c>
      <c r="AG109" s="6">
        <f t="shared" si="125"/>
        <v>0</v>
      </c>
      <c r="AH109" s="6">
        <f t="shared" si="125"/>
        <v>0</v>
      </c>
      <c r="AI109" s="6">
        <f t="shared" si="125"/>
        <v>0</v>
      </c>
      <c r="AJ109" s="6">
        <f t="shared" si="125"/>
        <v>0</v>
      </c>
      <c r="AK109" s="6">
        <f t="shared" si="125"/>
        <v>0</v>
      </c>
      <c r="AL109" s="6">
        <f t="shared" si="125"/>
        <v>0</v>
      </c>
      <c r="AM109" s="6">
        <f t="shared" si="125"/>
        <v>0</v>
      </c>
      <c r="AN109" s="6">
        <f t="shared" si="125"/>
        <v>0</v>
      </c>
      <c r="AO109" s="6">
        <f t="shared" si="125"/>
        <v>0</v>
      </c>
      <c r="AP109" s="6">
        <f t="shared" si="125"/>
        <v>0</v>
      </c>
      <c r="AQ109" s="6">
        <f t="shared" si="125"/>
        <v>0</v>
      </c>
      <c r="AR109" s="6">
        <f t="shared" si="125"/>
        <v>0</v>
      </c>
      <c r="AS109" s="6">
        <f t="shared" si="125"/>
        <v>0</v>
      </c>
      <c r="AT109" s="6">
        <f t="shared" si="125"/>
        <v>0</v>
      </c>
      <c r="AU109" s="6">
        <f t="shared" si="125"/>
        <v>0</v>
      </c>
      <c r="AV109" s="6">
        <f t="shared" si="125"/>
        <v>0</v>
      </c>
      <c r="AW109" s="6">
        <f t="shared" si="125"/>
        <v>0</v>
      </c>
      <c r="AX109" s="6">
        <f t="shared" si="125"/>
        <v>408.29346092503988</v>
      </c>
      <c r="AY109" s="6">
        <f t="shared" si="125"/>
        <v>0</v>
      </c>
      <c r="AZ109" s="6">
        <f t="shared" si="125"/>
        <v>0</v>
      </c>
      <c r="BA109" s="6">
        <f t="shared" si="125"/>
        <v>0</v>
      </c>
      <c r="BB109" s="6">
        <f t="shared" si="125"/>
        <v>0</v>
      </c>
      <c r="BC109" s="6">
        <f t="shared" si="125"/>
        <v>0</v>
      </c>
      <c r="BD109" s="6">
        <f t="shared" si="125"/>
        <v>0</v>
      </c>
      <c r="BE109" s="6">
        <f t="shared" si="125"/>
        <v>0</v>
      </c>
      <c r="BF109" s="6">
        <f t="shared" si="125"/>
        <v>0</v>
      </c>
      <c r="BG109" s="6">
        <f t="shared" si="125"/>
        <v>0</v>
      </c>
      <c r="BH109" s="6">
        <f t="shared" si="125"/>
        <v>0</v>
      </c>
      <c r="BI109" s="6">
        <f t="shared" si="125"/>
        <v>0</v>
      </c>
      <c r="BJ109" s="6">
        <f t="shared" si="125"/>
        <v>0</v>
      </c>
      <c r="BK109" s="6">
        <f t="shared" si="125"/>
        <v>0</v>
      </c>
      <c r="BL109" s="6">
        <f t="shared" si="125"/>
        <v>0</v>
      </c>
      <c r="BM109" s="6">
        <f t="shared" si="125"/>
        <v>0</v>
      </c>
      <c r="BN109" s="6">
        <f t="shared" si="125"/>
        <v>0</v>
      </c>
      <c r="BO109" s="6">
        <f t="shared" si="125"/>
        <v>0</v>
      </c>
      <c r="BP109" s="6">
        <f t="shared" si="125"/>
        <v>0</v>
      </c>
      <c r="BQ109" s="6">
        <f t="shared" si="125"/>
        <v>0</v>
      </c>
      <c r="BR109" s="6">
        <f t="shared" ref="BR109:CP109" si="126">BR104</f>
        <v>0</v>
      </c>
      <c r="BS109" s="6">
        <f t="shared" si="126"/>
        <v>0</v>
      </c>
      <c r="BT109" s="6">
        <f t="shared" si="126"/>
        <v>0</v>
      </c>
      <c r="BU109" s="6">
        <f t="shared" si="126"/>
        <v>0</v>
      </c>
      <c r="BV109" s="6">
        <f t="shared" si="126"/>
        <v>0</v>
      </c>
      <c r="BW109" s="6">
        <f t="shared" si="126"/>
        <v>0</v>
      </c>
      <c r="BX109" s="6">
        <f t="shared" si="126"/>
        <v>0</v>
      </c>
      <c r="BY109" s="6">
        <f t="shared" si="126"/>
        <v>0</v>
      </c>
      <c r="BZ109" s="6">
        <f t="shared" si="126"/>
        <v>0</v>
      </c>
      <c r="CA109" s="6">
        <f t="shared" si="126"/>
        <v>0</v>
      </c>
      <c r="CB109" s="6">
        <f t="shared" si="126"/>
        <v>0</v>
      </c>
      <c r="CC109" s="6">
        <f t="shared" si="126"/>
        <v>457.91783007578778</v>
      </c>
      <c r="CD109" s="6">
        <f t="shared" si="126"/>
        <v>0</v>
      </c>
      <c r="CE109" s="6">
        <f t="shared" si="126"/>
        <v>0</v>
      </c>
      <c r="CF109" s="6">
        <f t="shared" si="126"/>
        <v>0</v>
      </c>
      <c r="CG109" s="6">
        <f t="shared" si="126"/>
        <v>0</v>
      </c>
      <c r="CH109" s="6">
        <f t="shared" si="126"/>
        <v>0</v>
      </c>
      <c r="CI109" s="6">
        <f t="shared" si="126"/>
        <v>0</v>
      </c>
      <c r="CJ109" s="6">
        <f t="shared" si="126"/>
        <v>0</v>
      </c>
      <c r="CK109" s="6">
        <f t="shared" si="126"/>
        <v>0</v>
      </c>
      <c r="CL109" s="6">
        <f t="shared" si="126"/>
        <v>0</v>
      </c>
      <c r="CM109" s="6">
        <f t="shared" si="126"/>
        <v>0</v>
      </c>
      <c r="CN109" s="6">
        <f t="shared" si="126"/>
        <v>0</v>
      </c>
      <c r="CO109" s="6">
        <f t="shared" si="126"/>
        <v>3719.9840446749104</v>
      </c>
      <c r="CP109" s="6">
        <f t="shared" si="126"/>
        <v>0</v>
      </c>
      <c r="CQ109" s="6">
        <f>CQ104</f>
        <v>0</v>
      </c>
      <c r="CR109" s="6">
        <f>CR104</f>
        <v>0</v>
      </c>
      <c r="CS109" s="6">
        <f>CS104</f>
        <v>0</v>
      </c>
      <c r="CT109" s="6">
        <f>CT104</f>
        <v>0</v>
      </c>
      <c r="CU109" s="6">
        <f t="shared" ref="CU109:CZ109" si="127">CU104</f>
        <v>0</v>
      </c>
      <c r="CV109" s="6">
        <f t="shared" si="127"/>
        <v>0</v>
      </c>
      <c r="CW109" s="6">
        <f t="shared" si="127"/>
        <v>0</v>
      </c>
      <c r="CX109" s="6">
        <f t="shared" si="127"/>
        <v>0</v>
      </c>
      <c r="CY109" s="6">
        <f t="shared" si="127"/>
        <v>0</v>
      </c>
      <c r="CZ109" s="6">
        <f t="shared" si="127"/>
        <v>0</v>
      </c>
      <c r="DA109" s="198">
        <f>DA104</f>
        <v>0</v>
      </c>
      <c r="DB109" s="63">
        <f>DB104</f>
        <v>0</v>
      </c>
      <c r="DC109" s="28">
        <f>SUM($E109:CY109)</f>
        <v>7387.7517559092012</v>
      </c>
      <c r="DD109" s="154"/>
      <c r="DE109" s="155"/>
      <c r="DI109" s="4"/>
      <c r="EI109" t="s">
        <v>558</v>
      </c>
      <c r="EJ109" s="6">
        <f ca="1">SUM((INDIRECT(EJ$9&amp;ROW()):(INDIRECT(EJ$10&amp;ROW()))))</f>
        <v>2801.5564202334631</v>
      </c>
      <c r="EK109" s="6">
        <f ca="1">SUM((INDIRECT(EK$9&amp;ROW()):(INDIRECT(EK$10&amp;ROW()))))</f>
        <v>0</v>
      </c>
      <c r="EL109" s="6">
        <f ca="1">SUM((INDIRECT(EL$9&amp;ROW()):(INDIRECT(EL$10&amp;ROW()))))</f>
        <v>408.29346092503988</v>
      </c>
      <c r="EM109" s="6">
        <f ca="1">SUM((INDIRECT(EM$9&amp;ROW()):(INDIRECT(EM$10&amp;ROW()))))</f>
        <v>4177.901874750698</v>
      </c>
      <c r="EN109" s="6" t="e">
        <f ca="1">SUM((INDIRECT(EN$9&amp;ROW()):(INDIRECT(EN$10&amp;ROW()))))</f>
        <v>#REF!</v>
      </c>
      <c r="EO109" s="6" t="e">
        <f ca="1">SUM((INDIRECT(EO$9&amp;ROW()):(INDIRECT(EO$10&amp;ROW()))))</f>
        <v>#REF!</v>
      </c>
      <c r="EP109" s="6" t="e">
        <f ca="1">SUM((INDIRECT(EP$9&amp;ROW()):(INDIRECT(EP$10&amp;ROW()))))</f>
        <v>#REF!</v>
      </c>
      <c r="EQ109" s="6" t="e">
        <f ca="1">SUM((INDIRECT(EQ$9&amp;ROW()):(INDIRECT(EQ$10&amp;ROW()))))</f>
        <v>#REF!</v>
      </c>
      <c r="ES109" s="6">
        <f ca="1">SUM(EJ109:EM109)</f>
        <v>7387.7517559092012</v>
      </c>
      <c r="ET109" s="6">
        <f ca="1">ES109/$ES$98</f>
        <v>84.916686849531047</v>
      </c>
    </row>
    <row r="110" spans="1:162" outlineLevel="1">
      <c r="C110" s="9" t="s">
        <v>14</v>
      </c>
      <c r="D110" s="28">
        <v>0</v>
      </c>
      <c r="E110" s="28">
        <f>SUM(E107:E109)</f>
        <v>1240.55</v>
      </c>
      <c r="F110" s="28">
        <f t="shared" ref="F110:BQ110" si="128">SUM(F107:F109)</f>
        <v>2445.4863813229572</v>
      </c>
      <c r="G110" s="28">
        <f t="shared" si="128"/>
        <v>44.163424124513625</v>
      </c>
      <c r="H110" s="28">
        <f t="shared" si="128"/>
        <v>45.175097276264594</v>
      </c>
      <c r="I110" s="28">
        <f t="shared" si="128"/>
        <v>71.98443579766537</v>
      </c>
      <c r="J110" s="28">
        <f t="shared" si="128"/>
        <v>31.71206225680934</v>
      </c>
      <c r="K110" s="28">
        <f t="shared" si="128"/>
        <v>42.41245136186771</v>
      </c>
      <c r="L110" s="28">
        <f t="shared" si="128"/>
        <v>36.186770428015564</v>
      </c>
      <c r="M110" s="28">
        <f t="shared" si="128"/>
        <v>63.424124513618679</v>
      </c>
      <c r="N110" s="28">
        <f t="shared" si="128"/>
        <v>75.252918287937746</v>
      </c>
      <c r="O110" s="28">
        <f t="shared" si="128"/>
        <v>38.910505836575879</v>
      </c>
      <c r="P110" s="28">
        <f t="shared" si="128"/>
        <v>30.933852140077825</v>
      </c>
      <c r="Q110" s="28">
        <f t="shared" si="128"/>
        <v>588.91050583657591</v>
      </c>
      <c r="R110" s="28">
        <f t="shared" si="128"/>
        <v>54.085603112840467</v>
      </c>
      <c r="S110" s="28">
        <f t="shared" si="128"/>
        <v>39.299610894941637</v>
      </c>
      <c r="T110" s="28">
        <f t="shared" si="128"/>
        <v>501.59035019455257</v>
      </c>
      <c r="U110" s="28">
        <f t="shared" si="128"/>
        <v>336.21762645914396</v>
      </c>
      <c r="V110" s="28">
        <f t="shared" si="128"/>
        <v>329.06482517482516</v>
      </c>
      <c r="W110" s="28">
        <f t="shared" si="128"/>
        <v>28.783774319066147</v>
      </c>
      <c r="X110" s="28">
        <f t="shared" si="128"/>
        <v>35.214007782101163</v>
      </c>
      <c r="Y110" s="28">
        <f t="shared" si="128"/>
        <v>33.657587548638134</v>
      </c>
      <c r="Z110" s="28">
        <f t="shared" si="128"/>
        <v>120.27237354085602</v>
      </c>
      <c r="AA110" s="28">
        <f t="shared" si="128"/>
        <v>45.252918287937746</v>
      </c>
      <c r="AB110" s="28">
        <f t="shared" si="128"/>
        <v>45.252918287937746</v>
      </c>
      <c r="AC110" s="28">
        <f t="shared" si="128"/>
        <v>29.14396887159533</v>
      </c>
      <c r="AD110" s="28">
        <f t="shared" si="128"/>
        <v>41.556420233463037</v>
      </c>
      <c r="AE110" s="28">
        <f t="shared" si="128"/>
        <v>216.84824902723736</v>
      </c>
      <c r="AF110" s="28">
        <f t="shared" si="128"/>
        <v>86.303501945525298</v>
      </c>
      <c r="AG110" s="28">
        <f t="shared" si="128"/>
        <v>107.97665369649806</v>
      </c>
      <c r="AH110" s="28">
        <f t="shared" si="128"/>
        <v>22.490272373540854</v>
      </c>
      <c r="AI110" s="28">
        <f t="shared" si="128"/>
        <v>43.112840466926066</v>
      </c>
      <c r="AJ110" s="28">
        <f t="shared" si="128"/>
        <v>126.53696498054475</v>
      </c>
      <c r="AK110" s="28">
        <f t="shared" si="128"/>
        <v>25.438596491228072</v>
      </c>
      <c r="AL110" s="28">
        <f t="shared" si="128"/>
        <v>46.172248803827756</v>
      </c>
      <c r="AM110" s="28">
        <f t="shared" si="128"/>
        <v>28.947368421052634</v>
      </c>
      <c r="AN110" s="28">
        <f t="shared" si="128"/>
        <v>23.883572567783094</v>
      </c>
      <c r="AO110" s="28">
        <f t="shared" si="128"/>
        <v>26.27591706539075</v>
      </c>
      <c r="AP110" s="28">
        <f t="shared" si="128"/>
        <v>29.425837320574164</v>
      </c>
      <c r="AQ110" s="28">
        <f t="shared" si="128"/>
        <v>63.91547049441786</v>
      </c>
      <c r="AR110" s="28">
        <f t="shared" si="128"/>
        <v>28.429027113237641</v>
      </c>
      <c r="AS110" s="28">
        <f t="shared" si="128"/>
        <v>28.229665071770334</v>
      </c>
      <c r="AT110" s="28">
        <f t="shared" si="128"/>
        <v>34.609250398724086</v>
      </c>
      <c r="AU110" s="28">
        <f t="shared" si="128"/>
        <v>25.837320574162682</v>
      </c>
      <c r="AV110" s="28">
        <f t="shared" si="128"/>
        <v>22.049441786283893</v>
      </c>
      <c r="AW110" s="28">
        <f t="shared" si="128"/>
        <v>31.81818181818182</v>
      </c>
      <c r="AX110" s="28">
        <f t="shared" si="128"/>
        <v>641.4673046251994</v>
      </c>
      <c r="AY110" s="28">
        <f t="shared" si="128"/>
        <v>121.09851156973107</v>
      </c>
      <c r="AZ110" s="28">
        <f t="shared" si="128"/>
        <v>85.773370856785476</v>
      </c>
      <c r="BA110" s="28">
        <f t="shared" si="128"/>
        <v>60.797526383677294</v>
      </c>
      <c r="BB110" s="28">
        <f t="shared" si="128"/>
        <v>67.678795927141962</v>
      </c>
      <c r="BC110" s="28">
        <f t="shared" si="128"/>
        <v>206.22411018605379</v>
      </c>
      <c r="BD110" s="28">
        <f t="shared" si="128"/>
        <v>105.27745602720449</v>
      </c>
      <c r="BE110" s="28">
        <f t="shared" si="128"/>
        <v>37.03125</v>
      </c>
      <c r="BF110" s="28">
        <f t="shared" si="128"/>
        <v>36.25</v>
      </c>
      <c r="BG110" s="28">
        <f t="shared" si="128"/>
        <v>23.8671875</v>
      </c>
      <c r="BH110" s="28">
        <f t="shared" si="128"/>
        <v>33.515625</v>
      </c>
      <c r="BI110" s="28">
        <f t="shared" si="128"/>
        <v>-1.953125</v>
      </c>
      <c r="BJ110" s="28">
        <f t="shared" si="128"/>
        <v>79.8046875</v>
      </c>
      <c r="BK110" s="28">
        <f t="shared" si="128"/>
        <v>66.6015625</v>
      </c>
      <c r="BL110" s="28">
        <f t="shared" si="128"/>
        <v>30.1953125</v>
      </c>
      <c r="BM110" s="28">
        <f t="shared" si="128"/>
        <v>22.058236936577583</v>
      </c>
      <c r="BN110" s="28">
        <f t="shared" si="128"/>
        <v>49.102512963701628</v>
      </c>
      <c r="BO110" s="28">
        <f t="shared" si="128"/>
        <v>68.328679696848823</v>
      </c>
      <c r="BP110" s="28">
        <f t="shared" si="128"/>
        <v>38.811328280813719</v>
      </c>
      <c r="BQ110" s="28">
        <f t="shared" si="128"/>
        <v>49.581172716394093</v>
      </c>
      <c r="BR110" s="28">
        <f t="shared" ref="BR110:CP110" si="129">SUM(BR107:BR109)</f>
        <v>27.642600717989627</v>
      </c>
      <c r="BS110" s="28">
        <f t="shared" si="129"/>
        <v>22.4571200638213</v>
      </c>
      <c r="BT110" s="28">
        <f t="shared" si="129"/>
        <v>49.38173115277224</v>
      </c>
      <c r="BU110" s="28">
        <f t="shared" si="129"/>
        <v>32.149980055843642</v>
      </c>
      <c r="BV110" s="28">
        <f t="shared" si="129"/>
        <v>23.055444754686874</v>
      </c>
      <c r="BW110" s="28">
        <f t="shared" si="129"/>
        <v>20.462704427602713</v>
      </c>
      <c r="BX110" s="28">
        <f t="shared" si="129"/>
        <v>-8.6557638611886745</v>
      </c>
      <c r="BY110" s="28">
        <f t="shared" si="129"/>
        <v>57.638611886717193</v>
      </c>
      <c r="BZ110" s="28">
        <f t="shared" si="129"/>
        <v>61.148783406461909</v>
      </c>
      <c r="CA110" s="28">
        <f t="shared" si="129"/>
        <v>38.213003589948144</v>
      </c>
      <c r="CB110" s="28">
        <f t="shared" si="129"/>
        <v>33.226964499401674</v>
      </c>
      <c r="CC110" s="28">
        <f t="shared" si="129"/>
        <v>502.11408057439166</v>
      </c>
      <c r="CD110" s="28">
        <f t="shared" si="129"/>
        <v>155.88352612684483</v>
      </c>
      <c r="CE110" s="28">
        <f t="shared" si="129"/>
        <v>69.126445951336251</v>
      </c>
      <c r="CF110" s="28">
        <f t="shared" si="129"/>
        <v>90.86557638611886</v>
      </c>
      <c r="CG110" s="28">
        <f t="shared" si="129"/>
        <v>27.642600717989627</v>
      </c>
      <c r="CH110" s="28">
        <f t="shared" si="129"/>
        <v>53.570003988831267</v>
      </c>
      <c r="CI110" s="28">
        <f t="shared" si="129"/>
        <v>28.839250099720779</v>
      </c>
      <c r="CJ110" s="28">
        <f t="shared" si="129"/>
        <v>144.51535700039886</v>
      </c>
      <c r="CK110" s="28">
        <f t="shared" si="129"/>
        <v>112.99261936145328</v>
      </c>
      <c r="CL110" s="28">
        <f t="shared" si="129"/>
        <v>83.615243048829001</v>
      </c>
      <c r="CM110" s="28">
        <f t="shared" si="129"/>
        <v>105.87747094860511</v>
      </c>
      <c r="CN110" s="28">
        <f t="shared" si="129"/>
        <v>107.14723498927727</v>
      </c>
      <c r="CO110" s="28">
        <f t="shared" si="129"/>
        <v>3940.5574725346032</v>
      </c>
      <c r="CP110" s="28">
        <f t="shared" si="129"/>
        <v>0</v>
      </c>
      <c r="CQ110" s="28">
        <f>SUM(CQ108:CQ109)</f>
        <v>0</v>
      </c>
      <c r="CR110" s="28">
        <f>SUM(CR108:CR109)</f>
        <v>0</v>
      </c>
      <c r="CS110" s="28">
        <f>SUM(CS108:CS109)</f>
        <v>0</v>
      </c>
      <c r="CT110" s="28">
        <f>SUM(CT108:CT109)</f>
        <v>0</v>
      </c>
      <c r="CU110" s="28">
        <f t="shared" ref="CU110:CZ110" si="130">SUM(CU108:CU109)</f>
        <v>0</v>
      </c>
      <c r="CV110" s="28">
        <f t="shared" si="130"/>
        <v>0</v>
      </c>
      <c r="CW110" s="28">
        <f t="shared" si="130"/>
        <v>0</v>
      </c>
      <c r="CX110" s="28">
        <f t="shared" si="130"/>
        <v>0</v>
      </c>
      <c r="CY110" s="28">
        <f t="shared" si="130"/>
        <v>0</v>
      </c>
      <c r="CZ110" s="28">
        <f t="shared" si="130"/>
        <v>0</v>
      </c>
      <c r="DA110" s="200">
        <f>SUM(DA108:DA109)</f>
        <v>0</v>
      </c>
      <c r="DB110" s="184">
        <f>SUM(DB108:DB109)</f>
        <v>0</v>
      </c>
      <c r="DC110" s="28">
        <f>SUM($E110:CY110)</f>
        <v>15013.774462900272</v>
      </c>
      <c r="DD110" s="154"/>
      <c r="DE110" s="155"/>
      <c r="DI110" s="4"/>
      <c r="EI110" s="9" t="s">
        <v>14</v>
      </c>
      <c r="EJ110" s="28">
        <f ca="1">SUM((INDIRECT(EJ$9&amp;ROW()):(INDIRECT(EJ$10&amp;ROW()))))</f>
        <v>4848.4877431906616</v>
      </c>
      <c r="EK110" s="28">
        <f ca="1">SUM((INDIRECT(EK$9&amp;ROW()):(INDIRECT(EK$10&amp;ROW()))))</f>
        <v>2564.3071511170247</v>
      </c>
      <c r="EL110" s="28">
        <f ca="1">SUM((INDIRECT(EL$9&amp;ROW()):(INDIRECT(EL$10&amp;ROW()))))</f>
        <v>2178.2326868641862</v>
      </c>
      <c r="EM110" s="28">
        <f ca="1">SUM((INDIRECT(EM$9&amp;ROW()):(INDIRECT(EM$10&amp;ROW()))))</f>
        <v>5422.7468817283998</v>
      </c>
      <c r="EN110" s="28" t="e">
        <f ca="1">SUM((INDIRECT(EN$9&amp;ROW()):(INDIRECT(EN$10&amp;ROW()))))</f>
        <v>#REF!</v>
      </c>
      <c r="EO110" s="28" t="e">
        <f ca="1">SUM((INDIRECT(EO$9&amp;ROW()):(INDIRECT(EO$10&amp;ROW()))))</f>
        <v>#REF!</v>
      </c>
      <c r="EP110" s="28" t="e">
        <f ca="1">SUM((INDIRECT(EP$9&amp;ROW()):(INDIRECT(EP$10&amp;ROW()))))</f>
        <v>#REF!</v>
      </c>
      <c r="EQ110" s="28" t="e">
        <f ca="1">SUM((INDIRECT(EQ$9&amp;ROW()):(INDIRECT(EQ$10&amp;ROW()))))</f>
        <v>#REF!</v>
      </c>
      <c r="ES110" s="6">
        <f ca="1">SUM(EJ110:EM110)</f>
        <v>15013.774462900274</v>
      </c>
      <c r="ET110" s="6">
        <f ca="1">ES110/$ES$98</f>
        <v>172.57212026322154</v>
      </c>
    </row>
    <row r="111" spans="1:162">
      <c r="A111" s="9" t="s">
        <v>98</v>
      </c>
      <c r="DI111" s="4"/>
    </row>
    <row r="112" spans="1:162">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f>+CQ110-CQ78</f>
        <v>0</v>
      </c>
      <c r="CR112" s="6">
        <f>+CR110-CR78</f>
        <v>0</v>
      </c>
      <c r="CS112" s="6">
        <f>+CS110-CS78</f>
        <v>0</v>
      </c>
      <c r="CT112" s="6">
        <f>+CT110-CT78</f>
        <v>0</v>
      </c>
      <c r="CU112" s="6">
        <f t="shared" ref="CU112:CZ112" si="131">+CU110-CU78</f>
        <v>0</v>
      </c>
      <c r="CV112" s="6">
        <f t="shared" si="131"/>
        <v>0</v>
      </c>
      <c r="CW112" s="6">
        <f t="shared" si="131"/>
        <v>0</v>
      </c>
      <c r="CX112" s="6">
        <f t="shared" si="131"/>
        <v>0</v>
      </c>
      <c r="CY112" s="6">
        <f t="shared" si="131"/>
        <v>0</v>
      </c>
      <c r="CZ112" s="6">
        <f t="shared" si="131"/>
        <v>0</v>
      </c>
      <c r="DA112" s="198">
        <f>+DA110-DA78</f>
        <v>0</v>
      </c>
      <c r="DB112" s="63">
        <f>+DB110-DB78</f>
        <v>0</v>
      </c>
      <c r="DC112" s="28">
        <v>0</v>
      </c>
      <c r="DI112" s="4"/>
      <c r="EH112" s="9"/>
      <c r="EI112" s="75" t="s">
        <v>96</v>
      </c>
      <c r="EJ112" s="6">
        <f ca="1">EJ110-EJ66</f>
        <v>3607.9377431906614</v>
      </c>
      <c r="EK112" s="6">
        <f ca="1">EK110-EK66</f>
        <v>1893.8171511170247</v>
      </c>
      <c r="EL112" s="6">
        <f ca="1">EL110-EL66</f>
        <v>1936.4226868641863</v>
      </c>
      <c r="EM112" s="6">
        <f ca="1">EM110-EM66</f>
        <v>5422.7468817283998</v>
      </c>
      <c r="EN112" s="6" t="e">
        <f ca="1">EN110-EN66</f>
        <v>#REF!</v>
      </c>
      <c r="EP112" s="6" t="e">
        <f ca="1">EP110-EP66</f>
        <v>#REF!</v>
      </c>
      <c r="EQ112" s="6" t="e">
        <f ca="1">EQ110-EQ66</f>
        <v>#REF!</v>
      </c>
      <c r="ES112" s="6">
        <f ca="1">ES110-ES66</f>
        <v>12860.924462900273</v>
      </c>
      <c r="ET112" s="6">
        <f ca="1">ES112/$ES$98</f>
        <v>147.82671796437097</v>
      </c>
    </row>
    <row r="113" spans="1:149" ht="43.2" outlineLevel="1">
      <c r="D113" s="18"/>
      <c r="E113" s="17"/>
      <c r="F113" s="17" t="s">
        <v>567</v>
      </c>
      <c r="G113" s="17" t="s">
        <v>567</v>
      </c>
      <c r="H113" s="17" t="s">
        <v>567</v>
      </c>
      <c r="I113" s="17" t="s">
        <v>567</v>
      </c>
      <c r="J113" s="17" t="s">
        <v>567</v>
      </c>
      <c r="K113" s="17" t="s">
        <v>567</v>
      </c>
      <c r="L113" s="17" t="s">
        <v>567</v>
      </c>
      <c r="M113" s="17" t="s">
        <v>567</v>
      </c>
      <c r="N113" s="17" t="s">
        <v>567</v>
      </c>
      <c r="O113" s="17" t="s">
        <v>567</v>
      </c>
      <c r="P113" s="17" t="s">
        <v>567</v>
      </c>
      <c r="Q113" s="17" t="s">
        <v>567</v>
      </c>
      <c r="R113" s="17" t="s">
        <v>567</v>
      </c>
      <c r="S113" s="17" t="s">
        <v>567</v>
      </c>
      <c r="T113" s="17" t="s">
        <v>568</v>
      </c>
      <c r="U113" s="6">
        <f>+U111-U79</f>
        <v>0</v>
      </c>
      <c r="V113" s="17" t="s">
        <v>270</v>
      </c>
      <c r="W113" s="17" t="s">
        <v>570</v>
      </c>
      <c r="X113" s="17" t="s">
        <v>269</v>
      </c>
      <c r="Y113" s="17" t="s">
        <v>269</v>
      </c>
      <c r="Z113" s="17" t="s">
        <v>269</v>
      </c>
      <c r="AA113" s="17" t="s">
        <v>270</v>
      </c>
      <c r="AB113" s="17" t="s">
        <v>270</v>
      </c>
      <c r="AC113" s="17" t="s">
        <v>270</v>
      </c>
      <c r="AD113" s="17" t="s">
        <v>270</v>
      </c>
      <c r="AE113" s="17" t="s">
        <v>270</v>
      </c>
      <c r="AF113" s="17" t="s">
        <v>270</v>
      </c>
      <c r="AG113" s="17" t="s">
        <v>270</v>
      </c>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201"/>
      <c r="DB113" s="185"/>
      <c r="DC113" s="3"/>
      <c r="DD113" s="18"/>
      <c r="DI113" s="4"/>
      <c r="DM113">
        <f>C113</f>
        <v>0</v>
      </c>
    </row>
    <row r="114" spans="1:149">
      <c r="A114" s="9" t="s">
        <v>95</v>
      </c>
      <c r="DM114">
        <f>C114</f>
        <v>0</v>
      </c>
    </row>
    <row r="115" spans="1:149">
      <c r="DM115">
        <f>C115</f>
        <v>0</v>
      </c>
      <c r="DR115" s="18"/>
    </row>
    <row r="116" spans="1:149">
      <c r="E116" s="2" t="str">
        <f t="shared" ref="E116:BP116" si="132">E$10</f>
        <v>Amsterdam</v>
      </c>
      <c r="F116" s="2" t="str">
        <f t="shared" si="132"/>
        <v>Hanoi</v>
      </c>
      <c r="G116" s="2" t="str">
        <f t="shared" si="132"/>
        <v>Hanoi</v>
      </c>
      <c r="H116" s="2" t="str">
        <f t="shared" si="132"/>
        <v>Hanoi</v>
      </c>
      <c r="I116" s="2" t="str">
        <f t="shared" si="132"/>
        <v>Hanoi</v>
      </c>
      <c r="J116" s="2" t="str">
        <f t="shared" si="132"/>
        <v>Hanoi</v>
      </c>
      <c r="K116" s="2" t="str">
        <f t="shared" si="132"/>
        <v>Hanoi</v>
      </c>
      <c r="L116" s="2" t="str">
        <f t="shared" si="132"/>
        <v>Hanoi</v>
      </c>
      <c r="M116" s="2" t="str">
        <f t="shared" si="132"/>
        <v>Hanoi</v>
      </c>
      <c r="N116" s="2" t="str">
        <f t="shared" si="132"/>
        <v>Hanoi</v>
      </c>
      <c r="O116" s="2" t="str">
        <f t="shared" si="132"/>
        <v>Hanoi</v>
      </c>
      <c r="P116" s="2" t="str">
        <f t="shared" si="132"/>
        <v>Hanoi</v>
      </c>
      <c r="Q116" s="2" t="str">
        <f t="shared" si="132"/>
        <v>Hanoi</v>
      </c>
      <c r="R116" s="2" t="str">
        <f t="shared" si="132"/>
        <v>Hanoi</v>
      </c>
      <c r="S116" s="2" t="str">
        <f t="shared" si="132"/>
        <v>Hanoi</v>
      </c>
      <c r="T116" s="2" t="str">
        <f t="shared" si="132"/>
        <v>Singapore</v>
      </c>
      <c r="U116" s="2" t="str">
        <f t="shared" si="132"/>
        <v>Singapore</v>
      </c>
      <c r="V116" s="2" t="str">
        <f t="shared" si="132"/>
        <v>Singapore</v>
      </c>
      <c r="W116" s="2" t="str">
        <f t="shared" si="132"/>
        <v>Hanoi</v>
      </c>
      <c r="X116" s="2" t="str">
        <f t="shared" si="132"/>
        <v>Hanoi</v>
      </c>
      <c r="Y116" s="2" t="str">
        <f t="shared" si="132"/>
        <v>Hanoi</v>
      </c>
      <c r="Z116" s="2" t="str">
        <f t="shared" si="132"/>
        <v>Thai Nguyen</v>
      </c>
      <c r="AA116" s="2" t="str">
        <f t="shared" si="132"/>
        <v>Hanoi</v>
      </c>
      <c r="AB116" s="2" t="str">
        <f t="shared" si="132"/>
        <v>Hanoi</v>
      </c>
      <c r="AC116" s="2" t="str">
        <f t="shared" si="132"/>
        <v>Hanoi</v>
      </c>
      <c r="AD116" s="2" t="str">
        <f t="shared" si="132"/>
        <v>Hanoi</v>
      </c>
      <c r="AE116" s="2" t="str">
        <f t="shared" si="132"/>
        <v>Da nang</v>
      </c>
      <c r="AF116" s="2" t="str">
        <f t="shared" si="132"/>
        <v>Da nang</v>
      </c>
      <c r="AG116" s="2" t="str">
        <f t="shared" si="132"/>
        <v>Da nang</v>
      </c>
      <c r="AH116" s="2" t="str">
        <f t="shared" si="132"/>
        <v>Hanoi</v>
      </c>
      <c r="AI116" s="2" t="str">
        <f t="shared" si="132"/>
        <v>Hanoi</v>
      </c>
      <c r="AJ116" s="2" t="str">
        <f t="shared" si="132"/>
        <v>Hai Phong</v>
      </c>
      <c r="AK116" s="2" t="str">
        <f t="shared" si="132"/>
        <v>Hanoi</v>
      </c>
      <c r="AL116" s="2" t="str">
        <f t="shared" si="132"/>
        <v>Hanoi</v>
      </c>
      <c r="AM116" s="2" t="str">
        <f t="shared" si="132"/>
        <v>Hanoi</v>
      </c>
      <c r="AN116" s="2" t="str">
        <f t="shared" si="132"/>
        <v>Hanoi</v>
      </c>
      <c r="AO116" s="2" t="str">
        <f t="shared" si="132"/>
        <v>Hanoi</v>
      </c>
      <c r="AP116" s="2" t="str">
        <f t="shared" si="132"/>
        <v>Hanoi</v>
      </c>
      <c r="AQ116" s="2" t="str">
        <f t="shared" si="132"/>
        <v>Hanoi</v>
      </c>
      <c r="AR116" s="2" t="str">
        <f t="shared" si="132"/>
        <v>Hanoi</v>
      </c>
      <c r="AS116" s="2" t="str">
        <f t="shared" si="132"/>
        <v>Hanoi</v>
      </c>
      <c r="AT116" s="2" t="str">
        <f t="shared" si="132"/>
        <v>Hanoi</v>
      </c>
      <c r="AU116" s="2" t="str">
        <f t="shared" si="132"/>
        <v>Hanoi</v>
      </c>
      <c r="AV116" s="2" t="str">
        <f t="shared" si="132"/>
        <v>Hanoi</v>
      </c>
      <c r="AW116" s="2" t="str">
        <f t="shared" si="132"/>
        <v>Hanoi</v>
      </c>
      <c r="AX116" s="2" t="str">
        <f t="shared" si="132"/>
        <v>Hanoi</v>
      </c>
      <c r="AY116" s="2" t="str">
        <f t="shared" si="132"/>
        <v>Thailand</v>
      </c>
      <c r="AZ116" s="2" t="str">
        <f t="shared" si="132"/>
        <v>Thailand</v>
      </c>
      <c r="BA116" s="2" t="str">
        <f t="shared" si="132"/>
        <v>Thailand</v>
      </c>
      <c r="BB116" s="2" t="str">
        <f t="shared" si="132"/>
        <v>Thailand</v>
      </c>
      <c r="BC116" s="2" t="str">
        <f t="shared" si="132"/>
        <v>Thailand</v>
      </c>
      <c r="BD116" s="2" t="str">
        <f t="shared" si="132"/>
        <v>Hanoi</v>
      </c>
      <c r="BE116" s="2" t="str">
        <f t="shared" si="132"/>
        <v>Hanoi</v>
      </c>
      <c r="BF116" s="2" t="str">
        <f t="shared" si="132"/>
        <v>Hanoi</v>
      </c>
      <c r="BG116" s="2" t="str">
        <f t="shared" si="132"/>
        <v>Hanoi</v>
      </c>
      <c r="BH116" s="2" t="str">
        <f t="shared" si="132"/>
        <v>Hanoi</v>
      </c>
      <c r="BI116" s="2" t="str">
        <f t="shared" si="132"/>
        <v>Hanoi</v>
      </c>
      <c r="BJ116" s="2" t="str">
        <f t="shared" si="132"/>
        <v>Hanoi</v>
      </c>
      <c r="BK116" s="2" t="str">
        <f t="shared" si="132"/>
        <v>Hanoi</v>
      </c>
      <c r="BL116" s="2" t="str">
        <f t="shared" si="132"/>
        <v>Hanoi</v>
      </c>
      <c r="BM116" s="2" t="str">
        <f t="shared" si="132"/>
        <v>Hanoi</v>
      </c>
      <c r="BN116" s="2" t="str">
        <f t="shared" si="132"/>
        <v>Hanoi</v>
      </c>
      <c r="BO116" s="2" t="str">
        <f t="shared" si="132"/>
        <v>Hanoi</v>
      </c>
      <c r="BP116" s="2" t="str">
        <f t="shared" si="132"/>
        <v>Hanoi</v>
      </c>
      <c r="BQ116" s="2" t="str">
        <f t="shared" ref="BQ116:CY116" si="133">BQ$10</f>
        <v>Hanoi</v>
      </c>
      <c r="BR116" s="2" t="str">
        <f t="shared" si="133"/>
        <v>Hanoi</v>
      </c>
      <c r="BS116" s="2" t="str">
        <f t="shared" si="133"/>
        <v>Hanoi</v>
      </c>
      <c r="BT116" s="2" t="str">
        <f t="shared" si="133"/>
        <v>Hanoi</v>
      </c>
      <c r="BU116" s="2" t="str">
        <f t="shared" si="133"/>
        <v>Hanoi</v>
      </c>
      <c r="BV116" s="2" t="str">
        <f t="shared" si="133"/>
        <v>Hanoi</v>
      </c>
      <c r="BW116" s="2" t="str">
        <f t="shared" si="133"/>
        <v>Hanoi</v>
      </c>
      <c r="BX116" s="2" t="str">
        <f t="shared" si="133"/>
        <v>Hanoi</v>
      </c>
      <c r="BY116" s="2" t="str">
        <f t="shared" si="133"/>
        <v>Hanoi</v>
      </c>
      <c r="BZ116" s="2" t="str">
        <f t="shared" si="133"/>
        <v>Hanoi</v>
      </c>
      <c r="CA116" s="2" t="str">
        <f t="shared" si="133"/>
        <v>Hanoi</v>
      </c>
      <c r="CB116" s="2" t="str">
        <f>CC$10</f>
        <v>Hanoi</v>
      </c>
      <c r="CC116" s="2" t="str">
        <f>CD$10</f>
        <v>Nha Toi</v>
      </c>
      <c r="CD116" s="2" t="str">
        <f t="shared" si="133"/>
        <v>Nha Toi</v>
      </c>
      <c r="CE116" s="2" t="str">
        <f t="shared" si="133"/>
        <v>Hanoi</v>
      </c>
      <c r="CF116" s="2" t="s">
        <v>306</v>
      </c>
      <c r="CG116" s="2" t="str">
        <f t="shared" si="133"/>
        <v>Hanoi</v>
      </c>
      <c r="CH116" s="2" t="str">
        <f t="shared" si="133"/>
        <v>Hanoi</v>
      </c>
      <c r="CI116" s="2" t="str">
        <f t="shared" si="133"/>
        <v>Hanoi</v>
      </c>
      <c r="CJ116" s="2" t="str">
        <f t="shared" si="133"/>
        <v>Hanoi</v>
      </c>
      <c r="CK116" s="2" t="str">
        <f t="shared" si="133"/>
        <v>Hanoi</v>
      </c>
      <c r="CL116" s="2" t="str">
        <f t="shared" si="133"/>
        <v>Hanoi</v>
      </c>
      <c r="CM116" s="2" t="str">
        <f t="shared" si="133"/>
        <v>Hanoi</v>
      </c>
      <c r="CN116" s="2" t="str">
        <f t="shared" si="133"/>
        <v>Hanoi</v>
      </c>
      <c r="CO116" s="2" t="str">
        <f t="shared" si="133"/>
        <v>Hanoi</v>
      </c>
      <c r="CP116" s="2" t="str">
        <f t="shared" si="133"/>
        <v>Hanoi</v>
      </c>
      <c r="CQ116" s="2" t="str">
        <f t="shared" si="133"/>
        <v>Hanoi</v>
      </c>
      <c r="CR116" s="2" t="str">
        <f t="shared" si="133"/>
        <v>Hanoi</v>
      </c>
      <c r="CS116" s="2" t="str">
        <f t="shared" si="133"/>
        <v>Hanoi</v>
      </c>
      <c r="CT116" s="2" t="str">
        <f t="shared" si="133"/>
        <v>Hanoi</v>
      </c>
      <c r="CU116" s="2" t="str">
        <f t="shared" si="133"/>
        <v>Hanoi</v>
      </c>
      <c r="CV116" s="2" t="str">
        <f t="shared" si="133"/>
        <v>Hanoi</v>
      </c>
      <c r="CW116" s="2" t="str">
        <f t="shared" si="133"/>
        <v>Hanoi</v>
      </c>
      <c r="CX116" s="2" t="str">
        <f t="shared" si="133"/>
        <v>Hanoi</v>
      </c>
      <c r="CY116" s="2" t="str">
        <f t="shared" si="133"/>
        <v>Hanoi</v>
      </c>
      <c r="DM116">
        <f>C116</f>
        <v>0</v>
      </c>
    </row>
    <row r="117" spans="1:149" s="18" customFormat="1" ht="54" customHeight="1">
      <c r="A117" s="18" t="s">
        <v>8</v>
      </c>
      <c r="E117" s="17"/>
      <c r="F117" s="17" t="s">
        <v>611</v>
      </c>
      <c r="G117" s="17" t="s">
        <v>611</v>
      </c>
      <c r="H117" s="17" t="s">
        <v>611</v>
      </c>
      <c r="I117" s="17" t="s">
        <v>611</v>
      </c>
      <c r="J117" s="17" t="s">
        <v>611</v>
      </c>
      <c r="K117" s="17" t="s">
        <v>611</v>
      </c>
      <c r="L117" s="17" t="s">
        <v>611</v>
      </c>
      <c r="M117" s="17" t="s">
        <v>611</v>
      </c>
      <c r="N117" s="17" t="s">
        <v>611</v>
      </c>
      <c r="O117" s="17" t="s">
        <v>611</v>
      </c>
      <c r="P117" s="17" t="s">
        <v>611</v>
      </c>
      <c r="Q117" s="17" t="s">
        <v>611</v>
      </c>
      <c r="R117" s="17" t="s">
        <v>611</v>
      </c>
      <c r="S117" s="17" t="s">
        <v>611</v>
      </c>
      <c r="T117" s="17" t="s">
        <v>612</v>
      </c>
      <c r="U117" s="17" t="s">
        <v>612</v>
      </c>
      <c r="V117" s="17" t="s">
        <v>612</v>
      </c>
      <c r="W117" s="17" t="s">
        <v>617</v>
      </c>
      <c r="X117" s="17" t="s">
        <v>617</v>
      </c>
      <c r="Y117" s="17" t="s">
        <v>617</v>
      </c>
      <c r="Z117" s="17" t="s">
        <v>617</v>
      </c>
      <c r="AA117" s="17" t="s">
        <v>617</v>
      </c>
      <c r="AB117" s="17" t="s">
        <v>617</v>
      </c>
      <c r="AC117" s="17" t="s">
        <v>617</v>
      </c>
      <c r="AD117" s="17" t="s">
        <v>617</v>
      </c>
      <c r="AE117" s="17" t="s">
        <v>615</v>
      </c>
      <c r="AF117" s="17" t="s">
        <v>616</v>
      </c>
      <c r="AG117" s="17" t="s">
        <v>614</v>
      </c>
      <c r="AH117" s="17" t="s">
        <v>617</v>
      </c>
      <c r="AI117" s="17" t="s">
        <v>617</v>
      </c>
      <c r="AJ117" s="17" t="s">
        <v>617</v>
      </c>
      <c r="AK117" s="17" t="s">
        <v>617</v>
      </c>
      <c r="AL117" s="17" t="s">
        <v>617</v>
      </c>
      <c r="AM117" s="17" t="s">
        <v>617</v>
      </c>
      <c r="AN117" s="17" t="s">
        <v>617</v>
      </c>
      <c r="AO117" s="17" t="s">
        <v>617</v>
      </c>
      <c r="AP117" s="17" t="s">
        <v>617</v>
      </c>
      <c r="AQ117" s="17" t="s">
        <v>617</v>
      </c>
      <c r="AR117" s="17" t="s">
        <v>617</v>
      </c>
      <c r="AS117" s="17" t="s">
        <v>617</v>
      </c>
      <c r="AT117" s="17" t="s">
        <v>617</v>
      </c>
      <c r="AU117" s="17" t="s">
        <v>617</v>
      </c>
      <c r="AV117" s="17" t="s">
        <v>617</v>
      </c>
      <c r="AW117" s="17" t="s">
        <v>617</v>
      </c>
      <c r="AX117" s="17" t="s">
        <v>617</v>
      </c>
      <c r="AY117" s="17" t="s">
        <v>618</v>
      </c>
      <c r="AZ117" s="17" t="s">
        <v>592</v>
      </c>
      <c r="BA117" s="17" t="s">
        <v>613</v>
      </c>
      <c r="BB117" s="328" t="s">
        <v>619</v>
      </c>
      <c r="BC117" s="328" t="s">
        <v>620</v>
      </c>
      <c r="BD117" s="17" t="s">
        <v>617</v>
      </c>
      <c r="BE117" s="17" t="s">
        <v>617</v>
      </c>
      <c r="BF117" s="17" t="s">
        <v>617</v>
      </c>
      <c r="BG117" s="17" t="s">
        <v>617</v>
      </c>
      <c r="BH117" s="17" t="s">
        <v>617</v>
      </c>
      <c r="BI117" s="17" t="s">
        <v>617</v>
      </c>
      <c r="BJ117" s="17" t="s">
        <v>617</v>
      </c>
      <c r="BK117" s="17" t="s">
        <v>617</v>
      </c>
      <c r="BL117" s="17" t="s">
        <v>617</v>
      </c>
      <c r="BM117" s="17" t="s">
        <v>617</v>
      </c>
      <c r="BN117" s="17" t="s">
        <v>617</v>
      </c>
      <c r="BO117" s="17" t="s">
        <v>617</v>
      </c>
      <c r="BP117" s="17" t="s">
        <v>617</v>
      </c>
      <c r="BQ117" s="17" t="s">
        <v>617</v>
      </c>
      <c r="BR117" s="17" t="s">
        <v>617</v>
      </c>
      <c r="BS117" s="17" t="s">
        <v>617</v>
      </c>
      <c r="BT117" s="17" t="s">
        <v>617</v>
      </c>
      <c r="BU117" s="17" t="s">
        <v>617</v>
      </c>
      <c r="BV117" s="17" t="s">
        <v>617</v>
      </c>
      <c r="BW117" s="17" t="s">
        <v>617</v>
      </c>
      <c r="BX117" s="17" t="s">
        <v>617</v>
      </c>
      <c r="BY117" s="17" t="s">
        <v>617</v>
      </c>
      <c r="BZ117" s="17" t="s">
        <v>617</v>
      </c>
      <c r="CA117" s="17" t="s">
        <v>617</v>
      </c>
      <c r="CB117" s="17" t="s">
        <v>617</v>
      </c>
      <c r="CC117" s="17" t="s">
        <v>617</v>
      </c>
      <c r="CD117" s="17" t="s">
        <v>617</v>
      </c>
      <c r="CE117" s="17" t="s">
        <v>617</v>
      </c>
      <c r="CF117" s="17" t="s">
        <v>617</v>
      </c>
      <c r="CG117" s="17" t="s">
        <v>617</v>
      </c>
      <c r="CH117" s="17" t="s">
        <v>617</v>
      </c>
      <c r="CI117" s="17" t="s">
        <v>617</v>
      </c>
      <c r="CJ117" s="17" t="s">
        <v>617</v>
      </c>
      <c r="CK117" s="17" t="s">
        <v>617</v>
      </c>
      <c r="CL117" s="17" t="s">
        <v>617</v>
      </c>
      <c r="CM117" s="17" t="s">
        <v>617</v>
      </c>
      <c r="CN117" s="17" t="s">
        <v>617</v>
      </c>
      <c r="CO117" s="17"/>
      <c r="CP117" s="17"/>
      <c r="CQ117" s="17" t="s">
        <v>280</v>
      </c>
      <c r="CR117" s="17" t="s">
        <v>280</v>
      </c>
      <c r="CS117" s="17" t="s">
        <v>280</v>
      </c>
      <c r="CT117" s="17" t="s">
        <v>280</v>
      </c>
      <c r="CU117" s="17" t="s">
        <v>280</v>
      </c>
      <c r="CV117" s="17" t="s">
        <v>280</v>
      </c>
      <c r="CW117" s="17" t="s">
        <v>280</v>
      </c>
      <c r="CX117" s="17" t="s">
        <v>280</v>
      </c>
      <c r="CY117" s="17" t="s">
        <v>280</v>
      </c>
      <c r="CZ117" s="17"/>
      <c r="DA117" s="201"/>
      <c r="DB117" s="185"/>
      <c r="DC117" s="17"/>
      <c r="DM117"/>
      <c r="DN117"/>
      <c r="DO117"/>
      <c r="DP117"/>
      <c r="DQ117"/>
      <c r="DR117"/>
      <c r="EI117"/>
    </row>
    <row r="118" spans="1:149">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198"/>
      <c r="DB118" s="63"/>
      <c r="DC118" s="2"/>
      <c r="EH118" s="3" t="s">
        <v>328</v>
      </c>
      <c r="EP118" s="108"/>
      <c r="EQ118" s="108"/>
    </row>
    <row r="119" spans="1:149">
      <c r="V119" s="6"/>
      <c r="DM119" s="18"/>
      <c r="DO119" s="18"/>
      <c r="DP119" s="18"/>
      <c r="DQ119" s="18"/>
      <c r="EH119" s="4" t="s">
        <v>329</v>
      </c>
    </row>
    <row r="121" spans="1:149">
      <c r="E121"/>
      <c r="F121"/>
      <c r="G121"/>
      <c r="H121"/>
      <c r="I121"/>
      <c r="J121"/>
      <c r="K121"/>
      <c r="L121"/>
      <c r="M121"/>
      <c r="N121"/>
      <c r="R121" s="97"/>
      <c r="S121" s="97"/>
      <c r="T121" s="97"/>
      <c r="U121" s="97"/>
      <c r="DN121" s="18"/>
      <c r="EI121" s="175" t="s">
        <v>301</v>
      </c>
      <c r="ER121" s="108"/>
    </row>
    <row r="122" spans="1:149">
      <c r="E122"/>
      <c r="F122"/>
      <c r="G122"/>
      <c r="H122"/>
      <c r="I122"/>
      <c r="J122"/>
      <c r="K122"/>
      <c r="L122"/>
      <c r="M122"/>
      <c r="N122"/>
      <c r="R122" s="97" t="s">
        <v>205</v>
      </c>
      <c r="S122" s="97"/>
      <c r="T122" s="97"/>
      <c r="U122" s="97"/>
      <c r="EH122" s="172" t="s">
        <v>296</v>
      </c>
      <c r="EI122" s="118" t="s">
        <v>224</v>
      </c>
      <c r="EJ122" s="4">
        <v>202203</v>
      </c>
      <c r="EK122" s="4">
        <v>202204</v>
      </c>
      <c r="EL122" s="4">
        <v>202205</v>
      </c>
      <c r="EM122" s="4">
        <v>202206</v>
      </c>
      <c r="EN122" s="4">
        <v>202207</v>
      </c>
      <c r="EO122" s="4">
        <v>202208</v>
      </c>
      <c r="EP122" s="4">
        <v>202209</v>
      </c>
      <c r="EQ122" s="4">
        <v>202210</v>
      </c>
      <c r="ER122" s="108"/>
    </row>
    <row r="123" spans="1:149">
      <c r="E123"/>
      <c r="F123"/>
      <c r="G123"/>
      <c r="H123"/>
      <c r="I123"/>
      <c r="J123"/>
      <c r="K123"/>
      <c r="L123"/>
      <c r="M123"/>
      <c r="N123"/>
      <c r="R123" s="97" t="s">
        <v>203</v>
      </c>
      <c r="S123" s="97"/>
      <c r="T123" s="97"/>
      <c r="U123" s="97"/>
      <c r="DD123" s="26"/>
      <c r="EH123" s="171" t="s">
        <v>295</v>
      </c>
      <c r="EI123" s="169">
        <v>950</v>
      </c>
      <c r="EJ123" s="278">
        <f ca="1">-SUM(EJ124:EJ129)</f>
        <v>3656.4200564200564</v>
      </c>
      <c r="EK123" s="278">
        <f ca="1">-SUM(EK124:EK129)</f>
        <v>1909.5405003075307</v>
      </c>
      <c r="EL123" s="278">
        <f t="shared" ref="EL123:EQ123" ca="1" si="134">-SUM(EL124:EL129)</f>
        <v>1929.43621127903</v>
      </c>
      <c r="EM123" s="278">
        <f t="shared" ca="1" si="134"/>
        <v>5366.0196131966632</v>
      </c>
      <c r="EN123" s="278" t="e">
        <f t="shared" ca="1" si="134"/>
        <v>#REF!</v>
      </c>
      <c r="EO123" s="278" t="e">
        <f t="shared" ca="1" si="134"/>
        <v>#REF!</v>
      </c>
      <c r="EP123" s="278" t="e">
        <f t="shared" ca="1" si="134"/>
        <v>#REF!</v>
      </c>
      <c r="EQ123" s="278" t="e">
        <f t="shared" ca="1" si="134"/>
        <v>#REF!</v>
      </c>
      <c r="ER123" s="108"/>
      <c r="ES123" s="6">
        <f ca="1">SUM(EJ123:EM123)</f>
        <v>12861.416381203278</v>
      </c>
    </row>
    <row r="124" spans="1:149">
      <c r="E124"/>
      <c r="F124"/>
      <c r="G124"/>
      <c r="H124"/>
      <c r="I124"/>
      <c r="J124"/>
      <c r="K124"/>
      <c r="L124"/>
      <c r="M124"/>
      <c r="N124"/>
      <c r="R124" s="97" t="s">
        <v>204</v>
      </c>
      <c r="S124" s="97"/>
      <c r="T124" s="97"/>
      <c r="U124" s="97"/>
      <c r="DD124" s="26"/>
      <c r="EH124" s="170" t="s">
        <v>328</v>
      </c>
      <c r="EI124" s="170">
        <v>120</v>
      </c>
      <c r="EJ124" s="278">
        <f t="shared" ref="EJ124:EQ124" ca="1" si="135">-SUM(EJ12:EJ17)/TAUXmoyen</f>
        <v>-275.87587587587586</v>
      </c>
      <c r="EK124" s="278">
        <f t="shared" ca="1" si="135"/>
        <v>-620.419607762032</v>
      </c>
      <c r="EL124" s="278">
        <f t="shared" ca="1" si="135"/>
        <v>-714.68758731631362</v>
      </c>
      <c r="EM124" s="278">
        <f t="shared" ca="1" si="135"/>
        <v>-411.09291109291109</v>
      </c>
      <c r="EN124" s="278" t="e">
        <f t="shared" ca="1" si="135"/>
        <v>#REF!</v>
      </c>
      <c r="EO124" s="278" t="e">
        <f t="shared" ca="1" si="135"/>
        <v>#REF!</v>
      </c>
      <c r="EP124" s="278" t="e">
        <f t="shared" ca="1" si="135"/>
        <v>#REF!</v>
      </c>
      <c r="EQ124" s="278" t="e">
        <f t="shared" ca="1" si="135"/>
        <v>#REF!</v>
      </c>
      <c r="ER124" s="108"/>
      <c r="ES124" s="6"/>
    </row>
    <row r="125" spans="1:149">
      <c r="E125"/>
      <c r="F125"/>
      <c r="G125"/>
      <c r="H125"/>
      <c r="I125"/>
      <c r="J125"/>
      <c r="K125"/>
      <c r="L125"/>
      <c r="M125"/>
      <c r="N125"/>
      <c r="R125" s="97" t="s">
        <v>147</v>
      </c>
      <c r="S125" s="97"/>
      <c r="T125" s="97"/>
      <c r="U125" s="97"/>
      <c r="DD125" s="26"/>
      <c r="EH125" s="170" t="s">
        <v>61</v>
      </c>
      <c r="EI125" s="170">
        <v>580</v>
      </c>
      <c r="EJ125" s="278">
        <f ca="1">((EJ18+EJ19+EJ20+EJ21+EJ22+EJ23+EJ24)/TAUXmoyen)*-1</f>
        <v>-430.92789759456423</v>
      </c>
      <c r="EK125" s="278">
        <f ca="1">((EK18+EK19+EK20+EK21+EK22+EK23+EK24)/TAUXmoyen)*-1</f>
        <v>-1203.522980556314</v>
      </c>
      <c r="EL125" s="278">
        <f ca="1">((EL18+EL19+EL20+EL21+EL22+EL23+EL24)/TAUXmoyen)*-1</f>
        <v>-731.55096461329526</v>
      </c>
      <c r="EM125" s="278">
        <f ca="1">((EM18+EM19+EM20+EM21+EM22+EM23+EM24)/TAUXmoyen)*-1</f>
        <v>-430.41526374859706</v>
      </c>
      <c r="EN125" s="278" t="e">
        <f ca="1">((EN18+EN19+EN20+EN21+EN22+EN23+EN24+EN27)/TAUXmoyen)*-1</f>
        <v>#REF!</v>
      </c>
      <c r="EO125" s="278" t="e">
        <f ca="1">((EO18+EO19+EO20+EO21+EO22+EO23+EO24+EO27)/TAUXmoyen)*-1</f>
        <v>#REF!</v>
      </c>
      <c r="EP125" s="278" t="e">
        <f ca="1">((EP18+EP19+EP20+EP21+EP22+EP23+EP24+EP27)/TAUXmoyen)*-1</f>
        <v>#REF!</v>
      </c>
      <c r="EQ125" s="278" t="e">
        <f ca="1">((EQ18+EQ19+EQ20+EQ21+EQ22+EQ23+EQ24+EQ27)/TAUXmoyen)*-1</f>
        <v>#REF!</v>
      </c>
      <c r="ER125" s="108"/>
      <c r="ES125" s="6"/>
    </row>
    <row r="126" spans="1:149">
      <c r="E126"/>
      <c r="F126"/>
      <c r="G126"/>
      <c r="H126"/>
      <c r="I126"/>
      <c r="J126"/>
      <c r="K126"/>
      <c r="L126"/>
      <c r="M126"/>
      <c r="N126"/>
      <c r="R126" s="97" t="s">
        <v>146</v>
      </c>
      <c r="S126" s="97"/>
      <c r="T126" s="97"/>
      <c r="U126" s="97"/>
      <c r="DD126" s="26"/>
      <c r="EH126" s="170" t="s">
        <v>145</v>
      </c>
      <c r="EI126" s="170">
        <v>60</v>
      </c>
      <c r="EJ126" s="278">
        <f t="shared" ref="EJ126:EM127" ca="1" si="136">-EJ25/TAUXmoyen</f>
        <v>-96.611763278429947</v>
      </c>
      <c r="EK126" s="278">
        <f t="shared" ca="1" si="136"/>
        <v>0</v>
      </c>
      <c r="EL126" s="278">
        <f t="shared" ca="1" si="136"/>
        <v>-27.176720943658612</v>
      </c>
      <c r="EM126" s="278">
        <f t="shared" ca="1" si="136"/>
        <v>-83.598750265416925</v>
      </c>
      <c r="EN126" s="278" t="e">
        <f t="shared" ref="EN126:EQ127" ca="1" si="137">EN25/TAUXmoyen</f>
        <v>#REF!</v>
      </c>
      <c r="EO126" s="278" t="e">
        <f t="shared" ca="1" si="137"/>
        <v>#REF!</v>
      </c>
      <c r="EP126" s="278" t="e">
        <f t="shared" ca="1" si="137"/>
        <v>#REF!</v>
      </c>
      <c r="EQ126" s="278" t="e">
        <f t="shared" ca="1" si="137"/>
        <v>#REF!</v>
      </c>
      <c r="ER126" s="142"/>
      <c r="ES126" s="6"/>
    </row>
    <row r="127" spans="1:149">
      <c r="E127"/>
      <c r="F127"/>
      <c r="G127"/>
      <c r="H127"/>
      <c r="I127"/>
      <c r="J127"/>
      <c r="K127"/>
      <c r="L127"/>
      <c r="M127"/>
      <c r="N127"/>
      <c r="R127" s="97" t="s">
        <v>148</v>
      </c>
      <c r="S127" s="97"/>
      <c r="T127" s="97"/>
      <c r="U127" s="97"/>
      <c r="DD127" s="26"/>
      <c r="EH127" s="170" t="s">
        <v>206</v>
      </c>
      <c r="EI127" s="170">
        <v>140</v>
      </c>
      <c r="EJ127" s="278">
        <f t="shared" ca="1" si="136"/>
        <v>-13.801680468347135</v>
      </c>
      <c r="EK127" s="278">
        <f t="shared" ca="1" si="136"/>
        <v>0</v>
      </c>
      <c r="EL127" s="278">
        <f t="shared" ca="1" si="136"/>
        <v>-52.223201274691796</v>
      </c>
      <c r="EM127" s="278">
        <f t="shared" ca="1" si="136"/>
        <v>-85.570418903752241</v>
      </c>
      <c r="EN127" s="278" t="e">
        <f t="shared" ca="1" si="137"/>
        <v>#REF!</v>
      </c>
      <c r="EO127" s="278" t="e">
        <f t="shared" ca="1" si="137"/>
        <v>#REF!</v>
      </c>
      <c r="EP127" s="278" t="e">
        <f t="shared" ca="1" si="137"/>
        <v>#REF!</v>
      </c>
      <c r="EQ127" s="278" t="e">
        <f t="shared" ca="1" si="137"/>
        <v>#REF!</v>
      </c>
      <c r="ER127" s="142"/>
      <c r="ES127" s="6"/>
    </row>
    <row r="128" spans="1:149">
      <c r="E128"/>
      <c r="F128"/>
      <c r="G128"/>
      <c r="H128"/>
      <c r="I128"/>
      <c r="J128"/>
      <c r="K128"/>
      <c r="L128"/>
      <c r="M128"/>
      <c r="N128"/>
      <c r="R128" s="97" t="s">
        <v>561</v>
      </c>
      <c r="S128" s="97"/>
      <c r="T128" s="97"/>
      <c r="U128" s="97"/>
      <c r="DD128" s="26"/>
      <c r="EH128" s="170" t="s">
        <v>136</v>
      </c>
      <c r="EI128" s="170">
        <v>560</v>
      </c>
      <c r="EJ128" s="278">
        <f ca="1">EJ27/TAUXmoyen</f>
        <v>0</v>
      </c>
      <c r="EK128" s="278">
        <f ca="1">-EK27/cashVIII!$O$22</f>
        <v>-85.597911989184752</v>
      </c>
      <c r="EL128" s="278">
        <f ca="1">-EL27/cashVIII!$O$22</f>
        <v>0</v>
      </c>
      <c r="EM128" s="278">
        <f ca="1">-EM27/cashVIII!$O$22</f>
        <v>-225.09080560118954</v>
      </c>
      <c r="EN128" s="278" t="e">
        <f ca="1">-EN27/cashVIII!$O$22</f>
        <v>#REF!</v>
      </c>
      <c r="EO128" s="278" t="e">
        <f ca="1">-EO27/cashVIII!$O$22</f>
        <v>#REF!</v>
      </c>
      <c r="EP128" s="278" t="e">
        <f ca="1">-EP27/cashVIII!$O$22</f>
        <v>#REF!</v>
      </c>
      <c r="EQ128" s="278" t="e">
        <f ca="1">-EQ27/cashVIII!$O$22</f>
        <v>#REF!</v>
      </c>
      <c r="ER128" s="142"/>
      <c r="ES128" s="6"/>
    </row>
    <row r="129" spans="5:150">
      <c r="E129"/>
      <c r="F129"/>
      <c r="G129"/>
      <c r="H129"/>
      <c r="I129"/>
      <c r="J129"/>
      <c r="K129"/>
      <c r="L129"/>
      <c r="M129"/>
      <c r="N129"/>
      <c r="R129" s="97" t="s">
        <v>227</v>
      </c>
      <c r="S129" s="97"/>
      <c r="T129" s="97"/>
      <c r="U129" s="97"/>
      <c r="DD129" s="26"/>
      <c r="EH129" s="170" t="s">
        <v>549</v>
      </c>
      <c r="EI129" s="170">
        <v>165</v>
      </c>
      <c r="EJ129" s="278">
        <f t="shared" ref="EJ129:EQ129" ca="1" si="138">-(EJ28+EJ29)/TAUXmoyen</f>
        <v>-2839.2028392028392</v>
      </c>
      <c r="EK129" s="278">
        <f t="shared" ca="1" si="138"/>
        <v>0</v>
      </c>
      <c r="EL129" s="278">
        <f t="shared" ca="1" si="138"/>
        <v>-403.79773713107045</v>
      </c>
      <c r="EM129" s="278">
        <f t="shared" ca="1" si="138"/>
        <v>-4130.2514635847965</v>
      </c>
      <c r="EN129" s="278" t="e">
        <f t="shared" ca="1" si="138"/>
        <v>#REF!</v>
      </c>
      <c r="EO129" s="278" t="e">
        <f t="shared" ca="1" si="138"/>
        <v>#REF!</v>
      </c>
      <c r="EP129" s="278" t="e">
        <f t="shared" ca="1" si="138"/>
        <v>#REF!</v>
      </c>
      <c r="EQ129" s="278" t="e">
        <f t="shared" ca="1" si="138"/>
        <v>#REF!</v>
      </c>
      <c r="ER129" s="142"/>
      <c r="ES129" s="6"/>
    </row>
    <row r="130" spans="5:150">
      <c r="E130"/>
      <c r="F130"/>
      <c r="G130"/>
      <c r="H130"/>
      <c r="I130"/>
      <c r="J130"/>
      <c r="K130"/>
      <c r="L130"/>
      <c r="M130"/>
      <c r="N130"/>
      <c r="DD130" s="26"/>
      <c r="EH130" s="2" t="s">
        <v>258</v>
      </c>
      <c r="EI130" s="169">
        <v>580</v>
      </c>
      <c r="EJ130" s="173" t="e">
        <f t="shared" ref="EJ130:EP130" ca="1" si="139">EJ136</f>
        <v>#REF!</v>
      </c>
      <c r="EK130" s="173" t="e">
        <f t="shared" ca="1" si="139"/>
        <v>#REF!</v>
      </c>
      <c r="EL130" s="173" t="e">
        <f t="shared" ca="1" si="139"/>
        <v>#REF!</v>
      </c>
      <c r="EM130" s="173" t="e">
        <f t="shared" ca="1" si="139"/>
        <v>#REF!</v>
      </c>
      <c r="EN130" s="173" t="e">
        <f t="shared" ca="1" si="139"/>
        <v>#REF!</v>
      </c>
      <c r="EO130" s="173" t="e">
        <f t="shared" ca="1" si="139"/>
        <v>#REF!</v>
      </c>
      <c r="EP130" s="173" t="e">
        <f t="shared" ca="1" si="139"/>
        <v>#REF!</v>
      </c>
      <c r="EQ130" s="173" t="e">
        <f ca="1">EQ136</f>
        <v>#REF!</v>
      </c>
      <c r="ER130" s="142"/>
    </row>
    <row r="131" spans="5:150">
      <c r="E131"/>
      <c r="F131"/>
      <c r="G131"/>
      <c r="H131"/>
      <c r="I131"/>
      <c r="J131"/>
      <c r="K131"/>
      <c r="L131"/>
      <c r="M131"/>
      <c r="N131"/>
      <c r="DD131" s="26"/>
      <c r="EH131" s="191" t="s">
        <v>307</v>
      </c>
      <c r="EI131" s="169">
        <v>580</v>
      </c>
      <c r="EJ131" s="169" t="s">
        <v>297</v>
      </c>
      <c r="EK131" s="174" t="e">
        <f t="shared" ref="EK131:EP131" ca="1" si="140">-EK130</f>
        <v>#REF!</v>
      </c>
      <c r="EL131" s="174" t="e">
        <f t="shared" ca="1" si="140"/>
        <v>#REF!</v>
      </c>
      <c r="EM131" s="174" t="e">
        <f t="shared" ca="1" si="140"/>
        <v>#REF!</v>
      </c>
      <c r="EN131" s="174" t="e">
        <f t="shared" ca="1" si="140"/>
        <v>#REF!</v>
      </c>
      <c r="EO131" s="174" t="e">
        <f t="shared" ca="1" si="140"/>
        <v>#REF!</v>
      </c>
      <c r="EP131" s="174" t="e">
        <f t="shared" ca="1" si="140"/>
        <v>#REF!</v>
      </c>
      <c r="EQ131" s="174" t="e">
        <f ca="1">-EQ130</f>
        <v>#REF!</v>
      </c>
      <c r="ER131" s="142"/>
    </row>
    <row r="132" spans="5:150">
      <c r="E132"/>
      <c r="F132"/>
      <c r="G132"/>
      <c r="H132"/>
      <c r="I132"/>
      <c r="J132"/>
      <c r="K132"/>
      <c r="L132"/>
      <c r="M132"/>
      <c r="N132"/>
      <c r="DD132" s="26"/>
      <c r="EJ132" s="142"/>
      <c r="EK132" s="142"/>
      <c r="EL132" s="142"/>
      <c r="EM132" s="142"/>
      <c r="EN132" s="142"/>
      <c r="EO132" s="142"/>
      <c r="EP132" s="142"/>
      <c r="EQ132" s="142"/>
      <c r="ER132" s="142"/>
    </row>
    <row r="133" spans="5:150">
      <c r="E133"/>
      <c r="F133"/>
      <c r="G133"/>
      <c r="H133"/>
      <c r="I133"/>
      <c r="J133"/>
      <c r="K133"/>
      <c r="L133"/>
      <c r="M133"/>
      <c r="N133"/>
      <c r="DD133" s="26"/>
      <c r="EI133" s="161" t="s">
        <v>299</v>
      </c>
      <c r="EJ133" s="104" t="e">
        <f>electr!#REF!</f>
        <v>#REF!</v>
      </c>
      <c r="EK133" s="104" t="e">
        <f>electr!#REF!</f>
        <v>#REF!</v>
      </c>
      <c r="EL133" s="104" t="e">
        <f>electr!#REF!</f>
        <v>#REF!</v>
      </c>
      <c r="EM133" s="104" t="e">
        <f>electr!#REF!</f>
        <v>#REF!</v>
      </c>
      <c r="EN133" s="104" t="e">
        <f>electr!#REF!</f>
        <v>#REF!</v>
      </c>
      <c r="EO133" s="104" t="e">
        <f>electr!#REF!</f>
        <v>#REF!</v>
      </c>
      <c r="EP133" s="104" t="e">
        <f>electr!#REF!</f>
        <v>#REF!</v>
      </c>
      <c r="EQ133" s="104" t="e">
        <f>electr!#REF!</f>
        <v>#REF!</v>
      </c>
      <c r="ER133" s="142"/>
    </row>
    <row r="134" spans="5:150">
      <c r="E134"/>
      <c r="F134"/>
      <c r="G134"/>
      <c r="H134"/>
      <c r="I134"/>
      <c r="J134"/>
      <c r="K134"/>
      <c r="L134"/>
      <c r="M134"/>
      <c r="N134"/>
      <c r="DD134" s="26"/>
      <c r="EI134" s="142" t="s">
        <v>298</v>
      </c>
      <c r="EJ134" s="108">
        <f ca="1">SUM(EJ124:EJ129)</f>
        <v>-3656.4200564200564</v>
      </c>
      <c r="EK134" s="108">
        <f ca="1">SUM(EK124:EK129)</f>
        <v>-1909.5405003075307</v>
      </c>
      <c r="EL134" s="108">
        <f ca="1">SUM(EL124:EL129)</f>
        <v>-1929.43621127903</v>
      </c>
      <c r="EM134" s="108">
        <f ca="1">SUM(EM124:EM129)</f>
        <v>-5366.0196131966632</v>
      </c>
      <c r="EN134" s="108" t="e">
        <f ca="1">SUM(EN124:EN125)</f>
        <v>#REF!</v>
      </c>
      <c r="EO134" s="108" t="e">
        <f ca="1">SUM(EO124:EO125)</f>
        <v>#REF!</v>
      </c>
      <c r="EP134" s="108" t="e">
        <f ca="1">SUM(EP124:EP125)</f>
        <v>#REF!</v>
      </c>
      <c r="EQ134" s="108" t="e">
        <f ca="1">SUM(EQ124:EQ125)</f>
        <v>#REF!</v>
      </c>
      <c r="ER134" s="142"/>
    </row>
    <row r="135" spans="5:150">
      <c r="E135"/>
      <c r="F135"/>
      <c r="G135"/>
      <c r="H135"/>
      <c r="I135"/>
      <c r="J135"/>
      <c r="K135"/>
      <c r="L135"/>
      <c r="M135"/>
      <c r="N135"/>
      <c r="DD135" s="26"/>
      <c r="EI135" s="161" t="s">
        <v>300</v>
      </c>
      <c r="EJ135" s="104">
        <f ca="1">EJ134</f>
        <v>-3656.4200564200564</v>
      </c>
      <c r="EK135" s="104">
        <f ca="1">EK134+EJ135</f>
        <v>-5565.9605567275867</v>
      </c>
      <c r="EL135" s="104">
        <f ca="1">EL134+EK135</f>
        <v>-7495.3967680066162</v>
      </c>
      <c r="EM135" s="104">
        <f ca="1">EM134+EL135</f>
        <v>-12861.416381203278</v>
      </c>
      <c r="EN135" s="104" t="e">
        <f ca="1">EN134</f>
        <v>#REF!</v>
      </c>
      <c r="EO135" s="104" t="e">
        <f ca="1">EO134</f>
        <v>#REF!</v>
      </c>
      <c r="EP135" s="104" t="e">
        <f ca="1">EP134</f>
        <v>#REF!</v>
      </c>
      <c r="EQ135" s="104" t="e">
        <f ca="1">EQ134</f>
        <v>#REF!</v>
      </c>
      <c r="ER135" s="142"/>
    </row>
    <row r="136" spans="5:150">
      <c r="E136"/>
      <c r="F136"/>
      <c r="G136"/>
      <c r="H136"/>
      <c r="I136"/>
      <c r="J136"/>
      <c r="K136"/>
      <c r="L136"/>
      <c r="M136"/>
      <c r="N136"/>
      <c r="DD136" s="26"/>
      <c r="EI136" s="142" t="s">
        <v>258</v>
      </c>
      <c r="EJ136" s="108" t="e">
        <f ca="1">EJ133+EJ134</f>
        <v>#REF!</v>
      </c>
      <c r="EK136" s="108" t="e">
        <f ca="1">EK133+EK135</f>
        <v>#REF!</v>
      </c>
      <c r="EL136" s="108" t="e">
        <f t="shared" ref="EL136:EQ136" ca="1" si="141">EL133+EL135</f>
        <v>#REF!</v>
      </c>
      <c r="EM136" s="108" t="e">
        <f t="shared" ca="1" si="141"/>
        <v>#REF!</v>
      </c>
      <c r="EN136" s="108" t="e">
        <f t="shared" ca="1" si="141"/>
        <v>#REF!</v>
      </c>
      <c r="EO136" s="108" t="e">
        <f t="shared" ca="1" si="141"/>
        <v>#REF!</v>
      </c>
      <c r="EP136" s="108" t="e">
        <f t="shared" ca="1" si="141"/>
        <v>#REF!</v>
      </c>
      <c r="EQ136" s="108" t="e">
        <f t="shared" ca="1" si="141"/>
        <v>#REF!</v>
      </c>
    </row>
    <row r="137" spans="5:150">
      <c r="E137"/>
      <c r="F137"/>
      <c r="G137"/>
      <c r="H137"/>
      <c r="I137"/>
      <c r="J137"/>
      <c r="K137"/>
      <c r="L137"/>
      <c r="M137"/>
      <c r="N137"/>
      <c r="DD137" s="26"/>
      <c r="EJ137" s="142" t="e">
        <f t="shared" ref="EJ137:EP137" ca="1" si="142">-EJ135+EJ136</f>
        <v>#REF!</v>
      </c>
      <c r="EK137" s="142" t="e">
        <f t="shared" ca="1" si="142"/>
        <v>#REF!</v>
      </c>
      <c r="EL137" s="142" t="e">
        <f t="shared" ca="1" si="142"/>
        <v>#REF!</v>
      </c>
      <c r="EM137" s="142" t="e">
        <f t="shared" ca="1" si="142"/>
        <v>#REF!</v>
      </c>
      <c r="EN137" s="142" t="e">
        <f t="shared" ca="1" si="142"/>
        <v>#REF!</v>
      </c>
      <c r="EO137" s="142" t="e">
        <f t="shared" ca="1" si="142"/>
        <v>#REF!</v>
      </c>
      <c r="EP137" s="142" t="e">
        <f t="shared" ca="1" si="142"/>
        <v>#REF!</v>
      </c>
      <c r="EQ137" s="142" t="e">
        <f ca="1">-EQ135+EQ136</f>
        <v>#REF!</v>
      </c>
      <c r="ET137">
        <v>0</v>
      </c>
    </row>
    <row r="138" spans="5:150">
      <c r="E138"/>
      <c r="F138"/>
      <c r="G138"/>
      <c r="H138"/>
      <c r="I138"/>
      <c r="J138"/>
      <c r="K138"/>
      <c r="L138"/>
      <c r="M138"/>
      <c r="N138"/>
      <c r="DD138" s="26"/>
    </row>
    <row r="139" spans="5:150">
      <c r="E139"/>
      <c r="F139"/>
      <c r="G139"/>
      <c r="H139"/>
      <c r="I139"/>
      <c r="J139"/>
      <c r="K139"/>
      <c r="L139"/>
      <c r="M139"/>
      <c r="N139"/>
      <c r="DD139" s="26"/>
      <c r="EI139" s="175" t="s">
        <v>301</v>
      </c>
      <c r="EJ139" s="94"/>
      <c r="EK139" s="118" t="s">
        <v>308</v>
      </c>
      <c r="EL139" s="94"/>
    </row>
    <row r="140" spans="5:150">
      <c r="E140"/>
      <c r="F140"/>
      <c r="G140"/>
      <c r="H140"/>
      <c r="I140"/>
      <c r="J140"/>
      <c r="K140"/>
      <c r="L140"/>
      <c r="M140"/>
      <c r="N140"/>
      <c r="DD140" s="26"/>
      <c r="EH140" s="172" t="s">
        <v>296</v>
      </c>
      <c r="EJ140" s="4">
        <f>EJ122</f>
        <v>202203</v>
      </c>
      <c r="EK140" s="4">
        <f t="shared" ref="EK140:EQ140" si="143">EK122</f>
        <v>202204</v>
      </c>
      <c r="EL140" s="4">
        <f t="shared" si="143"/>
        <v>202205</v>
      </c>
      <c r="EM140" s="4">
        <v>202206</v>
      </c>
      <c r="EN140" s="4">
        <f t="shared" si="143"/>
        <v>202207</v>
      </c>
      <c r="EO140" s="4">
        <f t="shared" si="143"/>
        <v>202208</v>
      </c>
      <c r="EP140" s="4">
        <f t="shared" si="143"/>
        <v>202209</v>
      </c>
      <c r="EQ140" s="4">
        <f t="shared" si="143"/>
        <v>202210</v>
      </c>
      <c r="ES140" s="182">
        <f>ES122</f>
        <v>0</v>
      </c>
    </row>
    <row r="141" spans="5:150">
      <c r="E141"/>
      <c r="F141"/>
      <c r="G141"/>
      <c r="H141"/>
      <c r="I141"/>
      <c r="J141"/>
      <c r="K141"/>
      <c r="L141"/>
      <c r="M141"/>
      <c r="N141"/>
      <c r="DD141" s="26"/>
      <c r="EH141" s="171" t="s">
        <v>295</v>
      </c>
      <c r="EI141" s="169">
        <v>950</v>
      </c>
      <c r="EJ141" s="278">
        <v>3622.3528367220101</v>
      </c>
      <c r="EK141" s="278">
        <v>1897.7130505018622</v>
      </c>
      <c r="EL141" s="278">
        <v>2004.1443357347932</v>
      </c>
      <c r="EM141" s="303">
        <v>5337.8543207632129</v>
      </c>
      <c r="EN141" s="108"/>
      <c r="EO141" s="108"/>
      <c r="EP141" s="108"/>
      <c r="EQ141" s="108"/>
      <c r="ES141" s="329">
        <f t="shared" ref="ES141:ES147" ca="1" si="144">+ES123</f>
        <v>12861.416381203278</v>
      </c>
    </row>
    <row r="142" spans="5:150">
      <c r="E142"/>
      <c r="F142"/>
      <c r="G142"/>
      <c r="H142"/>
      <c r="I142"/>
      <c r="J142"/>
      <c r="K142"/>
      <c r="L142"/>
      <c r="M142"/>
      <c r="N142"/>
      <c r="DD142" s="26"/>
      <c r="EH142" s="170" t="s">
        <v>328</v>
      </c>
      <c r="EI142" s="170">
        <v>120</v>
      </c>
      <c r="EJ142" s="278">
        <v>-264.90633046257659</v>
      </c>
      <c r="EK142" s="278">
        <v>-616.69826536031735</v>
      </c>
      <c r="EL142" s="278">
        <v>-854.87308066167327</v>
      </c>
      <c r="EM142" s="303">
        <v>-478.30784288441254</v>
      </c>
      <c r="EN142" s="108"/>
      <c r="EO142" s="108"/>
      <c r="EP142" s="108"/>
      <c r="EQ142" s="108"/>
      <c r="ES142" s="329">
        <f t="shared" si="144"/>
        <v>0</v>
      </c>
    </row>
    <row r="143" spans="5:150">
      <c r="E143"/>
      <c r="F143"/>
      <c r="G143"/>
      <c r="H143"/>
      <c r="I143"/>
      <c r="J143"/>
      <c r="K143"/>
      <c r="L143"/>
      <c r="M143"/>
      <c r="N143"/>
      <c r="DD143" s="26"/>
      <c r="EH143" s="170" t="s">
        <v>61</v>
      </c>
      <c r="EI143" s="170">
        <v>580</v>
      </c>
      <c r="EJ143" s="278">
        <v>-435.3120838142591</v>
      </c>
      <c r="EK143" s="278">
        <v>-1196.3475663491945</v>
      </c>
      <c r="EL143" s="278">
        <v>-668.96035724876629</v>
      </c>
      <c r="EM143" s="303">
        <v>-358.9564805634887</v>
      </c>
      <c r="EN143" s="108"/>
      <c r="EO143" s="108"/>
      <c r="EP143" s="108"/>
      <c r="EQ143" s="108"/>
      <c r="ES143" s="329">
        <f t="shared" si="144"/>
        <v>0</v>
      </c>
    </row>
    <row r="144" spans="5:150">
      <c r="E144"/>
      <c r="F144"/>
      <c r="G144"/>
      <c r="H144"/>
      <c r="I144"/>
      <c r="J144"/>
      <c r="K144"/>
      <c r="L144"/>
      <c r="M144"/>
      <c r="N144"/>
      <c r="DD144" s="26"/>
      <c r="EH144" s="170" t="s">
        <v>145</v>
      </c>
      <c r="EI144" s="170">
        <v>60</v>
      </c>
      <c r="EJ144" s="278">
        <v>-95.711622125543812</v>
      </c>
      <c r="EK144" s="278">
        <v>0</v>
      </c>
      <c r="EL144" s="278">
        <v>-27.014359411313293</v>
      </c>
      <c r="EM144" s="303">
        <v>-83.177149283484098</v>
      </c>
      <c r="EN144" s="108"/>
      <c r="EO144" s="108"/>
      <c r="EP144" s="108"/>
      <c r="EQ144" s="108"/>
      <c r="ES144" s="329">
        <f t="shared" si="144"/>
        <v>0</v>
      </c>
    </row>
    <row r="145" spans="5:149">
      <c r="E145"/>
      <c r="F145"/>
      <c r="G145"/>
      <c r="H145"/>
      <c r="I145"/>
      <c r="J145"/>
      <c r="K145"/>
      <c r="L145"/>
      <c r="M145"/>
      <c r="N145"/>
      <c r="DD145" s="26"/>
      <c r="EH145" s="170" t="s">
        <v>206</v>
      </c>
      <c r="EI145" s="170">
        <v>140</v>
      </c>
      <c r="EJ145" s="278">
        <v>-13.673088875077688</v>
      </c>
      <c r="EK145" s="278">
        <v>0</v>
      </c>
      <c r="EL145" s="278">
        <v>-51.911204878934001</v>
      </c>
      <c r="EM145" s="303">
        <v>-85.138874502434192</v>
      </c>
      <c r="EN145" s="108"/>
      <c r="EO145" s="108"/>
      <c r="EP145" s="108"/>
      <c r="EQ145" s="108"/>
      <c r="ES145" s="329">
        <f t="shared" si="144"/>
        <v>0</v>
      </c>
    </row>
    <row r="146" spans="5:149">
      <c r="E146"/>
      <c r="F146"/>
      <c r="G146"/>
      <c r="H146"/>
      <c r="I146"/>
      <c r="J146"/>
      <c r="K146"/>
      <c r="L146"/>
      <c r="M146"/>
      <c r="N146"/>
      <c r="DD146" s="26"/>
      <c r="EH146" s="170" t="s">
        <v>136</v>
      </c>
      <c r="EI146" s="170">
        <v>560</v>
      </c>
      <c r="EJ146" s="278">
        <v>0</v>
      </c>
      <c r="EK146" s="278">
        <v>-84.667218792350553</v>
      </c>
      <c r="EL146" s="278">
        <v>0</v>
      </c>
      <c r="EM146" s="303">
        <v>-222.85198487273098</v>
      </c>
      <c r="ES146" s="329">
        <f t="shared" si="144"/>
        <v>0</v>
      </c>
    </row>
    <row r="147" spans="5:149">
      <c r="E147"/>
      <c r="F147"/>
      <c r="G147"/>
      <c r="H147"/>
      <c r="I147"/>
      <c r="J147"/>
      <c r="K147"/>
      <c r="L147"/>
      <c r="M147"/>
      <c r="N147"/>
      <c r="DD147" s="26"/>
      <c r="EH147" s="170" t="s">
        <v>549</v>
      </c>
      <c r="EI147" s="170">
        <v>165</v>
      </c>
      <c r="EJ147" s="278">
        <v>-2812.7497114445528</v>
      </c>
      <c r="EK147" s="278">
        <v>0</v>
      </c>
      <c r="EL147" s="278">
        <v>-401.38533353410634</v>
      </c>
      <c r="EM147" s="303">
        <v>-4109.4219886566625</v>
      </c>
      <c r="ES147" s="329">
        <f t="shared" si="144"/>
        <v>0</v>
      </c>
    </row>
    <row r="148" spans="5:149">
      <c r="E148"/>
      <c r="F148"/>
      <c r="G148"/>
      <c r="H148"/>
      <c r="I148"/>
      <c r="J148"/>
      <c r="K148"/>
      <c r="L148"/>
      <c r="M148"/>
      <c r="N148"/>
      <c r="DD148" s="26"/>
      <c r="EH148" s="2" t="s">
        <v>258</v>
      </c>
      <c r="EI148" s="169">
        <v>580</v>
      </c>
      <c r="EJ148" s="169"/>
      <c r="EK148" s="173"/>
      <c r="EL148" s="304"/>
      <c r="EM148" s="173"/>
      <c r="EN148" s="173"/>
      <c r="EO148" s="173"/>
      <c r="EP148" s="173"/>
      <c r="EQ148" s="173"/>
    </row>
    <row r="149" spans="5:149">
      <c r="E149"/>
      <c r="F149"/>
      <c r="G149"/>
      <c r="H149"/>
      <c r="I149"/>
      <c r="J149"/>
      <c r="K149"/>
      <c r="L149"/>
      <c r="M149"/>
      <c r="N149"/>
      <c r="DD149" s="26"/>
      <c r="EH149" s="191" t="s">
        <v>307</v>
      </c>
      <c r="EJ149" s="169" t="s">
        <v>297</v>
      </c>
      <c r="EK149" s="190"/>
      <c r="EL149" s="190"/>
      <c r="EM149" s="190"/>
      <c r="EN149" s="190"/>
      <c r="EO149" s="190"/>
      <c r="EP149" s="174"/>
      <c r="EQ149" s="174"/>
    </row>
    <row r="150" spans="5:149">
      <c r="E150"/>
      <c r="F150"/>
      <c r="G150"/>
      <c r="H150"/>
      <c r="I150"/>
      <c r="J150"/>
      <c r="K150"/>
      <c r="L150"/>
      <c r="M150"/>
      <c r="N150"/>
      <c r="DD150" s="26"/>
      <c r="EJ150" s="142"/>
      <c r="EK150" s="142"/>
      <c r="EL150" s="142"/>
    </row>
    <row r="151" spans="5:149">
      <c r="E151"/>
      <c r="F151"/>
      <c r="G151"/>
      <c r="H151"/>
      <c r="I151"/>
      <c r="J151"/>
      <c r="K151"/>
      <c r="L151"/>
      <c r="M151"/>
      <c r="N151"/>
      <c r="DD151" s="26"/>
      <c r="EI151" s="69" t="s">
        <v>331</v>
      </c>
      <c r="EJ151" s="243">
        <f t="shared" ref="EJ151:EQ151" ca="1" si="145">EJ141-EJ123</f>
        <v>-34.067219698046301</v>
      </c>
      <c r="EK151" s="243">
        <f t="shared" ca="1" si="145"/>
        <v>-11.827449805668493</v>
      </c>
      <c r="EL151" s="243">
        <f t="shared" ca="1" si="145"/>
        <v>74.708124455763254</v>
      </c>
      <c r="EM151" s="243">
        <f t="shared" ca="1" si="145"/>
        <v>-28.165292433450304</v>
      </c>
      <c r="EN151" s="243" t="e">
        <f t="shared" ca="1" si="145"/>
        <v>#REF!</v>
      </c>
      <c r="EO151" s="243" t="e">
        <f t="shared" ca="1" si="145"/>
        <v>#REF!</v>
      </c>
      <c r="EP151" s="243" t="e">
        <f t="shared" ca="1" si="145"/>
        <v>#REF!</v>
      </c>
      <c r="EQ151" s="243" t="e">
        <f t="shared" ca="1" si="145"/>
        <v>#REF!</v>
      </c>
      <c r="ER151" s="70"/>
    </row>
    <row r="152" spans="5:149">
      <c r="E152"/>
      <c r="F152"/>
      <c r="G152"/>
      <c r="H152"/>
      <c r="I152"/>
      <c r="J152"/>
      <c r="K152"/>
      <c r="L152"/>
      <c r="M152"/>
      <c r="N152"/>
      <c r="DD152" s="26"/>
    </row>
    <row r="153" spans="5:149">
      <c r="E153"/>
      <c r="F153"/>
      <c r="G153"/>
      <c r="H153"/>
      <c r="I153"/>
      <c r="J153"/>
      <c r="K153"/>
      <c r="L153"/>
      <c r="M153"/>
      <c r="N153"/>
      <c r="DD153" s="26"/>
      <c r="EG153" s="298">
        <v>44712</v>
      </c>
      <c r="EH153" s="108">
        <f>EL141</f>
        <v>2004.1443357347932</v>
      </c>
      <c r="EI153" s="4" t="s">
        <v>224</v>
      </c>
    </row>
    <row r="154" spans="5:149">
      <c r="E154"/>
      <c r="F154"/>
      <c r="G154"/>
      <c r="H154"/>
      <c r="I154"/>
      <c r="J154"/>
      <c r="K154"/>
      <c r="L154"/>
      <c r="M154"/>
      <c r="N154"/>
      <c r="DD154" s="26"/>
      <c r="EG154" s="298">
        <f t="shared" ref="EG154:EG159" si="146">EG153</f>
        <v>44712</v>
      </c>
      <c r="EH154" s="108">
        <f t="shared" ref="EH154:EH159" si="147">EL142</f>
        <v>-854.87308066167327</v>
      </c>
      <c r="EI154" s="169">
        <f t="shared" ref="EI154:EI159" si="148">EI141</f>
        <v>950</v>
      </c>
      <c r="EJ154" s="303">
        <v>5337.8543207632129</v>
      </c>
      <c r="ES154" s="169" t="s">
        <v>622</v>
      </c>
    </row>
    <row r="155" spans="5:149">
      <c r="E155"/>
      <c r="F155"/>
      <c r="G155"/>
      <c r="H155"/>
      <c r="I155"/>
      <c r="J155"/>
      <c r="K155"/>
      <c r="L155"/>
      <c r="M155"/>
      <c r="N155"/>
      <c r="DD155" s="26"/>
      <c r="EG155" s="298">
        <f t="shared" si="146"/>
        <v>44712</v>
      </c>
      <c r="EH155" s="108">
        <f t="shared" si="147"/>
        <v>-668.96035724876629</v>
      </c>
      <c r="EI155" s="170">
        <f t="shared" si="148"/>
        <v>120</v>
      </c>
      <c r="EJ155" s="303">
        <v>-478.30784288441254</v>
      </c>
      <c r="ES155" s="170" t="s">
        <v>328</v>
      </c>
    </row>
    <row r="156" spans="5:149">
      <c r="E156"/>
      <c r="F156"/>
      <c r="G156"/>
      <c r="H156"/>
      <c r="I156"/>
      <c r="J156"/>
      <c r="K156"/>
      <c r="L156"/>
      <c r="M156"/>
      <c r="N156"/>
      <c r="DD156" s="26"/>
      <c r="EG156" s="298">
        <f t="shared" si="146"/>
        <v>44712</v>
      </c>
      <c r="EH156" s="108">
        <f t="shared" si="147"/>
        <v>-27.014359411313293</v>
      </c>
      <c r="EI156" s="170">
        <f t="shared" si="148"/>
        <v>580</v>
      </c>
      <c r="EJ156" s="303">
        <v>-358.9564805634887</v>
      </c>
      <c r="ES156" s="170" t="s">
        <v>61</v>
      </c>
    </row>
    <row r="157" spans="5:149">
      <c r="E157"/>
      <c r="F157"/>
      <c r="G157"/>
      <c r="H157"/>
      <c r="I157"/>
      <c r="J157"/>
      <c r="K157"/>
      <c r="L157"/>
      <c r="M157"/>
      <c r="N157"/>
      <c r="DD157" s="26"/>
      <c r="EG157" s="298">
        <f t="shared" si="146"/>
        <v>44712</v>
      </c>
      <c r="EH157" s="108">
        <f t="shared" si="147"/>
        <v>-51.911204878934001</v>
      </c>
      <c r="EI157" s="170">
        <f t="shared" si="148"/>
        <v>60</v>
      </c>
      <c r="EJ157" s="303">
        <v>-83.177149283484098</v>
      </c>
      <c r="ES157" s="170" t="s">
        <v>145</v>
      </c>
    </row>
    <row r="158" spans="5:149">
      <c r="E158"/>
      <c r="F158"/>
      <c r="G158"/>
      <c r="H158"/>
      <c r="I158"/>
      <c r="J158"/>
      <c r="K158"/>
      <c r="L158"/>
      <c r="M158"/>
      <c r="N158"/>
      <c r="DD158" s="26"/>
      <c r="EG158" s="298">
        <f t="shared" si="146"/>
        <v>44712</v>
      </c>
      <c r="EH158" s="108">
        <f t="shared" si="147"/>
        <v>0</v>
      </c>
      <c r="EI158" s="170">
        <f t="shared" si="148"/>
        <v>140</v>
      </c>
      <c r="EJ158" s="303">
        <v>-85.138874502434192</v>
      </c>
      <c r="ES158" s="170" t="s">
        <v>206</v>
      </c>
    </row>
    <row r="159" spans="5:149">
      <c r="E159"/>
      <c r="F159"/>
      <c r="G159"/>
      <c r="H159"/>
      <c r="I159"/>
      <c r="J159"/>
      <c r="K159"/>
      <c r="L159"/>
      <c r="M159"/>
      <c r="N159"/>
      <c r="DD159" s="26"/>
      <c r="EG159" s="298">
        <f t="shared" si="146"/>
        <v>44712</v>
      </c>
      <c r="EH159" s="108">
        <f t="shared" si="147"/>
        <v>-401.38533353410634</v>
      </c>
      <c r="EI159" s="170">
        <f t="shared" si="148"/>
        <v>560</v>
      </c>
      <c r="EJ159" s="303">
        <v>-222.85198487273098</v>
      </c>
      <c r="ES159" s="170" t="s">
        <v>136</v>
      </c>
    </row>
    <row r="160" spans="5:149">
      <c r="E160"/>
      <c r="F160"/>
      <c r="G160"/>
      <c r="H160"/>
      <c r="I160"/>
      <c r="J160"/>
      <c r="K160"/>
      <c r="L160"/>
      <c r="M160"/>
      <c r="N160"/>
      <c r="DD160" s="26"/>
      <c r="EI160" s="170">
        <v>950</v>
      </c>
      <c r="EJ160" s="303">
        <v>-1350</v>
      </c>
      <c r="ES160" s="170" t="s">
        <v>624</v>
      </c>
    </row>
    <row r="161" spans="2:149">
      <c r="E161"/>
      <c r="F161"/>
      <c r="G161"/>
      <c r="H161"/>
      <c r="I161"/>
      <c r="J161"/>
      <c r="K161"/>
      <c r="L161"/>
      <c r="M161"/>
      <c r="N161"/>
      <c r="DD161" s="26"/>
      <c r="EI161" s="170">
        <v>40</v>
      </c>
      <c r="EJ161" s="303">
        <f>-170+10.58</f>
        <v>-159.41999999999999</v>
      </c>
      <c r="ES161" s="170" t="s">
        <v>627</v>
      </c>
    </row>
    <row r="162" spans="2:149">
      <c r="E162"/>
      <c r="F162"/>
      <c r="G162"/>
      <c r="H162"/>
      <c r="I162"/>
      <c r="J162"/>
      <c r="K162"/>
      <c r="L162"/>
      <c r="M162"/>
      <c r="N162"/>
      <c r="DD162" s="26"/>
      <c r="EI162" s="170">
        <v>880</v>
      </c>
      <c r="EJ162" s="303">
        <v>-200</v>
      </c>
      <c r="ES162" s="170" t="s">
        <v>625</v>
      </c>
    </row>
    <row r="163" spans="2:149">
      <c r="E163"/>
      <c r="F163"/>
      <c r="G163"/>
      <c r="H163"/>
      <c r="I163"/>
      <c r="J163"/>
      <c r="K163"/>
      <c r="L163"/>
      <c r="M163"/>
      <c r="N163"/>
      <c r="DD163" s="26"/>
      <c r="EI163" s="170">
        <v>580</v>
      </c>
      <c r="EJ163" s="303">
        <v>-2000</v>
      </c>
      <c r="ES163" s="170" t="s">
        <v>623</v>
      </c>
    </row>
    <row r="164" spans="2:149">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DD164" s="26"/>
      <c r="EI164" s="170">
        <v>165</v>
      </c>
      <c r="EJ164" s="303">
        <v>-400</v>
      </c>
      <c r="ES164" s="170" t="s">
        <v>626</v>
      </c>
    </row>
    <row r="165" spans="2:149">
      <c r="DD165" s="26"/>
    </row>
    <row r="166" spans="2:149">
      <c r="DD166" s="26"/>
    </row>
    <row r="167" spans="2:149">
      <c r="DD167" s="26"/>
    </row>
    <row r="168" spans="2:149">
      <c r="DD168" s="26"/>
    </row>
    <row r="169" spans="2:149">
      <c r="DD169" s="26"/>
    </row>
    <row r="170" spans="2:149">
      <c r="DD170" s="26"/>
    </row>
    <row r="171" spans="2:149">
      <c r="DD171" s="26"/>
    </row>
    <row r="172" spans="2:149">
      <c r="DD172" s="26"/>
    </row>
    <row r="173" spans="2:149">
      <c r="DD173" s="26"/>
    </row>
    <row r="174" spans="2:149">
      <c r="DD174" s="26"/>
    </row>
    <row r="175" spans="2:149">
      <c r="DD175" s="26"/>
    </row>
    <row r="176" spans="2:149">
      <c r="B176" t="s">
        <v>328</v>
      </c>
      <c r="C176" s="73" t="s">
        <v>630</v>
      </c>
      <c r="D176" s="11"/>
      <c r="E176" s="2">
        <v>0</v>
      </c>
      <c r="F176" s="2">
        <v>0</v>
      </c>
      <c r="G176" s="2">
        <v>0</v>
      </c>
      <c r="H176" s="2">
        <v>20</v>
      </c>
      <c r="I176" s="2">
        <v>30</v>
      </c>
      <c r="J176" s="2">
        <v>60</v>
      </c>
      <c r="K176" s="2">
        <v>15</v>
      </c>
      <c r="L176" s="2">
        <v>30</v>
      </c>
      <c r="M176" s="2">
        <v>110</v>
      </c>
      <c r="N176">
        <v>0</v>
      </c>
      <c r="O176">
        <v>0</v>
      </c>
      <c r="P176">
        <v>0</v>
      </c>
      <c r="Q176">
        <v>0</v>
      </c>
      <c r="R176">
        <v>0</v>
      </c>
      <c r="S176">
        <v>0</v>
      </c>
      <c r="T176" s="279">
        <v>144</v>
      </c>
      <c r="U176" s="281">
        <v>391.66800000000001</v>
      </c>
      <c r="V176" s="281">
        <v>179.72027972027973</v>
      </c>
      <c r="W176" s="142">
        <v>45</v>
      </c>
      <c r="X176">
        <v>60</v>
      </c>
      <c r="Y176">
        <v>87</v>
      </c>
      <c r="Z176" s="2">
        <v>0</v>
      </c>
      <c r="AA176" s="2">
        <v>0</v>
      </c>
      <c r="AB176" s="2">
        <v>0</v>
      </c>
      <c r="AC176" s="2">
        <v>45</v>
      </c>
      <c r="AD176" s="2">
        <v>15</v>
      </c>
      <c r="AE176" s="2">
        <v>0</v>
      </c>
      <c r="AF176" s="2">
        <v>20</v>
      </c>
      <c r="AG176" s="2">
        <v>0</v>
      </c>
      <c r="AH176" s="2">
        <v>0</v>
      </c>
      <c r="AI176" s="2">
        <v>180</v>
      </c>
      <c r="AJ176" s="2">
        <v>0</v>
      </c>
      <c r="AK176" s="2">
        <v>0</v>
      </c>
      <c r="AL176" s="2">
        <v>0</v>
      </c>
      <c r="AM176" s="2">
        <v>135</v>
      </c>
      <c r="AN176" s="2">
        <v>0</v>
      </c>
      <c r="AO176" s="2">
        <v>45</v>
      </c>
      <c r="AP176" s="2">
        <v>0</v>
      </c>
      <c r="AQ176" s="2">
        <v>0</v>
      </c>
      <c r="AR176">
        <v>0</v>
      </c>
      <c r="AS176">
        <v>0</v>
      </c>
      <c r="AT176">
        <v>0</v>
      </c>
      <c r="AU176">
        <v>0</v>
      </c>
      <c r="AV176">
        <v>0</v>
      </c>
      <c r="AW176">
        <v>295</v>
      </c>
      <c r="AX176" s="2">
        <v>0</v>
      </c>
      <c r="AY176" s="306">
        <v>428.01751094434024</v>
      </c>
      <c r="AZ176" s="306">
        <v>275.67229518449034</v>
      </c>
      <c r="BA176" s="306">
        <v>311.94496560350217</v>
      </c>
      <c r="BB176" s="306">
        <v>94.308943089430898</v>
      </c>
      <c r="BC176" s="306">
        <v>255.35959974984368</v>
      </c>
      <c r="BD176" s="306">
        <v>72.545340838023762</v>
      </c>
      <c r="BE176" s="2">
        <v>15</v>
      </c>
      <c r="BF176" s="2">
        <v>0</v>
      </c>
      <c r="BG176" s="2">
        <v>13</v>
      </c>
      <c r="BH176" s="2">
        <v>0</v>
      </c>
      <c r="BI176" s="2">
        <v>15</v>
      </c>
      <c r="BJ176" s="2">
        <v>105</v>
      </c>
      <c r="BK176" s="2">
        <v>118</v>
      </c>
      <c r="BL176">
        <v>15</v>
      </c>
      <c r="BM176">
        <v>0</v>
      </c>
      <c r="BN176">
        <v>73</v>
      </c>
      <c r="BO176">
        <v>15</v>
      </c>
      <c r="BP176">
        <v>250</v>
      </c>
      <c r="BQ176">
        <v>45</v>
      </c>
      <c r="BR176">
        <v>0</v>
      </c>
      <c r="BS176">
        <v>0</v>
      </c>
      <c r="BT176">
        <v>0</v>
      </c>
      <c r="BU176">
        <v>13</v>
      </c>
      <c r="BV176">
        <v>0</v>
      </c>
      <c r="BW176">
        <v>0</v>
      </c>
      <c r="BX176">
        <v>0</v>
      </c>
      <c r="BY176">
        <v>110</v>
      </c>
      <c r="BZ176">
        <v>75</v>
      </c>
      <c r="CA176">
        <v>60</v>
      </c>
      <c r="CB176">
        <v>0</v>
      </c>
      <c r="CC176">
        <v>15</v>
      </c>
      <c r="CD176">
        <v>0</v>
      </c>
      <c r="CE176">
        <v>195</v>
      </c>
      <c r="CF176">
        <v>15</v>
      </c>
      <c r="CG176">
        <v>60</v>
      </c>
      <c r="CH176">
        <v>195</v>
      </c>
      <c r="CI176">
        <v>0</v>
      </c>
      <c r="CJ176">
        <v>0</v>
      </c>
      <c r="CK176">
        <v>60</v>
      </c>
      <c r="CL176">
        <v>75</v>
      </c>
      <c r="CM176">
        <v>0</v>
      </c>
      <c r="CN176">
        <v>15</v>
      </c>
      <c r="CO176">
        <v>0</v>
      </c>
      <c r="CP176">
        <v>0</v>
      </c>
      <c r="CQ176"/>
      <c r="CR176"/>
      <c r="CS176"/>
      <c r="CT176"/>
      <c r="CU176"/>
      <c r="CV176"/>
      <c r="CW176"/>
      <c r="CX176"/>
      <c r="CY176"/>
      <c r="DC176" s="29">
        <f>SUM(E176:DB176)</f>
        <v>4897.2369351299112</v>
      </c>
      <c r="DD176" s="6">
        <f>DC176/TAUXmoyen</f>
        <v>193.11456958985909</v>
      </c>
    </row>
    <row r="177" spans="2:108" ht="15" thickBot="1">
      <c r="B177" t="s">
        <v>328</v>
      </c>
      <c r="C177" s="74"/>
      <c r="D177" s="11"/>
      <c r="M177"/>
      <c r="N177"/>
      <c r="O177"/>
      <c r="P177"/>
      <c r="Q177"/>
      <c r="R177"/>
      <c r="S177"/>
      <c r="T177"/>
      <c r="U177" s="142"/>
      <c r="V177" s="142"/>
      <c r="W177" s="142"/>
      <c r="X177"/>
      <c r="Y177"/>
      <c r="AR177"/>
      <c r="AS177"/>
      <c r="AT177"/>
      <c r="AU177"/>
      <c r="AV177"/>
      <c r="AW177"/>
      <c r="AY177" s="306"/>
      <c r="AZ177" s="306"/>
      <c r="BA177" s="306"/>
      <c r="BB177" s="306"/>
      <c r="BC177" s="306"/>
      <c r="BD177" s="306"/>
      <c r="BP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DC177" s="29">
        <f>SUM(E177:DB177)</f>
        <v>0</v>
      </c>
      <c r="DD177" s="6">
        <f>DC177/TAUXmoyen</f>
        <v>0</v>
      </c>
    </row>
    <row r="178" spans="2:108">
      <c r="B178" t="s">
        <v>559</v>
      </c>
      <c r="C178" s="72" t="s">
        <v>560</v>
      </c>
      <c r="D178" s="11"/>
      <c r="F178" s="2">
        <v>350</v>
      </c>
      <c r="M178"/>
      <c r="N178"/>
      <c r="O178"/>
      <c r="P178"/>
      <c r="Q178">
        <v>200</v>
      </c>
      <c r="R178"/>
      <c r="S178"/>
      <c r="U178" s="281">
        <v>215.62300000000002</v>
      </c>
      <c r="V178" s="142">
        <v>0</v>
      </c>
      <c r="W178" s="142">
        <v>0</v>
      </c>
      <c r="X178"/>
      <c r="Y178"/>
      <c r="Z178" s="2">
        <v>34</v>
      </c>
      <c r="AA178" s="2">
        <v>80</v>
      </c>
      <c r="AD178" s="2">
        <v>100</v>
      </c>
      <c r="AE178" s="2">
        <v>20</v>
      </c>
      <c r="AF178" s="2">
        <v>20</v>
      </c>
      <c r="AI178" s="2">
        <v>20</v>
      </c>
      <c r="AJ178" s="2">
        <v>100</v>
      </c>
      <c r="AL178" s="2">
        <v>100</v>
      </c>
      <c r="AP178" s="2">
        <v>50</v>
      </c>
      <c r="AR178"/>
      <c r="AS178"/>
      <c r="AT178"/>
      <c r="AU178" s="2">
        <v>95</v>
      </c>
      <c r="AV178"/>
      <c r="AW178"/>
      <c r="AY178" s="306">
        <v>435.2720450281426</v>
      </c>
      <c r="AZ178" s="306">
        <v>0</v>
      </c>
      <c r="BA178" s="306">
        <v>0</v>
      </c>
      <c r="BB178" s="306">
        <v>0</v>
      </c>
      <c r="BC178" s="306">
        <v>0</v>
      </c>
      <c r="BD178"/>
      <c r="BE178" s="306">
        <v>0</v>
      </c>
      <c r="BF178" s="306">
        <v>0</v>
      </c>
      <c r="BH178" s="2">
        <v>0</v>
      </c>
      <c r="BI178" s="2">
        <v>100</v>
      </c>
      <c r="BJ178"/>
      <c r="BK178" s="2">
        <v>250</v>
      </c>
      <c r="BL178" s="2">
        <v>100</v>
      </c>
      <c r="BM178"/>
      <c r="BN178"/>
      <c r="BO178"/>
      <c r="BP178">
        <v>80</v>
      </c>
      <c r="BQ178" s="2">
        <v>60</v>
      </c>
      <c r="BR178"/>
      <c r="BS178"/>
      <c r="BT178"/>
      <c r="BU178"/>
      <c r="BV178"/>
      <c r="BW178"/>
      <c r="BX178"/>
      <c r="BY178" s="100">
        <v>500</v>
      </c>
      <c r="BZ178" s="100">
        <v>430</v>
      </c>
      <c r="CA178">
        <v>100</v>
      </c>
      <c r="CB178">
        <f>50+50</f>
        <v>100</v>
      </c>
      <c r="CC178"/>
      <c r="CD178"/>
      <c r="CE178"/>
      <c r="CF178"/>
      <c r="CG178">
        <v>100</v>
      </c>
      <c r="CH178"/>
      <c r="CI178">
        <v>50</v>
      </c>
      <c r="CJ178">
        <v>100</v>
      </c>
      <c r="CK178"/>
      <c r="CL178">
        <v>50</v>
      </c>
      <c r="CM178" s="100">
        <v>434</v>
      </c>
      <c r="CN178">
        <v>30</v>
      </c>
      <c r="CP178"/>
      <c r="CQ178"/>
      <c r="CR178"/>
      <c r="CS178"/>
      <c r="CT178"/>
      <c r="CU178"/>
      <c r="CV178"/>
      <c r="CW178"/>
      <c r="CX178"/>
      <c r="CY178"/>
      <c r="DC178" s="29">
        <f>SUM(E178:DB178)</f>
        <v>4303.8950450281427</v>
      </c>
      <c r="DD178" s="6">
        <f>DC178/TAUXmoyen</f>
        <v>169.71709765937408</v>
      </c>
    </row>
    <row r="179" spans="2:108">
      <c r="B179" t="s">
        <v>559</v>
      </c>
      <c r="C179" s="73" t="s">
        <v>629</v>
      </c>
      <c r="D179" s="11"/>
      <c r="F179" s="99">
        <v>500</v>
      </c>
      <c r="G179" s="140">
        <v>500</v>
      </c>
      <c r="H179" s="140">
        <v>500</v>
      </c>
      <c r="I179" s="140">
        <v>500</v>
      </c>
      <c r="J179" s="140">
        <v>500</v>
      </c>
      <c r="K179" s="140">
        <v>500</v>
      </c>
      <c r="L179" s="140">
        <v>500</v>
      </c>
      <c r="M179" s="140">
        <v>500</v>
      </c>
      <c r="N179" s="140">
        <v>500</v>
      </c>
      <c r="O179" s="140">
        <v>500</v>
      </c>
      <c r="P179" s="140">
        <v>500</v>
      </c>
      <c r="Q179" s="140">
        <v>500</v>
      </c>
      <c r="R179" s="140">
        <v>500</v>
      </c>
      <c r="S179" s="140">
        <v>500</v>
      </c>
      <c r="T179" s="141">
        <f>500+600</f>
        <v>1100</v>
      </c>
      <c r="U179" s="142">
        <v>0</v>
      </c>
      <c r="V179" s="142">
        <v>0</v>
      </c>
      <c r="W179" s="142">
        <v>338</v>
      </c>
      <c r="X179" s="142">
        <v>333</v>
      </c>
      <c r="Y179" s="142">
        <v>333</v>
      </c>
      <c r="Z179" s="142">
        <v>333</v>
      </c>
      <c r="AA179" s="142">
        <v>333</v>
      </c>
      <c r="AB179" s="142">
        <v>333</v>
      </c>
      <c r="AC179" s="142">
        <v>333</v>
      </c>
      <c r="AD179" s="142">
        <v>333</v>
      </c>
      <c r="AE179" s="142">
        <v>333</v>
      </c>
      <c r="AF179" s="142">
        <v>333</v>
      </c>
      <c r="AG179" s="142">
        <v>333</v>
      </c>
      <c r="AH179" s="142">
        <v>333</v>
      </c>
      <c r="AI179" s="142">
        <v>333</v>
      </c>
      <c r="AJ179" s="142">
        <v>333</v>
      </c>
      <c r="AK179" s="286">
        <v>333</v>
      </c>
      <c r="AL179" s="286">
        <v>333</v>
      </c>
      <c r="AM179" s="286">
        <v>333</v>
      </c>
      <c r="AN179" s="286">
        <v>333</v>
      </c>
      <c r="AO179" s="286">
        <v>333</v>
      </c>
      <c r="AP179" s="286">
        <v>333</v>
      </c>
      <c r="AQ179" s="286">
        <v>333</v>
      </c>
      <c r="AR179" s="286">
        <v>333</v>
      </c>
      <c r="AS179" s="286">
        <v>333</v>
      </c>
      <c r="AT179" s="286">
        <v>333</v>
      </c>
      <c r="AU179" s="286">
        <v>333</v>
      </c>
      <c r="AV179" s="286">
        <v>333</v>
      </c>
      <c r="AW179" s="286">
        <v>333</v>
      </c>
      <c r="AX179" s="286">
        <v>333</v>
      </c>
      <c r="AY179" s="161">
        <f>5000-SUM($AK179:AX179)</f>
        <v>338</v>
      </c>
      <c r="AZ179" s="286"/>
      <c r="BA179" s="286">
        <v>333</v>
      </c>
      <c r="BB179" s="286">
        <v>333</v>
      </c>
      <c r="BC179" s="286">
        <v>333</v>
      </c>
      <c r="BD179" s="331">
        <v>1533</v>
      </c>
      <c r="BE179" s="286">
        <v>333</v>
      </c>
      <c r="BF179" s="286">
        <v>333</v>
      </c>
      <c r="BG179" s="286">
        <v>333</v>
      </c>
      <c r="BH179" s="286">
        <v>333</v>
      </c>
      <c r="BI179" s="161">
        <f>3000-SUM($BA179:BH179)</f>
        <v>-864</v>
      </c>
      <c r="BJ179" s="331">
        <v>1333</v>
      </c>
      <c r="BK179" s="286">
        <v>333</v>
      </c>
      <c r="BL179" s="286">
        <v>333</v>
      </c>
      <c r="BM179" s="286">
        <v>333</v>
      </c>
      <c r="BN179" s="286">
        <v>333</v>
      </c>
      <c r="BO179" s="286">
        <v>333</v>
      </c>
      <c r="BP179" s="286">
        <v>333</v>
      </c>
      <c r="BQ179" s="286">
        <v>333</v>
      </c>
      <c r="BR179" s="286">
        <v>333</v>
      </c>
      <c r="BS179" s="286">
        <v>333</v>
      </c>
      <c r="BT179" s="286">
        <v>333</v>
      </c>
      <c r="BU179" s="286">
        <v>333</v>
      </c>
      <c r="BV179" s="286">
        <v>333</v>
      </c>
      <c r="BW179" s="286">
        <v>333</v>
      </c>
      <c r="BX179" s="161">
        <f>5000-SUM($BJ179:BW179)</f>
        <v>-662</v>
      </c>
      <c r="BY179" s="161"/>
      <c r="BZ179" s="286">
        <v>333</v>
      </c>
      <c r="CA179" s="286">
        <v>333</v>
      </c>
      <c r="CB179" s="286">
        <v>333</v>
      </c>
      <c r="CC179" s="286">
        <v>333</v>
      </c>
      <c r="CD179" s="286">
        <v>333</v>
      </c>
      <c r="CE179" s="286">
        <v>333</v>
      </c>
      <c r="CF179" s="286">
        <v>333</v>
      </c>
      <c r="CG179" s="286">
        <v>333</v>
      </c>
      <c r="CH179" s="286">
        <v>333</v>
      </c>
      <c r="CI179" s="286">
        <v>333</v>
      </c>
      <c r="CJ179" s="286">
        <v>333</v>
      </c>
      <c r="CK179" s="286">
        <v>333</v>
      </c>
      <c r="CL179" s="286">
        <v>333</v>
      </c>
      <c r="CM179" s="286">
        <v>333</v>
      </c>
      <c r="CN179" s="161">
        <f>5000-SUM($BZ179:CM179)</f>
        <v>338</v>
      </c>
      <c r="CO179" s="331">
        <v>2000</v>
      </c>
      <c r="CP179"/>
      <c r="CQ179"/>
      <c r="CR179"/>
      <c r="CS179"/>
      <c r="CT179"/>
      <c r="CU179"/>
      <c r="CV179"/>
      <c r="CW179"/>
      <c r="CX179"/>
      <c r="CY179"/>
      <c r="CZ179" s="14"/>
      <c r="DB179" s="186"/>
      <c r="DC179" s="29">
        <f>SUM(E179:DB179)</f>
        <v>32767</v>
      </c>
      <c r="DD179" s="6">
        <f>DC179/TAUXmoyen</f>
        <v>1292.1133254466588</v>
      </c>
    </row>
    <row r="180" spans="2:108" ht="15" thickBot="1">
      <c r="B180" t="s">
        <v>559</v>
      </c>
      <c r="C180" s="74" t="s">
        <v>149</v>
      </c>
      <c r="D180" s="11"/>
      <c r="H180" s="2">
        <v>100</v>
      </c>
      <c r="I180" s="2">
        <f>40+20</f>
        <v>60</v>
      </c>
      <c r="J180" s="2">
        <f>60+25+20</f>
        <v>105</v>
      </c>
      <c r="K180" s="2">
        <v>20</v>
      </c>
      <c r="L180" s="2">
        <v>20</v>
      </c>
      <c r="M180"/>
      <c r="N180">
        <v>90</v>
      </c>
      <c r="O180" s="2">
        <v>100</v>
      </c>
      <c r="P180" s="2">
        <v>120</v>
      </c>
      <c r="Q180" s="2">
        <v>40</v>
      </c>
      <c r="R180" s="2">
        <v>20</v>
      </c>
      <c r="S180" s="2">
        <v>90</v>
      </c>
      <c r="T180"/>
      <c r="U180" s="142">
        <v>0</v>
      </c>
      <c r="V180" s="142">
        <v>0</v>
      </c>
      <c r="W180" s="142">
        <v>0</v>
      </c>
      <c r="X180"/>
      <c r="Y180"/>
      <c r="Z180" s="142">
        <v>20</v>
      </c>
      <c r="AA180" s="2">
        <v>30</v>
      </c>
      <c r="AB180" s="2">
        <v>30</v>
      </c>
      <c r="AC180" s="2">
        <v>25</v>
      </c>
      <c r="AD180" s="2">
        <v>60</v>
      </c>
      <c r="AH180" s="2">
        <v>65</v>
      </c>
      <c r="AI180" s="2">
        <f>75+40</f>
        <v>115</v>
      </c>
      <c r="AJ180" s="2">
        <v>110</v>
      </c>
      <c r="AK180" s="2">
        <v>30</v>
      </c>
      <c r="AL180" s="2">
        <v>145</v>
      </c>
      <c r="AO180" s="2">
        <v>30</v>
      </c>
      <c r="AP180" s="2">
        <v>30</v>
      </c>
      <c r="AQ180" s="2">
        <v>30</v>
      </c>
      <c r="AR180" s="2">
        <v>60</v>
      </c>
      <c r="AS180" s="2">
        <v>25</v>
      </c>
      <c r="AT180"/>
      <c r="AU180"/>
      <c r="AV180" s="2">
        <v>30</v>
      </c>
      <c r="AW180"/>
      <c r="AX180" s="2">
        <v>40</v>
      </c>
      <c r="AY180" s="306">
        <v>0</v>
      </c>
      <c r="AZ180" s="306">
        <v>261.16322701688557</v>
      </c>
      <c r="BA180" s="306">
        <v>72.545340838023762</v>
      </c>
      <c r="BB180" s="306">
        <v>36.272670419011881</v>
      </c>
      <c r="BC180" s="306">
        <v>0</v>
      </c>
      <c r="BD180" s="306">
        <v>0</v>
      </c>
      <c r="BE180" s="2">
        <v>40</v>
      </c>
      <c r="BF180" s="2">
        <v>30</v>
      </c>
      <c r="BG180" s="2">
        <v>20</v>
      </c>
      <c r="BQ180" s="2">
        <v>170</v>
      </c>
      <c r="CE180" s="2">
        <v>600</v>
      </c>
      <c r="CJ180" s="2">
        <v>65</v>
      </c>
      <c r="DC180" s="29">
        <f>SUM(E180:DB180)</f>
        <v>2934.981238273921</v>
      </c>
      <c r="DD180" s="6">
        <f>DC180/TAUXmoyen</f>
        <v>115.73620923214418</v>
      </c>
    </row>
    <row r="183" spans="2:108">
      <c r="B183" t="s">
        <v>328</v>
      </c>
      <c r="C183" s="73" t="s">
        <v>630</v>
      </c>
      <c r="D183" s="11"/>
      <c r="E183" s="2">
        <v>0</v>
      </c>
      <c r="F183" s="2">
        <v>0</v>
      </c>
      <c r="G183" s="2">
        <v>0</v>
      </c>
      <c r="H183" s="2">
        <v>20</v>
      </c>
      <c r="I183" s="2">
        <v>30</v>
      </c>
      <c r="J183" s="2">
        <v>60</v>
      </c>
      <c r="K183" s="2">
        <v>15</v>
      </c>
      <c r="L183" s="2">
        <v>30</v>
      </c>
      <c r="M183" s="2">
        <v>110</v>
      </c>
      <c r="N183">
        <v>0</v>
      </c>
      <c r="O183">
        <v>0</v>
      </c>
      <c r="P183">
        <v>0</v>
      </c>
      <c r="Q183">
        <v>0</v>
      </c>
      <c r="R183">
        <v>0</v>
      </c>
      <c r="S183">
        <v>0</v>
      </c>
      <c r="T183" s="279">
        <v>144</v>
      </c>
      <c r="U183" s="281">
        <v>391.66800000000001</v>
      </c>
      <c r="V183" s="281">
        <v>179.72027972027973</v>
      </c>
      <c r="W183" s="142">
        <v>45</v>
      </c>
      <c r="X183">
        <v>60</v>
      </c>
      <c r="Y183">
        <v>87</v>
      </c>
      <c r="Z183" s="2">
        <v>0</v>
      </c>
      <c r="AA183" s="2">
        <v>0</v>
      </c>
      <c r="AB183" s="2">
        <v>0</v>
      </c>
      <c r="AC183" s="2">
        <v>45</v>
      </c>
      <c r="AD183" s="2">
        <v>15</v>
      </c>
      <c r="AE183" s="2">
        <v>0</v>
      </c>
      <c r="AF183" s="2">
        <v>20</v>
      </c>
      <c r="AG183" s="2">
        <v>0</v>
      </c>
      <c r="AH183" s="2">
        <v>0</v>
      </c>
      <c r="AI183" s="2">
        <v>180</v>
      </c>
      <c r="AJ183" s="2">
        <v>0</v>
      </c>
      <c r="AK183" s="2">
        <v>0</v>
      </c>
      <c r="AL183" s="2">
        <v>0</v>
      </c>
      <c r="AM183" s="2">
        <v>135</v>
      </c>
      <c r="AN183" s="2">
        <v>0</v>
      </c>
      <c r="AO183" s="2">
        <v>45</v>
      </c>
      <c r="AP183" s="2">
        <v>0</v>
      </c>
      <c r="AQ183" s="2">
        <v>0</v>
      </c>
      <c r="AR183">
        <v>0</v>
      </c>
      <c r="AS183">
        <v>0</v>
      </c>
      <c r="AT183">
        <v>0</v>
      </c>
      <c r="AU183">
        <v>0</v>
      </c>
      <c r="AV183">
        <v>0</v>
      </c>
      <c r="AW183">
        <v>295</v>
      </c>
      <c r="AX183" s="2">
        <v>0</v>
      </c>
      <c r="AY183" s="306">
        <v>428.01751094434024</v>
      </c>
      <c r="AZ183" s="306">
        <v>275.67229518449034</v>
      </c>
      <c r="BA183" s="306">
        <v>311.94496560350217</v>
      </c>
      <c r="BB183" s="306">
        <v>94.308943089430898</v>
      </c>
      <c r="BC183" s="306">
        <v>255.35959974984368</v>
      </c>
      <c r="BD183" s="306">
        <v>72.545340838023762</v>
      </c>
      <c r="BE183" s="2">
        <v>15</v>
      </c>
      <c r="BF183" s="2">
        <v>0</v>
      </c>
      <c r="BG183" s="2">
        <v>13</v>
      </c>
      <c r="BH183" s="2">
        <v>0</v>
      </c>
      <c r="BI183" s="2">
        <v>15</v>
      </c>
      <c r="BJ183" s="2">
        <v>105</v>
      </c>
      <c r="BK183" s="2">
        <v>118</v>
      </c>
      <c r="BL183">
        <v>15</v>
      </c>
      <c r="BM183">
        <v>0</v>
      </c>
      <c r="BN183">
        <v>73</v>
      </c>
      <c r="BO183">
        <v>15</v>
      </c>
      <c r="BP183">
        <v>250</v>
      </c>
      <c r="BQ183">
        <v>45</v>
      </c>
      <c r="BR183">
        <v>0</v>
      </c>
      <c r="BS183">
        <v>0</v>
      </c>
      <c r="BT183">
        <v>0</v>
      </c>
      <c r="BU183">
        <v>13</v>
      </c>
      <c r="BV183">
        <v>0</v>
      </c>
      <c r="BW183">
        <v>0</v>
      </c>
      <c r="BX183">
        <v>0</v>
      </c>
      <c r="BY183">
        <v>110</v>
      </c>
      <c r="BZ183">
        <v>75</v>
      </c>
      <c r="CA183">
        <v>60</v>
      </c>
      <c r="CB183">
        <v>0</v>
      </c>
      <c r="CC183">
        <v>15</v>
      </c>
      <c r="CD183">
        <v>0</v>
      </c>
      <c r="CE183">
        <v>195</v>
      </c>
      <c r="CF183">
        <v>15</v>
      </c>
      <c r="CG183">
        <v>60</v>
      </c>
      <c r="CH183">
        <v>195</v>
      </c>
      <c r="CI183">
        <v>0</v>
      </c>
      <c r="CJ183">
        <v>0</v>
      </c>
      <c r="CK183">
        <v>60</v>
      </c>
      <c r="CL183">
        <v>75</v>
      </c>
      <c r="CM183">
        <v>0</v>
      </c>
      <c r="CN183">
        <v>15</v>
      </c>
      <c r="CO183">
        <v>0</v>
      </c>
      <c r="CP183">
        <v>0</v>
      </c>
      <c r="CQ183"/>
      <c r="CR183"/>
      <c r="CS183"/>
      <c r="CT183"/>
      <c r="CU183"/>
      <c r="CV183"/>
      <c r="CW183"/>
      <c r="CX183"/>
      <c r="CY183"/>
      <c r="DC183" s="29">
        <f>SUM(E183:DB183)</f>
        <v>4897.2369351299112</v>
      </c>
      <c r="DD183" s="6">
        <f>DC183/TAUXmoyen</f>
        <v>193.11456958985909</v>
      </c>
    </row>
    <row r="184" spans="2:108" ht="15" thickBot="1">
      <c r="B184" t="s">
        <v>328</v>
      </c>
      <c r="C184" s="74"/>
      <c r="D184" s="11"/>
      <c r="M184"/>
      <c r="N184"/>
      <c r="O184"/>
      <c r="P184"/>
      <c r="Q184"/>
      <c r="R184"/>
      <c r="S184"/>
      <c r="T184"/>
      <c r="U184" s="142"/>
      <c r="V184" s="142"/>
      <c r="W184" s="142"/>
      <c r="X184"/>
      <c r="Y184"/>
      <c r="AR184"/>
      <c r="AS184"/>
      <c r="AT184"/>
      <c r="AU184"/>
      <c r="AV184"/>
      <c r="AW184"/>
      <c r="AY184" s="306"/>
      <c r="AZ184" s="306"/>
      <c r="BA184" s="306"/>
      <c r="BB184" s="306"/>
      <c r="BC184" s="306"/>
      <c r="BD184" s="306"/>
      <c r="BP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DC184" s="29">
        <f>SUM(E184:DB184)</f>
        <v>0</v>
      </c>
      <c r="DD184" s="6">
        <f>DC184/TAUXmoyen</f>
        <v>0</v>
      </c>
    </row>
    <row r="185" spans="2:108" ht="15" thickBot="1">
      <c r="B185" t="s">
        <v>559</v>
      </c>
      <c r="C185" s="74" t="s">
        <v>149</v>
      </c>
      <c r="D185" s="11"/>
      <c r="H185" s="2">
        <v>100</v>
      </c>
      <c r="I185" s="2">
        <f>40+20</f>
        <v>60</v>
      </c>
      <c r="J185" s="2">
        <f>60+25+20</f>
        <v>105</v>
      </c>
      <c r="K185" s="2">
        <v>20</v>
      </c>
      <c r="L185" s="2">
        <v>20</v>
      </c>
      <c r="M185"/>
      <c r="N185">
        <v>90</v>
      </c>
      <c r="O185" s="2">
        <v>100</v>
      </c>
      <c r="P185" s="2">
        <v>120</v>
      </c>
      <c r="Q185" s="2">
        <v>40</v>
      </c>
      <c r="R185" s="2">
        <v>20</v>
      </c>
      <c r="S185" s="2">
        <v>90</v>
      </c>
      <c r="T185"/>
      <c r="U185" s="142">
        <v>0</v>
      </c>
      <c r="V185" s="142">
        <v>0</v>
      </c>
      <c r="W185" s="142">
        <v>0</v>
      </c>
      <c r="X185"/>
      <c r="Y185"/>
      <c r="Z185" s="142">
        <v>20</v>
      </c>
      <c r="AA185" s="2">
        <v>30</v>
      </c>
      <c r="AB185" s="2">
        <v>30</v>
      </c>
      <c r="AC185" s="2">
        <v>25</v>
      </c>
      <c r="AD185" s="2">
        <v>60</v>
      </c>
      <c r="AH185" s="2">
        <v>65</v>
      </c>
      <c r="AI185" s="2">
        <f>75+40</f>
        <v>115</v>
      </c>
      <c r="AJ185" s="2">
        <v>110</v>
      </c>
      <c r="AK185" s="2">
        <v>30</v>
      </c>
      <c r="AL185" s="2">
        <v>145</v>
      </c>
      <c r="AO185" s="2">
        <v>30</v>
      </c>
      <c r="AP185" s="2">
        <v>30</v>
      </c>
      <c r="AQ185" s="2">
        <v>30</v>
      </c>
      <c r="AR185" s="2">
        <v>60</v>
      </c>
      <c r="AS185" s="2">
        <v>25</v>
      </c>
      <c r="AT185"/>
      <c r="AU185"/>
      <c r="AV185" s="2">
        <v>30</v>
      </c>
      <c r="AW185"/>
      <c r="AX185" s="2">
        <v>40</v>
      </c>
      <c r="AY185" s="306">
        <v>0</v>
      </c>
      <c r="AZ185" s="306">
        <v>261.16322701688557</v>
      </c>
      <c r="BA185" s="306">
        <v>72.545340838023762</v>
      </c>
      <c r="BB185" s="306">
        <v>36.272670419011881</v>
      </c>
      <c r="BC185" s="306">
        <v>0</v>
      </c>
      <c r="BD185" s="306">
        <v>0</v>
      </c>
      <c r="BE185" s="2">
        <v>40</v>
      </c>
      <c r="BF185" s="2">
        <v>30</v>
      </c>
      <c r="BG185" s="2">
        <v>20</v>
      </c>
      <c r="BQ185" s="2">
        <v>170</v>
      </c>
      <c r="CE185" s="2">
        <v>600</v>
      </c>
      <c r="CJ185" s="2">
        <v>65</v>
      </c>
      <c r="DC185" s="29">
        <f>SUM(E185:DB185)</f>
        <v>2934.981238273921</v>
      </c>
      <c r="DD185" s="6">
        <f>DC185/TAUXmoyen</f>
        <v>115.73620923214418</v>
      </c>
    </row>
    <row r="186" spans="2:108">
      <c r="B186" t="s">
        <v>559</v>
      </c>
      <c r="C186" s="72" t="s">
        <v>560</v>
      </c>
      <c r="D186" s="11"/>
      <c r="F186" s="2">
        <v>350</v>
      </c>
      <c r="M186"/>
      <c r="N186"/>
      <c r="O186"/>
      <c r="P186"/>
      <c r="Q186">
        <v>200</v>
      </c>
      <c r="R186"/>
      <c r="S186"/>
      <c r="U186" s="281">
        <v>215.62300000000002</v>
      </c>
      <c r="V186" s="142">
        <v>0</v>
      </c>
      <c r="W186" s="142">
        <v>0</v>
      </c>
      <c r="X186"/>
      <c r="Y186"/>
      <c r="Z186" s="2">
        <v>34</v>
      </c>
      <c r="AA186" s="2">
        <v>80</v>
      </c>
      <c r="AD186" s="2">
        <v>100</v>
      </c>
      <c r="AE186" s="2">
        <v>20</v>
      </c>
      <c r="AF186" s="2">
        <v>20</v>
      </c>
      <c r="AI186" s="2">
        <v>20</v>
      </c>
      <c r="AJ186" s="2">
        <v>100</v>
      </c>
      <c r="AL186" s="2">
        <v>100</v>
      </c>
      <c r="AP186" s="2">
        <v>50</v>
      </c>
      <c r="AR186"/>
      <c r="AS186"/>
      <c r="AT186"/>
      <c r="AU186" s="2">
        <v>95</v>
      </c>
      <c r="AV186"/>
      <c r="AW186"/>
      <c r="AY186" s="306">
        <v>435.2720450281426</v>
      </c>
      <c r="AZ186" s="306">
        <v>0</v>
      </c>
      <c r="BA186" s="306">
        <v>0</v>
      </c>
      <c r="BB186" s="306">
        <v>0</v>
      </c>
      <c r="BC186" s="306">
        <v>0</v>
      </c>
      <c r="BD186"/>
      <c r="BE186" s="306">
        <v>0</v>
      </c>
      <c r="BF186" s="306">
        <v>0</v>
      </c>
      <c r="BH186" s="2">
        <v>0</v>
      </c>
      <c r="BI186" s="2">
        <v>100</v>
      </c>
      <c r="BJ186"/>
      <c r="BK186" s="2">
        <v>250</v>
      </c>
      <c r="BL186" s="2">
        <v>100</v>
      </c>
      <c r="BM186"/>
      <c r="BN186"/>
      <c r="BO186"/>
      <c r="BP186">
        <v>80</v>
      </c>
      <c r="BQ186" s="2">
        <v>60</v>
      </c>
      <c r="BR186"/>
      <c r="BS186"/>
      <c r="BT186"/>
      <c r="BU186"/>
      <c r="BV186"/>
      <c r="BW186"/>
      <c r="BX186"/>
      <c r="BY186" s="100">
        <v>500</v>
      </c>
      <c r="BZ186" s="100">
        <v>430</v>
      </c>
      <c r="CA186">
        <v>100</v>
      </c>
      <c r="CB186">
        <f>50+50</f>
        <v>100</v>
      </c>
      <c r="CC186"/>
      <c r="CD186"/>
      <c r="CE186"/>
      <c r="CF186"/>
      <c r="CG186">
        <v>100</v>
      </c>
      <c r="CH186"/>
      <c r="CI186">
        <v>50</v>
      </c>
      <c r="CJ186">
        <v>100</v>
      </c>
      <c r="CK186"/>
      <c r="CL186">
        <v>50</v>
      </c>
      <c r="CM186" s="100">
        <v>434</v>
      </c>
      <c r="CN186">
        <v>30</v>
      </c>
      <c r="CP186"/>
      <c r="CQ186"/>
      <c r="CR186"/>
      <c r="CS186"/>
      <c r="CT186"/>
      <c r="CU186"/>
      <c r="CV186"/>
      <c r="CW186"/>
      <c r="CX186"/>
      <c r="CY186"/>
      <c r="DC186" s="29">
        <f>SUM(E186:DB186)</f>
        <v>4303.8950450281427</v>
      </c>
      <c r="DD186" s="6">
        <f>DC186/TAUXmoyen</f>
        <v>169.71709765937408</v>
      </c>
    </row>
    <row r="187" spans="2:108">
      <c r="B187" t="s">
        <v>559</v>
      </c>
      <c r="C187" s="73" t="s">
        <v>629</v>
      </c>
      <c r="D187" s="11"/>
      <c r="F187" s="99">
        <v>500</v>
      </c>
      <c r="G187" s="140">
        <v>500</v>
      </c>
      <c r="H187" s="140">
        <v>500</v>
      </c>
      <c r="I187" s="140">
        <v>500</v>
      </c>
      <c r="J187" s="140">
        <v>500</v>
      </c>
      <c r="K187" s="140">
        <v>500</v>
      </c>
      <c r="L187" s="140">
        <v>500</v>
      </c>
      <c r="M187" s="140">
        <v>500</v>
      </c>
      <c r="N187" s="140">
        <v>500</v>
      </c>
      <c r="O187" s="140">
        <v>500</v>
      </c>
      <c r="P187" s="140">
        <v>500</v>
      </c>
      <c r="Q187" s="140">
        <v>500</v>
      </c>
      <c r="R187" s="140">
        <v>500</v>
      </c>
      <c r="S187" s="140">
        <v>500</v>
      </c>
      <c r="T187" s="141">
        <f>500+600</f>
        <v>1100</v>
      </c>
      <c r="U187" s="142">
        <v>0</v>
      </c>
      <c r="V187" s="142">
        <v>0</v>
      </c>
      <c r="W187" s="142">
        <v>338</v>
      </c>
      <c r="X187" s="142">
        <v>333</v>
      </c>
      <c r="Y187" s="142">
        <v>333</v>
      </c>
      <c r="Z187" s="142">
        <v>333</v>
      </c>
      <c r="AA187" s="142">
        <v>333</v>
      </c>
      <c r="AB187" s="142">
        <v>333</v>
      </c>
      <c r="AC187" s="142">
        <v>333</v>
      </c>
      <c r="AD187" s="142">
        <v>333</v>
      </c>
      <c r="AE187" s="142">
        <v>333</v>
      </c>
      <c r="AF187" s="142">
        <v>333</v>
      </c>
      <c r="AG187" s="142">
        <v>333</v>
      </c>
      <c r="AH187" s="142">
        <v>333</v>
      </c>
      <c r="AI187" s="142">
        <v>333</v>
      </c>
      <c r="AJ187" s="142">
        <v>333</v>
      </c>
      <c r="AK187" s="286">
        <v>333</v>
      </c>
      <c r="AL187" s="286">
        <v>333</v>
      </c>
      <c r="AM187" s="286">
        <v>333</v>
      </c>
      <c r="AN187" s="286">
        <v>333</v>
      </c>
      <c r="AO187" s="286">
        <v>333</v>
      </c>
      <c r="AP187" s="286">
        <v>333</v>
      </c>
      <c r="AQ187" s="286">
        <v>333</v>
      </c>
      <c r="AR187" s="286">
        <v>333</v>
      </c>
      <c r="AS187" s="286">
        <v>333</v>
      </c>
      <c r="AT187" s="286">
        <v>333</v>
      </c>
      <c r="AU187" s="286">
        <v>333</v>
      </c>
      <c r="AV187" s="286">
        <v>333</v>
      </c>
      <c r="AW187" s="286">
        <v>333</v>
      </c>
      <c r="AX187" s="286">
        <v>333</v>
      </c>
      <c r="AY187" s="161">
        <f>5000-SUM($AK187:AX187)</f>
        <v>338</v>
      </c>
      <c r="AZ187" s="286"/>
      <c r="BA187" s="286">
        <v>333</v>
      </c>
      <c r="BB187" s="286">
        <v>333</v>
      </c>
      <c r="BC187" s="286">
        <v>333</v>
      </c>
      <c r="BD187" s="331">
        <v>1533</v>
      </c>
      <c r="BE187" s="286">
        <v>333</v>
      </c>
      <c r="BF187" s="286">
        <v>333</v>
      </c>
      <c r="BG187" s="286">
        <v>333</v>
      </c>
      <c r="BH187" s="286">
        <v>333</v>
      </c>
      <c r="BI187" s="161">
        <f>3000-SUM($BA187:BH187)</f>
        <v>-864</v>
      </c>
      <c r="BJ187" s="331">
        <v>1333</v>
      </c>
      <c r="BK187" s="286">
        <v>333</v>
      </c>
      <c r="BL187" s="286">
        <v>333</v>
      </c>
      <c r="BM187" s="286">
        <v>333</v>
      </c>
      <c r="BN187" s="286">
        <v>333</v>
      </c>
      <c r="BO187" s="286">
        <v>333</v>
      </c>
      <c r="BP187" s="286">
        <v>333</v>
      </c>
      <c r="BQ187" s="286">
        <v>333</v>
      </c>
      <c r="BR187" s="286">
        <v>333</v>
      </c>
      <c r="BS187" s="286">
        <v>333</v>
      </c>
      <c r="BT187" s="286">
        <v>333</v>
      </c>
      <c r="BU187" s="286">
        <v>333</v>
      </c>
      <c r="BV187" s="286">
        <v>333</v>
      </c>
      <c r="BW187" s="286">
        <v>333</v>
      </c>
      <c r="BX187" s="161">
        <f>5000-SUM($BJ187:BW187)</f>
        <v>-662</v>
      </c>
      <c r="BY187" s="161"/>
      <c r="BZ187" s="286">
        <v>333</v>
      </c>
      <c r="CA187" s="286">
        <v>333</v>
      </c>
      <c r="CB187" s="286">
        <v>333</v>
      </c>
      <c r="CC187" s="286">
        <v>333</v>
      </c>
      <c r="CD187" s="286">
        <v>333</v>
      </c>
      <c r="CE187" s="286">
        <v>333</v>
      </c>
      <c r="CF187" s="286">
        <v>333</v>
      </c>
      <c r="CG187" s="286">
        <v>333</v>
      </c>
      <c r="CH187" s="286">
        <v>333</v>
      </c>
      <c r="CI187" s="286">
        <v>333</v>
      </c>
      <c r="CJ187" s="286">
        <v>333</v>
      </c>
      <c r="CK187" s="286">
        <v>333</v>
      </c>
      <c r="CL187" s="286">
        <v>333</v>
      </c>
      <c r="CM187" s="286">
        <v>333</v>
      </c>
      <c r="CN187" s="161">
        <f>5000-SUM($BZ187:CM187)</f>
        <v>338</v>
      </c>
      <c r="CO187" s="331">
        <v>2000</v>
      </c>
      <c r="CP187"/>
      <c r="CQ187"/>
      <c r="CR187"/>
      <c r="CS187"/>
      <c r="CT187"/>
      <c r="CU187"/>
      <c r="CV187"/>
      <c r="CW187"/>
      <c r="CX187"/>
      <c r="CY187"/>
      <c r="CZ187" s="14"/>
      <c r="DB187" s="186"/>
      <c r="DC187" s="29">
        <f>SUM(E187:DB187)</f>
        <v>32767</v>
      </c>
      <c r="DD187" s="6">
        <f>DC187/TAUXmoyen</f>
        <v>1292.1133254466588</v>
      </c>
    </row>
  </sheetData>
  <autoFilter ref="B11:DC33"/>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dimension ref="A1:JX169"/>
  <sheetViews>
    <sheetView showZeros="0" topLeftCell="IH89" zoomScaleNormal="100" workbookViewId="0">
      <selection activeCell="JG103" sqref="JG103:JL103"/>
    </sheetView>
  </sheetViews>
  <sheetFormatPr baseColWidth="10" defaultRowHeight="14.4" outlineLevelRow="2" outlineLevelCol="1"/>
  <cols>
    <col min="1" max="1" width="9.109375" customWidth="1"/>
    <col min="3" max="3" width="17.6640625" bestFit="1" customWidth="1"/>
    <col min="4" max="4" width="1.5546875" customWidth="1"/>
    <col min="5" max="5" width="9.44140625" style="2" bestFit="1" customWidth="1"/>
    <col min="6" max="6" width="9" style="2" hidden="1" customWidth="1" outlineLevel="1"/>
    <col min="7" max="11" width="8" style="2" hidden="1" customWidth="1" outlineLevel="1"/>
    <col min="12" max="12" width="9.109375" style="2" hidden="1" customWidth="1" outlineLevel="1"/>
    <col min="13" max="13" width="8.109375" style="2" hidden="1" customWidth="1" outlineLevel="1"/>
    <col min="14" max="14" width="9.6640625" style="2" hidden="1" customWidth="1" outlineLevel="1"/>
    <col min="15" max="15" width="9.109375" style="2" hidden="1" customWidth="1" outlineLevel="1"/>
    <col min="16" max="17" width="8" style="2" hidden="1" customWidth="1" outlineLevel="1"/>
    <col min="18" max="18" width="8.6640625" style="2" hidden="1" customWidth="1" outlineLevel="1"/>
    <col min="19" max="19" width="8.6640625" style="2" hidden="1" customWidth="1" outlineLevel="1" collapsed="1"/>
    <col min="20" max="21" width="8.6640625" style="2" hidden="1" customWidth="1" outlineLevel="1"/>
    <col min="22" max="23" width="8.6640625" style="2" hidden="1" customWidth="1" outlineLevel="1" collapsed="1"/>
    <col min="24" max="24" width="8.109375" style="2" hidden="1" customWidth="1" outlineLevel="1" collapsed="1"/>
    <col min="25" max="25" width="8.109375" style="2" hidden="1" customWidth="1" outlineLevel="1"/>
    <col min="26" max="26" width="8.109375" style="2" hidden="1" customWidth="1" outlineLevel="1" collapsed="1"/>
    <col min="27" max="28" width="8.109375" style="2" hidden="1" customWidth="1" outlineLevel="1"/>
    <col min="29" max="29" width="8.109375" style="2" hidden="1" customWidth="1" outlineLevel="1" collapsed="1"/>
    <col min="30" max="31" width="8.109375" style="2" hidden="1" customWidth="1" outlineLevel="1"/>
    <col min="32" max="32" width="8.109375" style="2" hidden="1" customWidth="1" outlineLevel="1" collapsed="1"/>
    <col min="33" max="52" width="8.109375" style="2" hidden="1" customWidth="1" outlineLevel="1"/>
    <col min="53" max="53" width="8.109375" style="2" hidden="1" customWidth="1" outlineLevel="1" collapsed="1"/>
    <col min="54" max="62" width="8.109375" style="2" hidden="1" customWidth="1" outlineLevel="1"/>
    <col min="63" max="63" width="8.109375" style="2" hidden="1" customWidth="1" outlineLevel="1" collapsed="1"/>
    <col min="64" max="137" width="8.109375" style="2" hidden="1" customWidth="1" outlineLevel="1"/>
    <col min="138" max="138" width="8.109375" style="2" customWidth="1" collapsed="1"/>
    <col min="139" max="139" width="9.44140625" style="2" customWidth="1" outlineLevel="1"/>
    <col min="140" max="152" width="8.109375" style="2" customWidth="1" outlineLevel="1"/>
    <col min="153" max="153" width="8.109375" style="2" customWidth="1" outlineLevel="1" collapsed="1"/>
    <col min="154" max="160" width="8.109375" style="2" customWidth="1" outlineLevel="1"/>
    <col min="161" max="161" width="8.109375" style="2" customWidth="1" outlineLevel="1" collapsed="1"/>
    <col min="162" max="168" width="8.109375" style="2" customWidth="1" outlineLevel="1"/>
    <col min="169" max="169" width="8.109375" style="2" customWidth="1" outlineLevel="1" collapsed="1"/>
    <col min="170" max="173" width="8.109375" style="2" customWidth="1" outlineLevel="1"/>
    <col min="174" max="174" width="8.109375" style="2" customWidth="1" outlineLevel="1" collapsed="1"/>
    <col min="175" max="196" width="8.109375" style="2" customWidth="1" outlineLevel="1"/>
    <col min="197" max="197" width="8.109375" style="2" customWidth="1" outlineLevel="1" collapsed="1"/>
    <col min="198" max="200" width="8.109375" style="2" customWidth="1" outlineLevel="1"/>
    <col min="201" max="216" width="8.109375" style="2" customWidth="1"/>
    <col min="217" max="230" width="8.109375" style="2" customWidth="1" outlineLevel="1"/>
    <col min="231" max="231" width="8.109375" style="11" customWidth="1"/>
    <col min="232" max="232" width="2.109375" style="177" customWidth="1"/>
    <col min="233" max="233" width="11.5546875" style="4"/>
    <col min="234" max="234" width="9" style="2" customWidth="1"/>
    <col min="235" max="235" width="7.6640625" customWidth="1"/>
    <col min="236" max="236" width="5.88671875" style="2" customWidth="1"/>
    <col min="237" max="238" width="0.33203125" style="2" customWidth="1"/>
    <col min="239" max="239" width="16.33203125" style="2" customWidth="1"/>
    <col min="240" max="240" width="20.44140625" style="2" customWidth="1"/>
    <col min="241" max="242" width="0.33203125" style="2" customWidth="1"/>
    <col min="243" max="243" width="15" bestFit="1" customWidth="1"/>
    <col min="244" max="244" width="16.33203125" hidden="1" customWidth="1" outlineLevel="1"/>
    <col min="245" max="249" width="11.44140625" hidden="1" customWidth="1" outlineLevel="1"/>
    <col min="250" max="250" width="13" hidden="1" customWidth="1" outlineLevel="1"/>
    <col min="251" max="254" width="11.44140625" hidden="1" customWidth="1" outlineLevel="1"/>
    <col min="255" max="257" width="9.5546875" hidden="1" customWidth="1" outlineLevel="1"/>
    <col min="258" max="258" width="7.88671875" hidden="1" customWidth="1" outlineLevel="1"/>
    <col min="259" max="259" width="11.44140625" hidden="1" customWidth="1" outlineLevel="1"/>
    <col min="260" max="262" width="10.109375" hidden="1" customWidth="1" outlineLevel="1"/>
    <col min="263" max="263" width="10.109375" customWidth="1" collapsed="1"/>
    <col min="264" max="264" width="10.109375" customWidth="1"/>
    <col min="265" max="265" width="15.6640625" customWidth="1"/>
    <col min="277" max="277" width="10.33203125" customWidth="1"/>
    <col min="282" max="282" width="5.6640625" customWidth="1"/>
  </cols>
  <sheetData>
    <row r="1" spans="1:283">
      <c r="IB1" s="2">
        <v>1</v>
      </c>
      <c r="IC1" s="2">
        <v>2</v>
      </c>
      <c r="ID1" s="2">
        <v>3</v>
      </c>
      <c r="IE1" s="2">
        <v>4</v>
      </c>
      <c r="IF1" s="2">
        <v>5</v>
      </c>
      <c r="IG1" s="2">
        <v>6</v>
      </c>
      <c r="IH1" s="2">
        <v>7</v>
      </c>
    </row>
    <row r="2" spans="1:283">
      <c r="E2" s="2">
        <v>0</v>
      </c>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v>23</v>
      </c>
      <c r="AC2" s="2">
        <v>24</v>
      </c>
      <c r="AD2" s="2">
        <v>25</v>
      </c>
      <c r="AE2" s="2">
        <v>26</v>
      </c>
      <c r="AF2" s="2">
        <v>27</v>
      </c>
      <c r="AG2" s="2">
        <v>28</v>
      </c>
      <c r="AH2" s="2">
        <v>29</v>
      </c>
      <c r="AI2" s="2">
        <v>30</v>
      </c>
      <c r="AJ2" s="2">
        <v>31</v>
      </c>
      <c r="AK2" s="2">
        <v>32</v>
      </c>
      <c r="AL2" s="2">
        <v>33</v>
      </c>
      <c r="AM2" s="2">
        <v>34</v>
      </c>
      <c r="AN2" s="2">
        <v>35</v>
      </c>
      <c r="AO2" s="2">
        <v>36</v>
      </c>
      <c r="AP2" s="2">
        <v>37</v>
      </c>
      <c r="AQ2" s="2">
        <v>38</v>
      </c>
      <c r="AR2" s="2">
        <v>39</v>
      </c>
      <c r="AS2" s="2">
        <v>40</v>
      </c>
      <c r="AT2" s="2">
        <v>41</v>
      </c>
      <c r="AU2" s="2">
        <v>42</v>
      </c>
      <c r="AV2" s="2">
        <v>43</v>
      </c>
      <c r="AW2" s="2">
        <v>44</v>
      </c>
      <c r="AX2" s="2">
        <v>45</v>
      </c>
      <c r="AY2" s="2">
        <v>46</v>
      </c>
      <c r="AZ2" s="2">
        <v>47</v>
      </c>
      <c r="BA2" s="2">
        <v>48</v>
      </c>
      <c r="BB2" s="2">
        <v>49</v>
      </c>
      <c r="BC2" s="2">
        <v>50</v>
      </c>
      <c r="BD2" s="2">
        <v>51</v>
      </c>
      <c r="BE2" s="2">
        <v>52</v>
      </c>
      <c r="BF2" s="2">
        <v>53</v>
      </c>
      <c r="BG2" s="2">
        <v>54</v>
      </c>
      <c r="BH2" s="2">
        <v>55</v>
      </c>
      <c r="BI2" s="2">
        <v>56</v>
      </c>
      <c r="BJ2" s="2">
        <v>57</v>
      </c>
      <c r="BK2" s="2">
        <v>58</v>
      </c>
      <c r="BL2" s="2">
        <v>59</v>
      </c>
      <c r="BM2" s="2">
        <v>60</v>
      </c>
      <c r="BN2" s="2">
        <v>61</v>
      </c>
      <c r="BO2" s="2">
        <v>62</v>
      </c>
      <c r="BP2" s="2">
        <v>63</v>
      </c>
      <c r="BQ2" s="2">
        <v>64</v>
      </c>
      <c r="BR2" s="2">
        <v>65</v>
      </c>
      <c r="BS2" s="2">
        <v>66</v>
      </c>
      <c r="BT2" s="2">
        <v>67</v>
      </c>
      <c r="BU2" s="2">
        <v>68</v>
      </c>
      <c r="BV2" s="2">
        <v>69</v>
      </c>
      <c r="BW2" s="2">
        <v>70</v>
      </c>
      <c r="BX2" s="2">
        <v>71</v>
      </c>
      <c r="BY2" s="2">
        <v>72</v>
      </c>
      <c r="BZ2" s="2">
        <v>73</v>
      </c>
      <c r="CA2" s="2">
        <v>74</v>
      </c>
      <c r="CB2" s="2">
        <v>75</v>
      </c>
      <c r="CC2" s="2">
        <v>76</v>
      </c>
      <c r="CD2" s="2">
        <v>77</v>
      </c>
      <c r="CE2" s="2">
        <v>78</v>
      </c>
      <c r="CF2" s="2">
        <v>79</v>
      </c>
      <c r="CG2" s="2">
        <v>80</v>
      </c>
      <c r="CH2" s="2">
        <v>81</v>
      </c>
      <c r="CI2" s="2">
        <v>82</v>
      </c>
      <c r="CJ2" s="2">
        <v>83</v>
      </c>
      <c r="CK2" s="2">
        <v>84</v>
      </c>
      <c r="CL2" s="2">
        <v>85</v>
      </c>
      <c r="CM2" s="2">
        <v>86</v>
      </c>
      <c r="CN2" s="2">
        <v>87</v>
      </c>
      <c r="CO2" s="2">
        <v>88</v>
      </c>
      <c r="CP2" s="2">
        <v>89</v>
      </c>
      <c r="CQ2" s="2">
        <v>90</v>
      </c>
      <c r="CR2" s="2">
        <v>91</v>
      </c>
      <c r="CS2" s="2">
        <v>92</v>
      </c>
      <c r="CT2" s="2">
        <v>93</v>
      </c>
      <c r="CU2" s="2">
        <v>94</v>
      </c>
      <c r="CV2" s="2">
        <v>95</v>
      </c>
      <c r="CW2" s="2">
        <v>96</v>
      </c>
      <c r="CX2" s="2">
        <v>97</v>
      </c>
      <c r="CY2" s="2">
        <v>98</v>
      </c>
      <c r="CZ2" s="2">
        <v>99</v>
      </c>
      <c r="DA2" s="2">
        <v>100</v>
      </c>
      <c r="DB2" s="2">
        <v>101</v>
      </c>
      <c r="DC2" s="2">
        <v>102</v>
      </c>
      <c r="DD2" s="2">
        <v>103</v>
      </c>
      <c r="DE2" s="2">
        <v>104</v>
      </c>
      <c r="DF2" s="2">
        <v>104</v>
      </c>
      <c r="DG2" s="2">
        <v>105</v>
      </c>
      <c r="DH2" s="2">
        <v>106</v>
      </c>
      <c r="DI2" s="2">
        <v>107</v>
      </c>
      <c r="DJ2" s="2">
        <v>108</v>
      </c>
      <c r="DK2" s="2">
        <v>109</v>
      </c>
      <c r="DL2" s="2">
        <v>110</v>
      </c>
      <c r="DM2" s="2">
        <v>111</v>
      </c>
      <c r="DN2" s="2">
        <v>112</v>
      </c>
      <c r="DO2" s="2">
        <v>113</v>
      </c>
      <c r="DP2" s="2">
        <v>114</v>
      </c>
      <c r="DQ2" s="2">
        <v>115</v>
      </c>
      <c r="DR2" s="2">
        <v>116</v>
      </c>
      <c r="DS2" s="2">
        <v>117</v>
      </c>
      <c r="DT2" s="2">
        <v>118</v>
      </c>
      <c r="DU2" s="2">
        <v>119</v>
      </c>
      <c r="DV2" s="2">
        <v>120</v>
      </c>
      <c r="DW2" s="2">
        <v>121</v>
      </c>
      <c r="DX2" s="2">
        <v>122</v>
      </c>
      <c r="DY2" s="2">
        <v>123</v>
      </c>
      <c r="DZ2" s="2">
        <v>124</v>
      </c>
      <c r="EA2" s="2">
        <v>125</v>
      </c>
      <c r="EB2" s="2">
        <v>126</v>
      </c>
      <c r="EC2" s="2">
        <v>127</v>
      </c>
      <c r="ED2" s="2">
        <v>128</v>
      </c>
      <c r="EE2" s="2">
        <v>129</v>
      </c>
      <c r="EF2" s="2">
        <v>130</v>
      </c>
      <c r="EG2" s="2">
        <v>131</v>
      </c>
      <c r="EH2" s="2">
        <v>132</v>
      </c>
      <c r="EI2" s="2">
        <v>133</v>
      </c>
      <c r="EJ2" s="2">
        <v>134</v>
      </c>
      <c r="EK2" s="2">
        <v>135</v>
      </c>
      <c r="EL2" s="2">
        <v>136</v>
      </c>
      <c r="EM2" s="2">
        <v>137</v>
      </c>
      <c r="EN2" s="2">
        <v>138</v>
      </c>
      <c r="EO2" s="2">
        <v>139</v>
      </c>
      <c r="EP2" s="2">
        <v>140</v>
      </c>
      <c r="EQ2" s="2">
        <v>141</v>
      </c>
      <c r="ER2" s="2">
        <v>142</v>
      </c>
      <c r="ES2" s="2">
        <v>143</v>
      </c>
      <c r="ET2" s="2">
        <v>144</v>
      </c>
      <c r="EU2" s="2">
        <v>145</v>
      </c>
      <c r="EV2" s="2">
        <v>146</v>
      </c>
      <c r="EW2" s="2">
        <v>147</v>
      </c>
      <c r="EX2" s="2">
        <v>148</v>
      </c>
      <c r="EY2" s="2">
        <v>149</v>
      </c>
      <c r="EZ2" s="2">
        <v>150</v>
      </c>
      <c r="FA2" s="2">
        <v>151</v>
      </c>
      <c r="FB2" s="2">
        <v>152</v>
      </c>
      <c r="FC2" s="2">
        <v>153</v>
      </c>
      <c r="FD2" s="2">
        <v>154</v>
      </c>
      <c r="FE2" s="2">
        <v>155</v>
      </c>
      <c r="FF2" s="2">
        <v>156</v>
      </c>
      <c r="FG2" s="2">
        <v>157</v>
      </c>
      <c r="FH2" s="2">
        <v>158</v>
      </c>
      <c r="FI2" s="2">
        <v>159</v>
      </c>
      <c r="FJ2" s="2">
        <v>160</v>
      </c>
      <c r="FK2" s="2">
        <v>161</v>
      </c>
      <c r="FL2" s="2">
        <v>162</v>
      </c>
      <c r="FM2" s="2">
        <v>163</v>
      </c>
      <c r="FN2" s="2">
        <v>164</v>
      </c>
      <c r="FO2" s="2">
        <v>165</v>
      </c>
      <c r="FP2" s="2">
        <v>166</v>
      </c>
      <c r="FQ2" s="2">
        <v>167</v>
      </c>
      <c r="FR2" s="2">
        <v>168</v>
      </c>
      <c r="FS2" s="2">
        <v>169</v>
      </c>
      <c r="FT2" s="2">
        <v>170</v>
      </c>
      <c r="FU2" s="2">
        <v>171</v>
      </c>
      <c r="FV2" s="2">
        <v>172</v>
      </c>
      <c r="FW2" s="2">
        <v>173</v>
      </c>
      <c r="FX2" s="2">
        <v>174</v>
      </c>
      <c r="FY2" s="2">
        <v>175</v>
      </c>
      <c r="FZ2" s="2">
        <v>176</v>
      </c>
      <c r="GA2" s="2">
        <v>177</v>
      </c>
      <c r="GB2" s="2">
        <v>178</v>
      </c>
      <c r="GC2" s="2">
        <v>179</v>
      </c>
      <c r="GD2" s="2">
        <v>180</v>
      </c>
      <c r="GE2" s="2">
        <v>181</v>
      </c>
      <c r="GF2" s="2">
        <v>182</v>
      </c>
      <c r="GG2" s="2">
        <v>183</v>
      </c>
      <c r="GH2" s="2">
        <v>184</v>
      </c>
      <c r="GI2" s="2">
        <v>185</v>
      </c>
      <c r="GJ2" s="2">
        <v>186</v>
      </c>
      <c r="GK2" s="2">
        <v>187</v>
      </c>
      <c r="GL2" s="2">
        <v>188</v>
      </c>
      <c r="GM2" s="2">
        <v>189</v>
      </c>
      <c r="GN2" s="2">
        <v>190</v>
      </c>
      <c r="GO2" s="2">
        <v>191</v>
      </c>
      <c r="GP2" s="2">
        <v>192</v>
      </c>
      <c r="GQ2" s="2">
        <v>193</v>
      </c>
      <c r="GR2" s="2">
        <v>194</v>
      </c>
      <c r="GS2" s="2">
        <v>195</v>
      </c>
      <c r="GT2" s="2">
        <v>196</v>
      </c>
      <c r="GU2" s="2">
        <v>197</v>
      </c>
      <c r="GV2" s="2">
        <v>198</v>
      </c>
      <c r="GW2" s="2">
        <v>199</v>
      </c>
      <c r="GX2" s="2">
        <v>200</v>
      </c>
      <c r="GY2" s="2">
        <v>201</v>
      </c>
      <c r="GZ2" s="2">
        <v>202</v>
      </c>
      <c r="HA2" s="2">
        <v>203</v>
      </c>
      <c r="HB2" s="2">
        <v>204</v>
      </c>
      <c r="HC2" s="2">
        <v>205</v>
      </c>
      <c r="HD2" s="2">
        <v>206</v>
      </c>
      <c r="HE2" s="2">
        <v>207</v>
      </c>
      <c r="HF2" s="2">
        <v>208</v>
      </c>
      <c r="HG2" s="2">
        <v>209</v>
      </c>
      <c r="HH2" s="2">
        <v>210</v>
      </c>
      <c r="HI2" s="2">
        <v>211</v>
      </c>
      <c r="HJ2" s="2">
        <v>212</v>
      </c>
      <c r="HK2" s="2">
        <v>213</v>
      </c>
      <c r="HL2" s="2">
        <v>214</v>
      </c>
      <c r="HM2" s="2">
        <v>215</v>
      </c>
      <c r="HN2" s="2">
        <v>216</v>
      </c>
      <c r="HO2" s="2">
        <v>217</v>
      </c>
      <c r="HP2" s="2">
        <v>218</v>
      </c>
      <c r="HQ2" s="2">
        <v>219</v>
      </c>
      <c r="HR2" s="2">
        <v>220</v>
      </c>
      <c r="HS2" s="2">
        <v>221</v>
      </c>
      <c r="HT2" s="2">
        <v>222</v>
      </c>
      <c r="HU2" s="2">
        <v>223</v>
      </c>
      <c r="HV2" s="2">
        <v>224</v>
      </c>
      <c r="HW2" s="11">
        <v>120</v>
      </c>
      <c r="HY2" s="2"/>
      <c r="HZ2" s="2">
        <v>465</v>
      </c>
      <c r="IB2" s="2" t="s">
        <v>289</v>
      </c>
      <c r="IC2" s="2" t="s">
        <v>85</v>
      </c>
      <c r="ID2" s="2" t="s">
        <v>86</v>
      </c>
      <c r="IE2" s="2" t="s">
        <v>87</v>
      </c>
      <c r="IF2" s="2" t="s">
        <v>88</v>
      </c>
      <c r="IG2" s="2" t="s">
        <v>89</v>
      </c>
      <c r="IH2" s="2" t="s">
        <v>90</v>
      </c>
    </row>
    <row r="3" spans="1:283" ht="15" thickBot="1">
      <c r="E3" s="2" t="s">
        <v>86</v>
      </c>
      <c r="F3" s="2" t="s">
        <v>87</v>
      </c>
      <c r="G3" s="2" t="s">
        <v>88</v>
      </c>
      <c r="H3" s="2" t="s">
        <v>89</v>
      </c>
      <c r="I3" s="2" t="s">
        <v>90</v>
      </c>
      <c r="J3" s="2" t="s">
        <v>289</v>
      </c>
      <c r="K3" s="2" t="s">
        <v>85</v>
      </c>
      <c r="L3" s="2" t="s">
        <v>86</v>
      </c>
      <c r="M3" s="2" t="s">
        <v>87</v>
      </c>
      <c r="N3" s="2" t="s">
        <v>88</v>
      </c>
      <c r="O3" s="2" t="s">
        <v>89</v>
      </c>
      <c r="P3" s="2" t="s">
        <v>90</v>
      </c>
      <c r="Q3" s="2" t="s">
        <v>289</v>
      </c>
      <c r="R3" s="2" t="s">
        <v>85</v>
      </c>
      <c r="S3" s="2" t="s">
        <v>86</v>
      </c>
      <c r="T3" s="2" t="s">
        <v>87</v>
      </c>
      <c r="U3" s="2" t="s">
        <v>88</v>
      </c>
      <c r="V3" s="2" t="s">
        <v>89</v>
      </c>
      <c r="W3" s="2" t="s">
        <v>90</v>
      </c>
      <c r="X3" s="2" t="s">
        <v>289</v>
      </c>
      <c r="Y3" s="2" t="s">
        <v>85</v>
      </c>
      <c r="Z3" s="2" t="s">
        <v>86</v>
      </c>
      <c r="AA3" s="2" t="s">
        <v>87</v>
      </c>
      <c r="AB3" s="2" t="s">
        <v>88</v>
      </c>
      <c r="AC3" s="2" t="s">
        <v>89</v>
      </c>
      <c r="AD3" s="2" t="s">
        <v>90</v>
      </c>
      <c r="AE3" s="2" t="s">
        <v>289</v>
      </c>
      <c r="AF3" s="2" t="s">
        <v>85</v>
      </c>
      <c r="AG3" s="2" t="s">
        <v>86</v>
      </c>
      <c r="AH3" s="2" t="s">
        <v>87</v>
      </c>
      <c r="AI3" s="2" t="s">
        <v>88</v>
      </c>
      <c r="AJ3" s="2" t="s">
        <v>89</v>
      </c>
      <c r="AK3" s="2" t="s">
        <v>90</v>
      </c>
      <c r="AL3" s="2" t="s">
        <v>289</v>
      </c>
      <c r="AM3" s="2" t="s">
        <v>85</v>
      </c>
      <c r="AN3" s="2" t="s">
        <v>86</v>
      </c>
      <c r="AO3" s="2" t="s">
        <v>87</v>
      </c>
      <c r="AP3" s="2" t="s">
        <v>88</v>
      </c>
      <c r="AQ3" s="2" t="s">
        <v>89</v>
      </c>
      <c r="AR3" s="2" t="s">
        <v>90</v>
      </c>
      <c r="AS3" s="2" t="s">
        <v>289</v>
      </c>
      <c r="AT3" s="2" t="s">
        <v>85</v>
      </c>
      <c r="AU3" s="2" t="s">
        <v>86</v>
      </c>
      <c r="AV3" s="2" t="s">
        <v>87</v>
      </c>
      <c r="AW3" s="2" t="s">
        <v>88</v>
      </c>
      <c r="AX3" s="2" t="s">
        <v>89</v>
      </c>
      <c r="AY3" s="2" t="s">
        <v>90</v>
      </c>
      <c r="AZ3" s="2" t="s">
        <v>289</v>
      </c>
      <c r="BA3" s="2" t="s">
        <v>85</v>
      </c>
      <c r="BB3" s="2" t="s">
        <v>86</v>
      </c>
      <c r="BC3" s="2" t="s">
        <v>87</v>
      </c>
      <c r="BD3" s="2" t="s">
        <v>88</v>
      </c>
      <c r="BE3" s="2" t="s">
        <v>89</v>
      </c>
      <c r="BF3" s="2" t="s">
        <v>90</v>
      </c>
      <c r="BG3" s="2" t="s">
        <v>289</v>
      </c>
      <c r="BH3" s="2" t="s">
        <v>85</v>
      </c>
      <c r="BI3" s="2" t="s">
        <v>86</v>
      </c>
      <c r="BJ3" s="2" t="s">
        <v>87</v>
      </c>
      <c r="BK3" s="2" t="s">
        <v>88</v>
      </c>
      <c r="BL3" s="2" t="s">
        <v>89</v>
      </c>
      <c r="BM3" s="2" t="s">
        <v>90</v>
      </c>
      <c r="BN3" s="2" t="s">
        <v>289</v>
      </c>
      <c r="BO3" s="2" t="s">
        <v>85</v>
      </c>
      <c r="BP3" s="2" t="s">
        <v>86</v>
      </c>
      <c r="BQ3" s="2" t="s">
        <v>87</v>
      </c>
      <c r="BR3" s="2" t="s">
        <v>88</v>
      </c>
      <c r="BS3" s="2" t="s">
        <v>89</v>
      </c>
      <c r="BT3" s="2" t="s">
        <v>90</v>
      </c>
      <c r="BU3" s="2" t="s">
        <v>289</v>
      </c>
      <c r="BV3" s="2" t="s">
        <v>85</v>
      </c>
      <c r="BW3" s="2" t="s">
        <v>86</v>
      </c>
      <c r="BX3" s="2" t="s">
        <v>87</v>
      </c>
      <c r="BY3" s="2" t="s">
        <v>88</v>
      </c>
      <c r="BZ3" s="2" t="s">
        <v>89</v>
      </c>
      <c r="CA3" s="2" t="s">
        <v>90</v>
      </c>
      <c r="CB3" s="2" t="s">
        <v>289</v>
      </c>
      <c r="CC3" s="2" t="s">
        <v>85</v>
      </c>
      <c r="CD3" s="2" t="s">
        <v>86</v>
      </c>
      <c r="CE3" s="2" t="s">
        <v>87</v>
      </c>
      <c r="CF3" s="2" t="s">
        <v>88</v>
      </c>
      <c r="CG3" s="2" t="s">
        <v>89</v>
      </c>
      <c r="CH3" s="2" t="s">
        <v>90</v>
      </c>
      <c r="CI3" s="2" t="s">
        <v>289</v>
      </c>
      <c r="CJ3" s="2" t="s">
        <v>85</v>
      </c>
      <c r="CK3" s="2" t="s">
        <v>86</v>
      </c>
      <c r="CL3" s="2" t="s">
        <v>87</v>
      </c>
      <c r="CM3" s="2" t="s">
        <v>88</v>
      </c>
      <c r="CN3" s="2" t="s">
        <v>89</v>
      </c>
      <c r="CO3" s="2" t="s">
        <v>90</v>
      </c>
      <c r="CP3" s="2" t="s">
        <v>289</v>
      </c>
      <c r="CQ3" s="2" t="s">
        <v>85</v>
      </c>
      <c r="CR3" s="2" t="s">
        <v>86</v>
      </c>
      <c r="CS3" s="2" t="s">
        <v>87</v>
      </c>
      <c r="CT3" s="2" t="s">
        <v>88</v>
      </c>
      <c r="CU3" s="2" t="s">
        <v>89</v>
      </c>
      <c r="CV3" s="2" t="s">
        <v>90</v>
      </c>
      <c r="CW3" s="2" t="s">
        <v>289</v>
      </c>
      <c r="CX3" s="2" t="s">
        <v>85</v>
      </c>
      <c r="CY3" s="2" t="s">
        <v>86</v>
      </c>
      <c r="CZ3" s="2" t="s">
        <v>87</v>
      </c>
      <c r="DA3" s="2" t="s">
        <v>88</v>
      </c>
      <c r="DB3" s="2" t="s">
        <v>89</v>
      </c>
      <c r="DC3" s="2" t="s">
        <v>90</v>
      </c>
      <c r="DD3" s="2" t="s">
        <v>289</v>
      </c>
      <c r="DE3" s="2" t="s">
        <v>85</v>
      </c>
      <c r="DF3" s="2" t="s">
        <v>86</v>
      </c>
      <c r="DG3" s="2" t="s">
        <v>87</v>
      </c>
      <c r="DH3" s="2" t="s">
        <v>88</v>
      </c>
      <c r="DI3" s="2" t="s">
        <v>89</v>
      </c>
      <c r="DJ3" s="2" t="s">
        <v>90</v>
      </c>
      <c r="DK3" s="2" t="s">
        <v>289</v>
      </c>
      <c r="DL3" s="2" t="s">
        <v>85</v>
      </c>
      <c r="DM3" s="2" t="s">
        <v>86</v>
      </c>
      <c r="DN3" s="2" t="s">
        <v>87</v>
      </c>
      <c r="DO3" s="2" t="s">
        <v>88</v>
      </c>
      <c r="DP3" s="2" t="s">
        <v>89</v>
      </c>
      <c r="DQ3" s="2" t="s">
        <v>90</v>
      </c>
      <c r="DR3" s="2" t="s">
        <v>289</v>
      </c>
      <c r="DS3" s="2" t="s">
        <v>85</v>
      </c>
      <c r="DT3" s="2" t="s">
        <v>86</v>
      </c>
      <c r="DU3" s="2" t="s">
        <v>87</v>
      </c>
      <c r="DV3" s="2" t="s">
        <v>88</v>
      </c>
      <c r="DW3" s="2" t="s">
        <v>89</v>
      </c>
      <c r="DX3" s="2" t="s">
        <v>90</v>
      </c>
      <c r="DY3" s="2" t="s">
        <v>289</v>
      </c>
      <c r="DZ3" s="2" t="s">
        <v>85</v>
      </c>
      <c r="EA3" s="2" t="s">
        <v>86</v>
      </c>
      <c r="EB3" s="2" t="s">
        <v>87</v>
      </c>
      <c r="EC3" s="2" t="s">
        <v>88</v>
      </c>
      <c r="ED3" s="2" t="s">
        <v>89</v>
      </c>
      <c r="EE3" s="2" t="s">
        <v>90</v>
      </c>
      <c r="EF3" s="2" t="s">
        <v>289</v>
      </c>
      <c r="EG3" s="2" t="s">
        <v>85</v>
      </c>
      <c r="EH3" s="2" t="s">
        <v>86</v>
      </c>
      <c r="EI3" s="2" t="s">
        <v>87</v>
      </c>
      <c r="EJ3" s="2" t="s">
        <v>88</v>
      </c>
      <c r="EK3" s="2" t="s">
        <v>89</v>
      </c>
      <c r="EL3" s="2" t="s">
        <v>90</v>
      </c>
      <c r="EM3" s="2" t="s">
        <v>289</v>
      </c>
      <c r="EN3" s="2" t="s">
        <v>85</v>
      </c>
      <c r="EO3" s="2" t="s">
        <v>86</v>
      </c>
      <c r="EP3" s="2" t="s">
        <v>87</v>
      </c>
      <c r="EQ3" s="2" t="s">
        <v>88</v>
      </c>
      <c r="ER3" s="2" t="s">
        <v>89</v>
      </c>
      <c r="ES3" s="2" t="s">
        <v>90</v>
      </c>
      <c r="ET3" s="2" t="s">
        <v>289</v>
      </c>
      <c r="EU3" s="2" t="s">
        <v>85</v>
      </c>
      <c r="EV3" s="2" t="s">
        <v>86</v>
      </c>
      <c r="EW3" s="2" t="s">
        <v>87</v>
      </c>
      <c r="EX3" s="2" t="s">
        <v>88</v>
      </c>
      <c r="EY3" s="2" t="s">
        <v>89</v>
      </c>
      <c r="EZ3" s="2" t="s">
        <v>90</v>
      </c>
      <c r="FA3" s="2" t="s">
        <v>289</v>
      </c>
      <c r="FB3" s="2" t="s">
        <v>85</v>
      </c>
      <c r="FC3" s="2" t="s">
        <v>86</v>
      </c>
      <c r="FD3" s="2" t="s">
        <v>87</v>
      </c>
      <c r="FE3" s="2" t="s">
        <v>88</v>
      </c>
      <c r="FF3" s="2" t="s">
        <v>89</v>
      </c>
      <c r="FG3" s="2" t="s">
        <v>90</v>
      </c>
      <c r="FH3" s="2" t="s">
        <v>289</v>
      </c>
      <c r="FI3" s="2" t="s">
        <v>85</v>
      </c>
      <c r="FJ3" s="2" t="s">
        <v>86</v>
      </c>
      <c r="FK3" s="2" t="s">
        <v>87</v>
      </c>
      <c r="FL3" s="2" t="s">
        <v>88</v>
      </c>
      <c r="FM3" s="2" t="s">
        <v>89</v>
      </c>
      <c r="FN3" s="2" t="s">
        <v>90</v>
      </c>
      <c r="FO3" s="2" t="s">
        <v>289</v>
      </c>
      <c r="FP3" s="2" t="s">
        <v>85</v>
      </c>
      <c r="FQ3" s="2" t="s">
        <v>86</v>
      </c>
      <c r="FR3" s="2" t="s">
        <v>87</v>
      </c>
      <c r="FS3" s="2" t="s">
        <v>88</v>
      </c>
      <c r="FT3" s="2" t="s">
        <v>89</v>
      </c>
      <c r="FU3" s="2" t="s">
        <v>90</v>
      </c>
      <c r="FV3" s="2" t="s">
        <v>289</v>
      </c>
      <c r="FW3" s="2" t="s">
        <v>85</v>
      </c>
      <c r="FX3" s="2" t="s">
        <v>86</v>
      </c>
      <c r="FY3" s="2" t="s">
        <v>87</v>
      </c>
      <c r="FZ3" s="2" t="s">
        <v>88</v>
      </c>
      <c r="GA3" s="2" t="s">
        <v>89</v>
      </c>
      <c r="GB3" s="2" t="s">
        <v>90</v>
      </c>
      <c r="GC3" s="2" t="s">
        <v>289</v>
      </c>
      <c r="GD3" s="2" t="s">
        <v>85</v>
      </c>
      <c r="GE3" s="2" t="s">
        <v>86</v>
      </c>
      <c r="GF3" s="2" t="s">
        <v>87</v>
      </c>
      <c r="GG3" s="2" t="s">
        <v>88</v>
      </c>
      <c r="GH3" s="2" t="s">
        <v>89</v>
      </c>
      <c r="GI3" s="2" t="s">
        <v>90</v>
      </c>
      <c r="GJ3" s="2" t="s">
        <v>289</v>
      </c>
      <c r="GK3" s="2" t="s">
        <v>85</v>
      </c>
      <c r="GL3" s="2" t="s">
        <v>86</v>
      </c>
      <c r="GM3" s="2" t="s">
        <v>87</v>
      </c>
      <c r="GN3" s="2" t="s">
        <v>88</v>
      </c>
      <c r="GO3" s="2" t="s">
        <v>89</v>
      </c>
      <c r="GP3" s="2" t="s">
        <v>90</v>
      </c>
      <c r="GQ3" s="2" t="s">
        <v>289</v>
      </c>
      <c r="GR3" s="2" t="s">
        <v>85</v>
      </c>
      <c r="GS3" s="2" t="s">
        <v>86</v>
      </c>
      <c r="GT3" s="2" t="s">
        <v>87</v>
      </c>
      <c r="GU3" s="2" t="s">
        <v>88</v>
      </c>
      <c r="GV3" s="2" t="s">
        <v>89</v>
      </c>
      <c r="GW3" s="2" t="s">
        <v>90</v>
      </c>
      <c r="GX3" s="2" t="s">
        <v>289</v>
      </c>
      <c r="GY3" s="2" t="s">
        <v>85</v>
      </c>
      <c r="GZ3" s="2" t="s">
        <v>86</v>
      </c>
      <c r="HA3" s="2" t="s">
        <v>87</v>
      </c>
      <c r="HB3" s="2" t="s">
        <v>88</v>
      </c>
      <c r="HC3" s="2" t="s">
        <v>89</v>
      </c>
      <c r="HD3" s="2" t="s">
        <v>90</v>
      </c>
      <c r="HE3" s="2" t="s">
        <v>289</v>
      </c>
      <c r="HF3" s="2" t="s">
        <v>85</v>
      </c>
      <c r="HG3" s="2" t="s">
        <v>86</v>
      </c>
      <c r="HH3" s="2" t="s">
        <v>87</v>
      </c>
      <c r="HI3" s="2" t="s">
        <v>88</v>
      </c>
      <c r="HJ3" s="2" t="s">
        <v>89</v>
      </c>
      <c r="HK3" s="2" t="s">
        <v>90</v>
      </c>
      <c r="HL3" s="2" t="s">
        <v>289</v>
      </c>
      <c r="HM3" s="2" t="s">
        <v>85</v>
      </c>
      <c r="HN3" s="2" t="s">
        <v>86</v>
      </c>
      <c r="HO3" s="2" t="s">
        <v>87</v>
      </c>
      <c r="HP3" s="2" t="s">
        <v>88</v>
      </c>
      <c r="HQ3" s="2" t="s">
        <v>89</v>
      </c>
      <c r="HR3" s="2" t="s">
        <v>90</v>
      </c>
      <c r="HS3" s="2" t="s">
        <v>289</v>
      </c>
      <c r="HT3" s="2" t="s">
        <v>85</v>
      </c>
      <c r="HU3" s="2" t="s">
        <v>86</v>
      </c>
      <c r="HV3" s="2" t="s">
        <v>87</v>
      </c>
      <c r="HW3" s="11" t="s">
        <v>88</v>
      </c>
      <c r="HY3" s="2"/>
      <c r="HZ3" s="2">
        <v>175</v>
      </c>
      <c r="IJ3" t="s">
        <v>244</v>
      </c>
      <c r="JM3" t="s">
        <v>305</v>
      </c>
    </row>
    <row r="4" spans="1:283" s="10" customFormat="1" ht="15" thickBot="1">
      <c r="E4" s="34">
        <v>43887</v>
      </c>
      <c r="F4" s="34">
        <v>43888</v>
      </c>
      <c r="G4" s="34">
        <v>43889</v>
      </c>
      <c r="H4" s="34">
        <v>43890</v>
      </c>
      <c r="I4" s="34">
        <v>43891</v>
      </c>
      <c r="J4" s="34">
        <v>43892</v>
      </c>
      <c r="K4" s="34">
        <v>43893</v>
      </c>
      <c r="L4" s="34">
        <v>43894</v>
      </c>
      <c r="M4" s="34">
        <v>43895</v>
      </c>
      <c r="N4" s="34">
        <v>43896</v>
      </c>
      <c r="O4" s="34">
        <v>43897</v>
      </c>
      <c r="P4" s="34">
        <v>43898</v>
      </c>
      <c r="Q4" s="34">
        <v>43899</v>
      </c>
      <c r="R4" s="34">
        <v>43900</v>
      </c>
      <c r="S4" s="34">
        <v>43901</v>
      </c>
      <c r="T4" s="34">
        <v>43902</v>
      </c>
      <c r="U4" s="34">
        <v>43903</v>
      </c>
      <c r="V4" s="34">
        <v>43904</v>
      </c>
      <c r="W4" s="34">
        <v>43905</v>
      </c>
      <c r="X4" s="34">
        <v>43906</v>
      </c>
      <c r="Y4" s="34">
        <v>43907</v>
      </c>
      <c r="Z4" s="34">
        <v>43908</v>
      </c>
      <c r="AA4" s="34">
        <v>43909</v>
      </c>
      <c r="AB4" s="34">
        <v>43910</v>
      </c>
      <c r="AC4" s="34">
        <v>43911</v>
      </c>
      <c r="AD4" s="34">
        <v>43912</v>
      </c>
      <c r="AE4" s="34">
        <v>43913</v>
      </c>
      <c r="AF4" s="34">
        <v>43914</v>
      </c>
      <c r="AG4" s="34">
        <v>43915</v>
      </c>
      <c r="AH4" s="34">
        <v>43916</v>
      </c>
      <c r="AI4" s="34">
        <v>43917</v>
      </c>
      <c r="AJ4" s="34">
        <v>43918</v>
      </c>
      <c r="AK4" s="34">
        <v>43919</v>
      </c>
      <c r="AL4" s="34">
        <v>43920</v>
      </c>
      <c r="AM4" s="34">
        <v>43921</v>
      </c>
      <c r="AN4" s="34">
        <v>43922</v>
      </c>
      <c r="AO4" s="34">
        <v>43923</v>
      </c>
      <c r="AP4" s="34">
        <v>43924</v>
      </c>
      <c r="AQ4" s="34">
        <v>43925</v>
      </c>
      <c r="AR4" s="34">
        <v>43926</v>
      </c>
      <c r="AS4" s="34">
        <v>43927</v>
      </c>
      <c r="AT4" s="34">
        <v>43928</v>
      </c>
      <c r="AU4" s="34">
        <v>43929</v>
      </c>
      <c r="AV4" s="34">
        <v>43930</v>
      </c>
      <c r="AW4" s="34">
        <v>43931</v>
      </c>
      <c r="AX4" s="34">
        <v>43932</v>
      </c>
      <c r="AY4" s="34">
        <v>43933</v>
      </c>
      <c r="AZ4" s="34">
        <v>43934</v>
      </c>
      <c r="BA4" s="34">
        <v>43935</v>
      </c>
      <c r="BB4" s="34">
        <v>43936</v>
      </c>
      <c r="BC4" s="34">
        <v>43937</v>
      </c>
      <c r="BD4" s="34">
        <v>43938</v>
      </c>
      <c r="BE4" s="34">
        <v>43939</v>
      </c>
      <c r="BF4" s="34">
        <v>43940</v>
      </c>
      <c r="BG4" s="34">
        <v>43941</v>
      </c>
      <c r="BH4" s="34">
        <v>43942</v>
      </c>
      <c r="BI4" s="34">
        <v>43943</v>
      </c>
      <c r="BJ4" s="34">
        <v>43944</v>
      </c>
      <c r="BK4" s="34">
        <v>43945</v>
      </c>
      <c r="BL4" s="34">
        <v>43946</v>
      </c>
      <c r="BM4" s="34">
        <v>43947</v>
      </c>
      <c r="BN4" s="34">
        <v>43948</v>
      </c>
      <c r="BO4" s="34">
        <v>43949</v>
      </c>
      <c r="BP4" s="34">
        <v>43950</v>
      </c>
      <c r="BQ4" s="34">
        <v>43951</v>
      </c>
      <c r="BR4" s="34">
        <v>43952</v>
      </c>
      <c r="BS4" s="34">
        <v>43953</v>
      </c>
      <c r="BT4" s="34">
        <v>43954</v>
      </c>
      <c r="BU4" s="34">
        <v>43955</v>
      </c>
      <c r="BV4" s="34">
        <v>43956</v>
      </c>
      <c r="BW4" s="34">
        <v>43957</v>
      </c>
      <c r="BX4" s="34">
        <v>43958</v>
      </c>
      <c r="BY4" s="34">
        <v>43959</v>
      </c>
      <c r="BZ4" s="34">
        <v>43960</v>
      </c>
      <c r="CA4" s="34">
        <v>43961</v>
      </c>
      <c r="CB4" s="34">
        <v>43962</v>
      </c>
      <c r="CC4" s="34">
        <v>43963</v>
      </c>
      <c r="CD4" s="34">
        <v>43964</v>
      </c>
      <c r="CE4" s="34">
        <v>43965</v>
      </c>
      <c r="CF4" s="34">
        <v>43966</v>
      </c>
      <c r="CG4" s="34">
        <v>43967</v>
      </c>
      <c r="CH4" s="34">
        <v>43968</v>
      </c>
      <c r="CI4" s="34">
        <v>43969</v>
      </c>
      <c r="CJ4" s="34">
        <v>43970</v>
      </c>
      <c r="CK4" s="34">
        <v>43971</v>
      </c>
      <c r="CL4" s="34">
        <v>43972</v>
      </c>
      <c r="CM4" s="34">
        <v>43973</v>
      </c>
      <c r="CN4" s="34">
        <v>43974</v>
      </c>
      <c r="CO4" s="34">
        <v>43975</v>
      </c>
      <c r="CP4" s="34">
        <v>43976</v>
      </c>
      <c r="CQ4" s="34">
        <v>43977</v>
      </c>
      <c r="CR4" s="34">
        <v>43978</v>
      </c>
      <c r="CS4" s="34">
        <v>43979</v>
      </c>
      <c r="CT4" s="34">
        <v>43980</v>
      </c>
      <c r="CU4" s="34">
        <v>43981</v>
      </c>
      <c r="CV4" s="34">
        <v>43982</v>
      </c>
      <c r="CW4" s="34">
        <v>43983</v>
      </c>
      <c r="CX4" s="34">
        <v>43984</v>
      </c>
      <c r="CY4" s="34">
        <v>43985</v>
      </c>
      <c r="CZ4" s="34">
        <v>43986</v>
      </c>
      <c r="DA4" s="34">
        <v>43987</v>
      </c>
      <c r="DB4" s="34">
        <v>43988</v>
      </c>
      <c r="DC4" s="34">
        <v>43989</v>
      </c>
      <c r="DD4" s="34">
        <v>43990</v>
      </c>
      <c r="DE4" s="34">
        <v>43991</v>
      </c>
      <c r="DF4" s="34">
        <v>43992</v>
      </c>
      <c r="DG4" s="34">
        <v>43993</v>
      </c>
      <c r="DH4" s="34">
        <v>43994</v>
      </c>
      <c r="DI4" s="34">
        <v>43995</v>
      </c>
      <c r="DJ4" s="34">
        <v>43996</v>
      </c>
      <c r="DK4" s="34">
        <v>43997</v>
      </c>
      <c r="DL4" s="34">
        <v>43998</v>
      </c>
      <c r="DM4" s="34">
        <v>43999</v>
      </c>
      <c r="DN4" s="34">
        <v>44000</v>
      </c>
      <c r="DO4" s="34">
        <v>44001</v>
      </c>
      <c r="DP4" s="34">
        <v>44002</v>
      </c>
      <c r="DQ4" s="34">
        <v>44003</v>
      </c>
      <c r="DR4" s="34">
        <v>44004</v>
      </c>
      <c r="DS4" s="34">
        <v>44005</v>
      </c>
      <c r="DT4" s="34">
        <v>44006</v>
      </c>
      <c r="DU4" s="34">
        <v>44007</v>
      </c>
      <c r="DV4" s="34">
        <v>44008</v>
      </c>
      <c r="DW4" s="34">
        <v>44009</v>
      </c>
      <c r="DX4" s="34">
        <v>44010</v>
      </c>
      <c r="DY4" s="34">
        <v>44011</v>
      </c>
      <c r="DZ4" s="34">
        <v>44012</v>
      </c>
      <c r="EA4" s="34">
        <v>44013</v>
      </c>
      <c r="EB4" s="34">
        <v>44014</v>
      </c>
      <c r="EC4" s="34">
        <v>44015</v>
      </c>
      <c r="ED4" s="34">
        <v>44016</v>
      </c>
      <c r="EE4" s="34">
        <v>44017</v>
      </c>
      <c r="EF4" s="34">
        <v>44018</v>
      </c>
      <c r="EG4" s="34">
        <v>44019</v>
      </c>
      <c r="EH4" s="34">
        <v>44020</v>
      </c>
      <c r="EI4" s="34">
        <v>44021</v>
      </c>
      <c r="EJ4" s="34">
        <v>44022</v>
      </c>
      <c r="EK4" s="34">
        <v>44023</v>
      </c>
      <c r="EL4" s="34">
        <v>44024</v>
      </c>
      <c r="EM4" s="34">
        <v>44025</v>
      </c>
      <c r="EN4" s="34">
        <v>44026</v>
      </c>
      <c r="EO4" s="34">
        <v>44027</v>
      </c>
      <c r="EP4" s="34">
        <v>44028</v>
      </c>
      <c r="EQ4" s="34">
        <v>44029</v>
      </c>
      <c r="ER4" s="34">
        <v>44030</v>
      </c>
      <c r="ES4" s="34">
        <v>44031</v>
      </c>
      <c r="ET4" s="34">
        <v>44032</v>
      </c>
      <c r="EU4" s="34">
        <v>44033</v>
      </c>
      <c r="EV4" s="34">
        <v>44034</v>
      </c>
      <c r="EW4" s="34">
        <v>44035</v>
      </c>
      <c r="EX4" s="34">
        <v>44036</v>
      </c>
      <c r="EY4" s="34">
        <v>44037</v>
      </c>
      <c r="EZ4" s="34">
        <v>44038</v>
      </c>
      <c r="FA4" s="34">
        <v>44039</v>
      </c>
      <c r="FB4" s="34">
        <v>44040</v>
      </c>
      <c r="FC4" s="34">
        <v>44041</v>
      </c>
      <c r="FD4" s="34">
        <v>44042</v>
      </c>
      <c r="FE4" s="34">
        <v>44043</v>
      </c>
      <c r="FF4" s="34">
        <v>44044</v>
      </c>
      <c r="FG4" s="34">
        <v>44045</v>
      </c>
      <c r="FH4" s="34">
        <v>44046</v>
      </c>
      <c r="FI4" s="34">
        <v>44047</v>
      </c>
      <c r="FJ4" s="34">
        <v>44048</v>
      </c>
      <c r="FK4" s="34">
        <v>44049</v>
      </c>
      <c r="FL4" s="34">
        <v>44050</v>
      </c>
      <c r="FM4" s="34">
        <v>44051</v>
      </c>
      <c r="FN4" s="34">
        <v>44052</v>
      </c>
      <c r="FO4" s="34">
        <v>44053</v>
      </c>
      <c r="FP4" s="34">
        <v>44054</v>
      </c>
      <c r="FQ4" s="34">
        <v>44055</v>
      </c>
      <c r="FR4" s="34">
        <v>44056</v>
      </c>
      <c r="FS4" s="34">
        <v>44057</v>
      </c>
      <c r="FT4" s="34">
        <v>44058</v>
      </c>
      <c r="FU4" s="34">
        <v>44059</v>
      </c>
      <c r="FV4" s="34">
        <v>44060</v>
      </c>
      <c r="FW4" s="34">
        <v>44061</v>
      </c>
      <c r="FX4" s="34">
        <v>44062</v>
      </c>
      <c r="FY4" s="34">
        <v>44063</v>
      </c>
      <c r="FZ4" s="34">
        <v>44064</v>
      </c>
      <c r="GA4" s="34">
        <v>44065</v>
      </c>
      <c r="GB4" s="34">
        <v>44066</v>
      </c>
      <c r="GC4" s="34">
        <v>44067</v>
      </c>
      <c r="GD4" s="34">
        <v>44068</v>
      </c>
      <c r="GE4" s="34">
        <v>44069</v>
      </c>
      <c r="GF4" s="34">
        <v>44070</v>
      </c>
      <c r="GG4" s="34">
        <v>44071</v>
      </c>
      <c r="GH4" s="34">
        <v>44072</v>
      </c>
      <c r="GI4" s="34">
        <v>44073</v>
      </c>
      <c r="GJ4" s="34">
        <v>44074</v>
      </c>
      <c r="GK4" s="34">
        <v>44075</v>
      </c>
      <c r="GL4" s="34">
        <v>44076</v>
      </c>
      <c r="GM4" s="34">
        <v>44077</v>
      </c>
      <c r="GN4" s="34">
        <v>44078</v>
      </c>
      <c r="GO4" s="34">
        <v>44079</v>
      </c>
      <c r="GP4" s="34">
        <v>44080</v>
      </c>
      <c r="GQ4" s="34">
        <v>44081</v>
      </c>
      <c r="GR4" s="34">
        <v>44082</v>
      </c>
      <c r="GS4" s="34">
        <v>44083</v>
      </c>
      <c r="GT4" s="34">
        <v>44084</v>
      </c>
      <c r="GU4" s="34">
        <v>44085</v>
      </c>
      <c r="GV4" s="34">
        <v>44086</v>
      </c>
      <c r="GW4" s="34">
        <v>44087</v>
      </c>
      <c r="GX4" s="34">
        <v>44088</v>
      </c>
      <c r="GY4" s="34">
        <v>44089</v>
      </c>
      <c r="GZ4" s="34">
        <v>44090</v>
      </c>
      <c r="HA4" s="34">
        <v>44091</v>
      </c>
      <c r="HB4" s="34">
        <v>44092</v>
      </c>
      <c r="HC4" s="34">
        <v>44093</v>
      </c>
      <c r="HD4" s="34">
        <v>44094</v>
      </c>
      <c r="HE4" s="34">
        <v>44095</v>
      </c>
      <c r="HF4" s="34">
        <v>44096</v>
      </c>
      <c r="HG4" s="34">
        <v>44097</v>
      </c>
      <c r="HH4" s="34">
        <v>44098</v>
      </c>
      <c r="HI4" s="34">
        <v>44099</v>
      </c>
      <c r="HJ4" s="34">
        <v>44100</v>
      </c>
      <c r="HK4" s="34">
        <v>44101</v>
      </c>
      <c r="HL4" s="34">
        <v>44102</v>
      </c>
      <c r="HM4" s="34">
        <v>44103</v>
      </c>
      <c r="HN4" s="34">
        <v>44104</v>
      </c>
      <c r="HO4" s="34">
        <v>44105</v>
      </c>
      <c r="HP4" s="34">
        <v>44106</v>
      </c>
      <c r="HQ4" s="34">
        <v>44107</v>
      </c>
      <c r="HR4" s="34">
        <v>44108</v>
      </c>
      <c r="HS4" s="34">
        <v>44109</v>
      </c>
      <c r="HT4" s="34">
        <v>44110</v>
      </c>
      <c r="HU4" s="34">
        <v>44111</v>
      </c>
      <c r="HV4" s="34">
        <v>44112</v>
      </c>
      <c r="HW4" s="192">
        <v>44008</v>
      </c>
      <c r="HX4" s="178"/>
      <c r="HY4" s="12"/>
      <c r="HZ4" s="1"/>
      <c r="IB4" s="1"/>
      <c r="IC4" s="1"/>
      <c r="ID4" s="1"/>
      <c r="IE4" s="1"/>
      <c r="IF4" s="1"/>
      <c r="IG4" s="1"/>
      <c r="IH4" s="1"/>
      <c r="IJ4" s="10" t="s">
        <v>245</v>
      </c>
      <c r="IV4" s="146">
        <v>209</v>
      </c>
      <c r="JF4" s="118" t="s">
        <v>286</v>
      </c>
      <c r="JG4" s="118" t="s">
        <v>282</v>
      </c>
      <c r="JH4" s="118" t="s">
        <v>293</v>
      </c>
      <c r="JI4" s="118" t="s">
        <v>291</v>
      </c>
      <c r="JJ4" s="118" t="s">
        <v>311</v>
      </c>
      <c r="JK4" s="118" t="s">
        <v>449</v>
      </c>
      <c r="JL4" s="118" t="s">
        <v>325</v>
      </c>
      <c r="JM4" s="242" t="s">
        <v>508</v>
      </c>
    </row>
    <row r="5" spans="1:283" ht="15" thickBot="1">
      <c r="C5" s="75" t="s">
        <v>158</v>
      </c>
      <c r="D5" s="2" t="s">
        <v>12</v>
      </c>
      <c r="E5" s="2" t="s">
        <v>207</v>
      </c>
      <c r="F5" s="2" t="s">
        <v>52</v>
      </c>
      <c r="G5" s="2" t="s">
        <v>52</v>
      </c>
      <c r="H5" s="2" t="s">
        <v>52</v>
      </c>
      <c r="I5" s="2" t="s">
        <v>52</v>
      </c>
      <c r="J5" s="2" t="s">
        <v>52</v>
      </c>
      <c r="K5" s="2" t="s">
        <v>52</v>
      </c>
      <c r="L5" s="2" t="s">
        <v>52</v>
      </c>
      <c r="M5" s="2" t="s">
        <v>52</v>
      </c>
      <c r="N5" s="2" t="s">
        <v>52</v>
      </c>
      <c r="O5" s="2" t="s">
        <v>52</v>
      </c>
      <c r="P5" s="2" t="s">
        <v>52</v>
      </c>
      <c r="Q5" s="4" t="s">
        <v>267</v>
      </c>
      <c r="R5" s="2" t="s">
        <v>52</v>
      </c>
      <c r="S5" s="2" t="s">
        <v>52</v>
      </c>
      <c r="T5" s="2" t="s">
        <v>52</v>
      </c>
      <c r="U5" s="2" t="s">
        <v>52</v>
      </c>
      <c r="V5" s="2" t="s">
        <v>52</v>
      </c>
      <c r="W5" s="2" t="s">
        <v>52</v>
      </c>
      <c r="X5" s="4" t="s">
        <v>271</v>
      </c>
      <c r="Y5" s="4" t="s">
        <v>271</v>
      </c>
      <c r="Z5" s="4" t="s">
        <v>271</v>
      </c>
      <c r="AA5" s="4" t="s">
        <v>271</v>
      </c>
      <c r="AB5" s="2" t="s">
        <v>52</v>
      </c>
      <c r="AC5" s="2" t="s">
        <v>52</v>
      </c>
      <c r="AD5" s="2" t="s">
        <v>52</v>
      </c>
      <c r="AE5" s="2" t="s">
        <v>52</v>
      </c>
      <c r="AF5" s="2" t="s">
        <v>52</v>
      </c>
      <c r="AG5" s="2" t="s">
        <v>52</v>
      </c>
      <c r="AH5" s="2" t="s">
        <v>52</v>
      </c>
      <c r="AI5" s="2" t="s">
        <v>52</v>
      </c>
      <c r="AJ5" s="2" t="s">
        <v>52</v>
      </c>
      <c r="AK5" s="2" t="s">
        <v>52</v>
      </c>
      <c r="AL5" s="2" t="s">
        <v>52</v>
      </c>
      <c r="AM5" s="2" t="s">
        <v>52</v>
      </c>
      <c r="AN5" s="2" t="s">
        <v>52</v>
      </c>
      <c r="AO5" s="2" t="s">
        <v>52</v>
      </c>
      <c r="AP5" s="2" t="s">
        <v>52</v>
      </c>
      <c r="AQ5" s="2" t="s">
        <v>52</v>
      </c>
      <c r="AR5" s="2" t="s">
        <v>52</v>
      </c>
      <c r="AS5" s="2" t="s">
        <v>52</v>
      </c>
      <c r="AT5" s="2" t="s">
        <v>52</v>
      </c>
      <c r="AU5" s="2" t="s">
        <v>52</v>
      </c>
      <c r="AV5" s="2" t="s">
        <v>52</v>
      </c>
      <c r="AW5" s="2" t="s">
        <v>52</v>
      </c>
      <c r="AX5" s="2" t="s">
        <v>52</v>
      </c>
      <c r="AY5" s="2" t="s">
        <v>52</v>
      </c>
      <c r="AZ5" s="2" t="s">
        <v>52</v>
      </c>
      <c r="BA5" s="2" t="s">
        <v>52</v>
      </c>
      <c r="BB5" s="2" t="s">
        <v>52</v>
      </c>
      <c r="BC5" s="2" t="s">
        <v>52</v>
      </c>
      <c r="BD5" s="2" t="s">
        <v>52</v>
      </c>
      <c r="BE5" s="2" t="s">
        <v>52</v>
      </c>
      <c r="BF5" s="2" t="s">
        <v>52</v>
      </c>
      <c r="BG5" s="2" t="s">
        <v>52</v>
      </c>
      <c r="BH5" s="2" t="s">
        <v>52</v>
      </c>
      <c r="BI5" s="2" t="s">
        <v>52</v>
      </c>
      <c r="BJ5" s="2" t="s">
        <v>52</v>
      </c>
      <c r="BK5" s="2" t="s">
        <v>52</v>
      </c>
      <c r="BL5" s="2" t="s">
        <v>288</v>
      </c>
      <c r="BM5" s="2" t="s">
        <v>52</v>
      </c>
      <c r="BN5" s="2" t="s">
        <v>52</v>
      </c>
      <c r="BO5" s="2" t="s">
        <v>52</v>
      </c>
      <c r="BP5" s="2" t="s">
        <v>52</v>
      </c>
      <c r="BQ5" s="2" t="s">
        <v>52</v>
      </c>
      <c r="BR5" s="2" t="s">
        <v>52</v>
      </c>
      <c r="BS5" s="2" t="s">
        <v>52</v>
      </c>
      <c r="BT5" s="2" t="s">
        <v>52</v>
      </c>
      <c r="BU5" s="2" t="s">
        <v>52</v>
      </c>
      <c r="BV5" s="2" t="s">
        <v>52</v>
      </c>
      <c r="BW5" s="2" t="s">
        <v>52</v>
      </c>
      <c r="BX5" s="2" t="s">
        <v>52</v>
      </c>
      <c r="BY5" s="2" t="s">
        <v>52</v>
      </c>
      <c r="BZ5" s="2" t="s">
        <v>52</v>
      </c>
      <c r="CA5" s="2" t="s">
        <v>52</v>
      </c>
      <c r="CB5" s="2" t="s">
        <v>52</v>
      </c>
      <c r="CC5" s="2" t="s">
        <v>52</v>
      </c>
      <c r="CD5" s="207" t="s">
        <v>54</v>
      </c>
      <c r="CE5" s="208" t="s">
        <v>238</v>
      </c>
      <c r="CF5" s="209" t="s">
        <v>510</v>
      </c>
      <c r="CG5" s="2" t="s">
        <v>52</v>
      </c>
      <c r="CH5" s="2" t="s">
        <v>52</v>
      </c>
      <c r="CI5" s="2" t="s">
        <v>52</v>
      </c>
      <c r="CJ5" s="2" t="s">
        <v>52</v>
      </c>
      <c r="CK5" s="2" t="s">
        <v>52</v>
      </c>
      <c r="CL5" s="2" t="s">
        <v>52</v>
      </c>
      <c r="CM5" s="2" t="s">
        <v>52</v>
      </c>
      <c r="CN5" s="2" t="s">
        <v>52</v>
      </c>
      <c r="CO5" s="2" t="s">
        <v>52</v>
      </c>
      <c r="CP5" s="2" t="s">
        <v>52</v>
      </c>
      <c r="CQ5" s="2" t="s">
        <v>52</v>
      </c>
      <c r="CR5" s="2" t="s">
        <v>52</v>
      </c>
      <c r="CS5" s="2" t="s">
        <v>52</v>
      </c>
      <c r="CT5" s="2" t="s">
        <v>52</v>
      </c>
      <c r="CU5" s="2" t="s">
        <v>52</v>
      </c>
      <c r="CV5" s="2" t="s">
        <v>52</v>
      </c>
      <c r="CW5" s="2" t="s">
        <v>52</v>
      </c>
      <c r="CX5" s="2" t="s">
        <v>52</v>
      </c>
      <c r="CY5" s="2" t="s">
        <v>52</v>
      </c>
      <c r="CZ5" s="2" t="s">
        <v>52</v>
      </c>
      <c r="DA5" s="210" t="s">
        <v>211</v>
      </c>
      <c r="DB5" s="2" t="s">
        <v>52</v>
      </c>
      <c r="DC5" s="2" t="s">
        <v>52</v>
      </c>
      <c r="DD5" s="2" t="s">
        <v>52</v>
      </c>
      <c r="DE5" s="2" t="s">
        <v>52</v>
      </c>
      <c r="DF5" s="2" t="s">
        <v>52</v>
      </c>
      <c r="DG5" s="207" t="s">
        <v>82</v>
      </c>
      <c r="DH5" s="208" t="s">
        <v>82</v>
      </c>
      <c r="DI5" s="209" t="s">
        <v>82</v>
      </c>
      <c r="DJ5" s="2" t="s">
        <v>52</v>
      </c>
      <c r="DK5" s="2" t="s">
        <v>52</v>
      </c>
      <c r="DL5" s="2" t="s">
        <v>52</v>
      </c>
      <c r="DM5" s="206" t="s">
        <v>288</v>
      </c>
      <c r="DN5" s="2" t="s">
        <v>52</v>
      </c>
      <c r="DO5" s="2" t="s">
        <v>52</v>
      </c>
      <c r="DP5" s="2" t="s">
        <v>52</v>
      </c>
      <c r="DQ5" s="2" t="s">
        <v>52</v>
      </c>
      <c r="DR5" s="2" t="s">
        <v>52</v>
      </c>
      <c r="DS5" s="210" t="s">
        <v>315</v>
      </c>
      <c r="DT5" s="2" t="s">
        <v>52</v>
      </c>
      <c r="DU5" s="2" t="s">
        <v>52</v>
      </c>
      <c r="DV5" s="2" t="s">
        <v>52</v>
      </c>
      <c r="DW5" s="2" t="s">
        <v>52</v>
      </c>
      <c r="DX5" s="2" t="s">
        <v>52</v>
      </c>
      <c r="DY5" s="207" t="s">
        <v>316</v>
      </c>
      <c r="DZ5" s="208" t="s">
        <v>316</v>
      </c>
      <c r="EA5" s="209" t="s">
        <v>316</v>
      </c>
      <c r="EB5" s="2" t="s">
        <v>52</v>
      </c>
      <c r="EC5" s="2" t="s">
        <v>52</v>
      </c>
      <c r="ED5" s="2" t="s">
        <v>52</v>
      </c>
      <c r="EE5" s="2" t="s">
        <v>52</v>
      </c>
      <c r="EF5" s="2" t="s">
        <v>52</v>
      </c>
      <c r="EG5" s="2" t="s">
        <v>52</v>
      </c>
      <c r="EH5" s="2" t="s">
        <v>52</v>
      </c>
      <c r="EI5" s="2" t="s">
        <v>52</v>
      </c>
      <c r="EJ5" s="2" t="s">
        <v>52</v>
      </c>
      <c r="EK5" s="2" t="s">
        <v>52</v>
      </c>
      <c r="EL5" s="221" t="s">
        <v>20</v>
      </c>
      <c r="EM5" s="222" t="s">
        <v>20</v>
      </c>
      <c r="EN5" s="222" t="s">
        <v>20</v>
      </c>
      <c r="EO5" s="223" t="s">
        <v>52</v>
      </c>
      <c r="EP5" s="2" t="s">
        <v>52</v>
      </c>
      <c r="EQ5" s="2" t="s">
        <v>52</v>
      </c>
      <c r="ER5" s="2" t="s">
        <v>52</v>
      </c>
      <c r="ES5" s="2" t="s">
        <v>52</v>
      </c>
      <c r="ET5" s="2" t="s">
        <v>52</v>
      </c>
      <c r="EU5" s="2" t="s">
        <v>52</v>
      </c>
      <c r="EV5" s="2" t="s">
        <v>52</v>
      </c>
      <c r="EW5" s="2" t="s">
        <v>52</v>
      </c>
      <c r="EX5" s="2" t="s">
        <v>52</v>
      </c>
      <c r="EY5" s="2" t="s">
        <v>52</v>
      </c>
      <c r="EZ5" s="2" t="s">
        <v>52</v>
      </c>
      <c r="FA5" s="221" t="s">
        <v>321</v>
      </c>
      <c r="FB5" s="222" t="s">
        <v>321</v>
      </c>
      <c r="FC5" s="223" t="s">
        <v>321</v>
      </c>
      <c r="FD5" s="2" t="s">
        <v>52</v>
      </c>
      <c r="FE5" s="2" t="s">
        <v>52</v>
      </c>
      <c r="FF5" s="2" t="s">
        <v>52</v>
      </c>
      <c r="FG5" s="2" t="s">
        <v>52</v>
      </c>
      <c r="FH5" s="2" t="s">
        <v>52</v>
      </c>
      <c r="FI5" s="2" t="s">
        <v>52</v>
      </c>
      <c r="FJ5" s="2" t="s">
        <v>52</v>
      </c>
      <c r="FK5" s="2" t="s">
        <v>52</v>
      </c>
      <c r="FL5" s="2" t="s">
        <v>52</v>
      </c>
      <c r="FM5" s="2" t="s">
        <v>52</v>
      </c>
      <c r="FN5" s="2" t="s">
        <v>52</v>
      </c>
      <c r="FO5" s="2" t="s">
        <v>52</v>
      </c>
      <c r="FP5" s="2" t="s">
        <v>52</v>
      </c>
      <c r="FQ5" s="2" t="s">
        <v>52</v>
      </c>
      <c r="FR5" s="2" t="s">
        <v>52</v>
      </c>
      <c r="FS5" s="2" t="s">
        <v>52</v>
      </c>
      <c r="FT5" s="2" t="s">
        <v>52</v>
      </c>
      <c r="FU5" s="2" t="s">
        <v>52</v>
      </c>
      <c r="FV5" s="2" t="s">
        <v>52</v>
      </c>
      <c r="FW5" s="2" t="s">
        <v>52</v>
      </c>
      <c r="FX5" s="2" t="s">
        <v>52</v>
      </c>
      <c r="FY5" s="2" t="s">
        <v>52</v>
      </c>
      <c r="FZ5" s="2" t="s">
        <v>52</v>
      </c>
      <c r="GA5" s="2" t="s">
        <v>52</v>
      </c>
      <c r="GB5" s="2" t="s">
        <v>52</v>
      </c>
      <c r="GC5" s="210" t="s">
        <v>519</v>
      </c>
      <c r="GD5" s="2" t="s">
        <v>52</v>
      </c>
      <c r="GE5" s="2" t="s">
        <v>52</v>
      </c>
      <c r="GF5" s="2" t="s">
        <v>52</v>
      </c>
      <c r="GG5" s="2" t="s">
        <v>52</v>
      </c>
      <c r="GH5" s="2" t="s">
        <v>52</v>
      </c>
      <c r="GI5" s="2" t="s">
        <v>52</v>
      </c>
      <c r="GJ5" s="2" t="s">
        <v>52</v>
      </c>
      <c r="GK5" s="2" t="s">
        <v>52</v>
      </c>
      <c r="GL5" s="2" t="s">
        <v>52</v>
      </c>
      <c r="GM5" s="2" t="s">
        <v>52</v>
      </c>
      <c r="GN5" s="2" t="s">
        <v>52</v>
      </c>
      <c r="GO5" s="2" t="s">
        <v>52</v>
      </c>
      <c r="GP5" s="2" t="s">
        <v>52</v>
      </c>
      <c r="GQ5" s="2" t="s">
        <v>52</v>
      </c>
      <c r="GR5" s="2" t="s">
        <v>52</v>
      </c>
      <c r="GS5" s="2" t="s">
        <v>52</v>
      </c>
      <c r="GT5" s="2" t="s">
        <v>52</v>
      </c>
      <c r="GU5" s="2" t="s">
        <v>52</v>
      </c>
      <c r="GV5" s="210" t="s">
        <v>288</v>
      </c>
      <c r="GW5" s="2" t="s">
        <v>52</v>
      </c>
      <c r="GX5" s="2" t="s">
        <v>52</v>
      </c>
      <c r="GY5" s="207" t="s">
        <v>316</v>
      </c>
      <c r="GZ5" s="208" t="s">
        <v>316</v>
      </c>
      <c r="HA5" s="208" t="s">
        <v>316</v>
      </c>
      <c r="HB5" s="209" t="s">
        <v>316</v>
      </c>
      <c r="HC5" s="2" t="s">
        <v>52</v>
      </c>
      <c r="HD5" s="2" t="s">
        <v>52</v>
      </c>
      <c r="HE5" s="2" t="s">
        <v>52</v>
      </c>
      <c r="HF5" s="2" t="s">
        <v>52</v>
      </c>
      <c r="HG5" s="2" t="s">
        <v>52</v>
      </c>
      <c r="HH5" s="2" t="s">
        <v>207</v>
      </c>
      <c r="HI5" s="2" t="s">
        <v>52</v>
      </c>
      <c r="HJ5" s="2" t="s">
        <v>52</v>
      </c>
      <c r="HK5" s="2" t="s">
        <v>52</v>
      </c>
      <c r="HL5" s="2" t="s">
        <v>52</v>
      </c>
      <c r="HM5" s="2" t="s">
        <v>52</v>
      </c>
      <c r="HN5" s="2" t="s">
        <v>52</v>
      </c>
      <c r="HO5" s="2" t="s">
        <v>52</v>
      </c>
      <c r="HP5" s="2" t="s">
        <v>52</v>
      </c>
      <c r="HQ5" s="2" t="s">
        <v>52</v>
      </c>
      <c r="HR5" s="2" t="s">
        <v>52</v>
      </c>
      <c r="HS5" s="2" t="s">
        <v>52</v>
      </c>
      <c r="HT5" s="2" t="s">
        <v>52</v>
      </c>
      <c r="HU5" s="2" t="s">
        <v>52</v>
      </c>
      <c r="HV5" s="2" t="s">
        <v>52</v>
      </c>
      <c r="HW5" s="11" t="s">
        <v>52</v>
      </c>
      <c r="IT5" t="s">
        <v>210</v>
      </c>
      <c r="IZ5" s="2" t="s">
        <v>272</v>
      </c>
      <c r="JF5" s="118" t="s">
        <v>281</v>
      </c>
      <c r="JG5" s="118" t="s">
        <v>283</v>
      </c>
      <c r="JH5" s="118" t="s">
        <v>292</v>
      </c>
      <c r="JI5" s="118" t="s">
        <v>310</v>
      </c>
      <c r="JJ5" s="118" t="s">
        <v>327</v>
      </c>
      <c r="JK5" s="118" t="s">
        <v>324</v>
      </c>
      <c r="JL5" s="242" t="s">
        <v>507</v>
      </c>
      <c r="JM5" s="118" t="s">
        <v>520</v>
      </c>
    </row>
    <row r="6" spans="1:283" ht="15" outlineLevel="1" thickBot="1">
      <c r="D6" s="11" t="s">
        <v>17</v>
      </c>
      <c r="E6" s="2" t="s">
        <v>16</v>
      </c>
      <c r="F6" s="2" t="s">
        <v>16</v>
      </c>
      <c r="G6" s="2" t="s">
        <v>16</v>
      </c>
      <c r="HY6" s="4" t="s">
        <v>13</v>
      </c>
      <c r="IK6" s="4" t="s">
        <v>135</v>
      </c>
      <c r="IL6" s="4" t="s">
        <v>9</v>
      </c>
      <c r="IQ6" s="4" t="s">
        <v>135</v>
      </c>
      <c r="IR6" s="4" t="s">
        <v>9</v>
      </c>
      <c r="IU6" s="4" t="s">
        <v>135</v>
      </c>
      <c r="IV6" s="4" t="s">
        <v>9</v>
      </c>
      <c r="JA6" s="4" t="s">
        <v>135</v>
      </c>
      <c r="JB6" s="4" t="s">
        <v>9</v>
      </c>
      <c r="JF6" s="4" t="s">
        <v>285</v>
      </c>
      <c r="JG6" s="4" t="s">
        <v>284</v>
      </c>
      <c r="JH6" s="4" t="s">
        <v>287</v>
      </c>
      <c r="JI6" s="4" t="s">
        <v>294</v>
      </c>
      <c r="JJ6" s="4" t="s">
        <v>312</v>
      </c>
      <c r="JK6" s="4" t="s">
        <v>320</v>
      </c>
      <c r="JL6" s="4" t="s">
        <v>516</v>
      </c>
      <c r="JM6" s="4" t="s">
        <v>517</v>
      </c>
    </row>
    <row r="7" spans="1:283" outlineLevel="1">
      <c r="A7" t="s">
        <v>70</v>
      </c>
      <c r="B7" t="s">
        <v>21</v>
      </c>
      <c r="C7" s="72" t="s">
        <v>142</v>
      </c>
      <c r="D7" s="11"/>
      <c r="E7"/>
      <c r="S7" s="2">
        <v>90</v>
      </c>
      <c r="Y7"/>
      <c r="Z7"/>
      <c r="AA7"/>
      <c r="AB7"/>
      <c r="AC7"/>
      <c r="AD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D7" s="2">
        <v>50</v>
      </c>
      <c r="CE7" s="2">
        <v>120</v>
      </c>
      <c r="CF7" s="2">
        <v>130</v>
      </c>
      <c r="DB7" s="204">
        <v>130</v>
      </c>
      <c r="DY7" s="2">
        <v>100</v>
      </c>
      <c r="EN7" s="2">
        <v>100</v>
      </c>
      <c r="EO7" s="2">
        <v>80</v>
      </c>
      <c r="FA7" s="2">
        <v>120</v>
      </c>
      <c r="FS7" s="2">
        <v>50</v>
      </c>
      <c r="GY7" s="2">
        <v>120</v>
      </c>
      <c r="HB7" s="2">
        <v>150</v>
      </c>
      <c r="HX7" s="179"/>
      <c r="HY7" s="29">
        <v>1240</v>
      </c>
      <c r="HZ7" s="6">
        <v>47.411485433151135</v>
      </c>
      <c r="IA7" s="27"/>
      <c r="IB7" s="27"/>
      <c r="II7" s="72" t="s">
        <v>142</v>
      </c>
      <c r="IJ7" s="4" t="s">
        <v>138</v>
      </c>
      <c r="IK7" s="2"/>
      <c r="IL7" s="6">
        <v>1016.3799999999997</v>
      </c>
      <c r="IM7" s="65">
        <v>1016.3799999999997</v>
      </c>
      <c r="IR7" s="22">
        <v>1016.3799999999997</v>
      </c>
      <c r="IT7" s="4" t="s">
        <v>138</v>
      </c>
      <c r="IU7" s="2"/>
      <c r="IV7" s="98">
        <v>1016.3799999999997</v>
      </c>
      <c r="IW7" s="65">
        <v>1016.3799999999997</v>
      </c>
      <c r="IZ7" s="4" t="s">
        <v>138</v>
      </c>
      <c r="JA7" s="142">
        <v>0</v>
      </c>
      <c r="JB7" s="142">
        <v>0</v>
      </c>
      <c r="JC7" s="65">
        <v>0</v>
      </c>
      <c r="JE7" s="72" t="s">
        <v>142</v>
      </c>
      <c r="JF7" s="142">
        <v>0</v>
      </c>
      <c r="JG7" s="142">
        <v>90</v>
      </c>
      <c r="JH7" s="142">
        <v>0</v>
      </c>
      <c r="JI7" s="142">
        <v>300</v>
      </c>
      <c r="JJ7" s="142">
        <v>230</v>
      </c>
      <c r="JK7" s="142">
        <v>300</v>
      </c>
      <c r="JL7" s="142">
        <v>50</v>
      </c>
      <c r="JM7" s="142">
        <v>270</v>
      </c>
      <c r="JO7" s="6">
        <v>139.17565078763721</v>
      </c>
    </row>
    <row r="8" spans="1:283" outlineLevel="1">
      <c r="A8" t="s">
        <v>70</v>
      </c>
      <c r="B8" t="s">
        <v>21</v>
      </c>
      <c r="C8" s="73" t="s">
        <v>203</v>
      </c>
      <c r="D8" s="11"/>
      <c r="F8" s="2">
        <v>500</v>
      </c>
      <c r="G8" s="2">
        <v>220</v>
      </c>
      <c r="H8" s="2">
        <v>330</v>
      </c>
      <c r="I8" s="2">
        <v>170</v>
      </c>
      <c r="J8" s="2">
        <v>60</v>
      </c>
      <c r="L8" s="2">
        <v>150</v>
      </c>
      <c r="M8" s="2">
        <v>90</v>
      </c>
      <c r="N8" s="2">
        <v>80</v>
      </c>
      <c r="O8" s="2">
        <v>200</v>
      </c>
      <c r="P8" s="2">
        <v>420</v>
      </c>
      <c r="Q8" s="2">
        <v>400</v>
      </c>
      <c r="R8" s="2">
        <v>140</v>
      </c>
      <c r="S8" s="2">
        <v>625</v>
      </c>
      <c r="T8" s="2">
        <v>380</v>
      </c>
      <c r="U8" s="2">
        <v>160</v>
      </c>
      <c r="V8" s="2">
        <v>60</v>
      </c>
      <c r="W8" s="2">
        <v>180</v>
      </c>
      <c r="Z8"/>
      <c r="AA8">
        <v>100</v>
      </c>
      <c r="AB8">
        <v>300</v>
      </c>
      <c r="AE8" s="2">
        <v>360</v>
      </c>
      <c r="AF8" s="4">
        <v>635</v>
      </c>
      <c r="AH8" s="2">
        <v>190</v>
      </c>
      <c r="AJ8" s="2">
        <v>500</v>
      </c>
      <c r="AK8"/>
      <c r="AL8"/>
      <c r="AN8"/>
      <c r="AO8"/>
      <c r="AP8"/>
      <c r="AQ8"/>
      <c r="AR8"/>
      <c r="AS8"/>
      <c r="AT8" s="2">
        <v>330</v>
      </c>
      <c r="AX8" s="2">
        <v>250</v>
      </c>
      <c r="AY8"/>
      <c r="AZ8"/>
      <c r="BA8"/>
      <c r="BB8"/>
      <c r="BC8"/>
      <c r="BD8">
        <v>300</v>
      </c>
      <c r="BE8"/>
      <c r="BF8">
        <v>360</v>
      </c>
      <c r="BG8"/>
      <c r="BH8"/>
      <c r="BI8"/>
      <c r="BJ8"/>
      <c r="BK8"/>
      <c r="BL8"/>
      <c r="BM8"/>
      <c r="BN8"/>
      <c r="BO8"/>
      <c r="BP8"/>
      <c r="BQ8"/>
      <c r="BR8"/>
      <c r="BS8"/>
      <c r="BT8" s="2">
        <v>650</v>
      </c>
      <c r="BU8"/>
      <c r="BV8"/>
      <c r="BW8"/>
      <c r="BX8"/>
      <c r="BY8"/>
      <c r="BZ8" s="2">
        <v>150</v>
      </c>
      <c r="CA8" s="2">
        <v>360</v>
      </c>
      <c r="CB8" s="2">
        <v>260</v>
      </c>
      <c r="CC8" s="2">
        <v>170</v>
      </c>
      <c r="CD8" s="2">
        <v>180</v>
      </c>
      <c r="CE8" s="2">
        <v>180</v>
      </c>
      <c r="CF8" s="2">
        <v>160</v>
      </c>
      <c r="CH8" s="2">
        <v>120</v>
      </c>
      <c r="CM8" s="2">
        <v>320</v>
      </c>
      <c r="CO8" s="2">
        <v>660</v>
      </c>
      <c r="CT8" s="2">
        <v>130</v>
      </c>
      <c r="CU8" s="2">
        <v>300</v>
      </c>
      <c r="CY8" s="2">
        <v>520</v>
      </c>
      <c r="CZ8" s="2">
        <v>360</v>
      </c>
      <c r="DB8" s="205">
        <v>610</v>
      </c>
      <c r="DC8" s="2">
        <v>160</v>
      </c>
      <c r="DE8" s="2">
        <v>360</v>
      </c>
      <c r="DG8" s="2">
        <v>160</v>
      </c>
      <c r="DH8" s="2">
        <v>135</v>
      </c>
      <c r="DI8" s="2">
        <v>85</v>
      </c>
      <c r="DJ8" s="2">
        <v>190</v>
      </c>
      <c r="DO8" s="2">
        <v>130</v>
      </c>
      <c r="DP8" s="2">
        <v>330</v>
      </c>
      <c r="DR8" s="2">
        <v>210</v>
      </c>
      <c r="DV8" s="2">
        <v>360</v>
      </c>
      <c r="DY8" s="2">
        <v>105</v>
      </c>
      <c r="DZ8" s="2">
        <v>325</v>
      </c>
      <c r="EA8" s="2">
        <v>150</v>
      </c>
      <c r="EB8" s="2">
        <v>370</v>
      </c>
      <c r="EG8" s="2">
        <v>125</v>
      </c>
      <c r="EL8" s="2">
        <v>110</v>
      </c>
      <c r="EM8" s="2">
        <v>110</v>
      </c>
      <c r="EN8" s="2">
        <v>635</v>
      </c>
      <c r="EO8" s="2">
        <v>85</v>
      </c>
      <c r="EP8" s="2">
        <v>200</v>
      </c>
      <c r="ER8" s="2">
        <v>300</v>
      </c>
      <c r="EW8" s="2">
        <v>260</v>
      </c>
      <c r="EZ8" s="2">
        <v>200</v>
      </c>
      <c r="FA8" s="2">
        <v>465</v>
      </c>
      <c r="FB8" s="2">
        <v>150</v>
      </c>
      <c r="FC8" s="2">
        <v>340</v>
      </c>
      <c r="FE8" s="241">
        <v>400</v>
      </c>
      <c r="FF8" s="2">
        <v>200</v>
      </c>
      <c r="FM8" s="2">
        <v>105</v>
      </c>
      <c r="FO8" s="2">
        <v>144</v>
      </c>
      <c r="FP8" s="2">
        <v>285</v>
      </c>
      <c r="FR8" s="2">
        <v>260</v>
      </c>
      <c r="FT8" s="2">
        <v>395</v>
      </c>
      <c r="FU8" s="2">
        <v>550</v>
      </c>
      <c r="FV8" s="2">
        <v>220</v>
      </c>
      <c r="FY8" s="2">
        <v>160</v>
      </c>
      <c r="FZ8" s="2">
        <v>320</v>
      </c>
      <c r="GA8" s="2">
        <v>220</v>
      </c>
      <c r="GB8" s="2">
        <v>150</v>
      </c>
      <c r="GC8" s="2">
        <v>730</v>
      </c>
      <c r="GD8" s="2">
        <v>115</v>
      </c>
      <c r="GE8" s="2">
        <v>45</v>
      </c>
      <c r="GF8" s="2">
        <v>140</v>
      </c>
      <c r="GG8" s="2">
        <v>230</v>
      </c>
      <c r="GI8" s="2">
        <v>380</v>
      </c>
      <c r="GJ8" s="2">
        <v>360</v>
      </c>
      <c r="GL8" s="2">
        <v>830</v>
      </c>
      <c r="GR8" s="2">
        <v>150</v>
      </c>
      <c r="GT8" s="2">
        <v>150</v>
      </c>
      <c r="GX8" s="2">
        <v>290</v>
      </c>
      <c r="GY8" s="2">
        <v>100</v>
      </c>
      <c r="GZ8" s="2">
        <v>315</v>
      </c>
      <c r="HA8" s="2">
        <v>560</v>
      </c>
      <c r="HB8" s="2">
        <v>170</v>
      </c>
      <c r="HE8" s="2">
        <v>315</v>
      </c>
      <c r="HF8" s="2">
        <v>1450</v>
      </c>
      <c r="HG8" s="2">
        <v>200</v>
      </c>
      <c r="HY8" s="29">
        <v>28609</v>
      </c>
      <c r="HZ8" s="6">
        <v>1093.8670860943716</v>
      </c>
      <c r="IA8" s="27"/>
      <c r="IB8" s="27"/>
      <c r="II8" s="73" t="s">
        <v>203</v>
      </c>
      <c r="IJ8" s="4" t="s">
        <v>61</v>
      </c>
      <c r="IK8" s="6">
        <v>11044.095826448254</v>
      </c>
      <c r="IL8" s="6">
        <v>63</v>
      </c>
      <c r="IM8" s="95">
        <v>11107.095826448254</v>
      </c>
      <c r="IN8" s="6">
        <v>12838.654777295349</v>
      </c>
      <c r="IO8" s="2" t="s">
        <v>61</v>
      </c>
      <c r="IQ8" s="22">
        <v>11044.095826448254</v>
      </c>
      <c r="IR8" s="22">
        <v>63</v>
      </c>
      <c r="IT8" s="4" t="s">
        <v>61</v>
      </c>
      <c r="IU8" s="6">
        <v>1849.4897317018608</v>
      </c>
      <c r="IV8" s="6">
        <v>10.55023923444976</v>
      </c>
      <c r="IW8" s="95">
        <v>1860.0399709363105</v>
      </c>
      <c r="IX8" s="28">
        <v>3463.7599709363103</v>
      </c>
      <c r="IZ8" s="4" t="s">
        <v>61</v>
      </c>
      <c r="JA8" s="142">
        <v>-9194.6060947463939</v>
      </c>
      <c r="JB8" s="142">
        <v>-52.449760765550238</v>
      </c>
      <c r="JC8" s="95">
        <v>-9247.0558555119442</v>
      </c>
      <c r="JD8" s="28">
        <v>-9374.8948063590396</v>
      </c>
      <c r="JE8" s="73" t="s">
        <v>203</v>
      </c>
      <c r="JF8" s="142">
        <v>1050</v>
      </c>
      <c r="JG8" s="142">
        <v>5200</v>
      </c>
      <c r="JH8" s="142">
        <v>1240</v>
      </c>
      <c r="JI8" s="142">
        <v>3640</v>
      </c>
      <c r="JJ8" s="142">
        <v>4040</v>
      </c>
      <c r="JK8" s="142">
        <v>3900</v>
      </c>
      <c r="JL8" s="142">
        <v>5009</v>
      </c>
      <c r="JM8" s="142">
        <v>4530</v>
      </c>
      <c r="JO8" s="6">
        <v>98.264127067095501</v>
      </c>
    </row>
    <row r="9" spans="1:283" outlineLevel="1">
      <c r="A9" t="s">
        <v>70</v>
      </c>
      <c r="B9" t="s">
        <v>21</v>
      </c>
      <c r="C9" s="73" t="s">
        <v>204</v>
      </c>
      <c r="D9" s="11"/>
      <c r="F9" s="2">
        <v>275</v>
      </c>
      <c r="G9" s="2">
        <v>190</v>
      </c>
      <c r="I9" s="2">
        <v>110</v>
      </c>
      <c r="J9" s="2">
        <v>220</v>
      </c>
      <c r="K9" s="2">
        <v>435</v>
      </c>
      <c r="L9" s="2">
        <v>290</v>
      </c>
      <c r="N9" s="2">
        <v>220</v>
      </c>
      <c r="P9" s="2">
        <v>430</v>
      </c>
      <c r="Q9" s="2">
        <v>190</v>
      </c>
      <c r="R9" s="2">
        <v>155</v>
      </c>
      <c r="S9" s="2">
        <v>130</v>
      </c>
      <c r="T9" s="2">
        <v>130</v>
      </c>
      <c r="U9" s="2">
        <v>145</v>
      </c>
      <c r="V9" s="2">
        <v>50</v>
      </c>
      <c r="X9" s="2">
        <v>655</v>
      </c>
      <c r="AA9" s="2">
        <v>200</v>
      </c>
      <c r="AB9" s="2">
        <v>355</v>
      </c>
      <c r="AC9" s="2">
        <v>145</v>
      </c>
      <c r="AD9" s="2">
        <v>560</v>
      </c>
      <c r="AF9" s="2">
        <v>100</v>
      </c>
      <c r="AG9" s="2">
        <v>250</v>
      </c>
      <c r="AH9" s="2">
        <v>110</v>
      </c>
      <c r="CA9" s="2">
        <v>95</v>
      </c>
      <c r="CC9" s="2">
        <v>70</v>
      </c>
      <c r="CD9" s="2">
        <v>300</v>
      </c>
      <c r="CE9" s="2">
        <v>145</v>
      </c>
      <c r="CH9" s="2">
        <v>140</v>
      </c>
      <c r="CI9" s="2">
        <v>150</v>
      </c>
      <c r="CJ9" s="2">
        <v>95</v>
      </c>
      <c r="CK9" s="2">
        <v>95</v>
      </c>
      <c r="CL9" s="2">
        <v>310</v>
      </c>
      <c r="CM9" s="2">
        <v>130</v>
      </c>
      <c r="CN9" s="2">
        <v>120</v>
      </c>
      <c r="CO9" s="2">
        <v>100</v>
      </c>
      <c r="CP9" s="2">
        <v>95</v>
      </c>
      <c r="CQ9" s="2">
        <v>180</v>
      </c>
      <c r="CR9" s="2">
        <v>150</v>
      </c>
      <c r="CT9" s="2">
        <v>280</v>
      </c>
      <c r="CU9" s="2">
        <v>115</v>
      </c>
      <c r="CV9" s="2">
        <v>75</v>
      </c>
      <c r="CY9" s="2">
        <v>400</v>
      </c>
      <c r="CZ9" s="2">
        <v>100</v>
      </c>
      <c r="DA9" s="97">
        <v>1090</v>
      </c>
      <c r="DB9" s="2">
        <v>50</v>
      </c>
      <c r="DC9" s="2">
        <v>105</v>
      </c>
      <c r="DD9" s="2">
        <v>460</v>
      </c>
      <c r="DE9" s="2">
        <v>170</v>
      </c>
      <c r="DF9" s="2">
        <v>170</v>
      </c>
      <c r="DI9" s="2">
        <v>100</v>
      </c>
      <c r="DJ9" s="2">
        <v>110</v>
      </c>
      <c r="DL9" s="2">
        <v>420</v>
      </c>
      <c r="DM9" s="2">
        <v>1610</v>
      </c>
      <c r="DN9" s="2">
        <v>120</v>
      </c>
      <c r="DO9" s="2">
        <v>145</v>
      </c>
      <c r="DP9" s="2">
        <v>205</v>
      </c>
      <c r="DQ9" s="2">
        <v>120</v>
      </c>
      <c r="DR9" s="2">
        <v>120</v>
      </c>
      <c r="DT9" s="2">
        <v>100</v>
      </c>
      <c r="DU9" s="2">
        <v>145</v>
      </c>
      <c r="DV9" s="2">
        <v>120</v>
      </c>
      <c r="DW9" s="2">
        <v>110</v>
      </c>
      <c r="DX9" s="2">
        <v>240</v>
      </c>
      <c r="DY9" s="2">
        <v>140</v>
      </c>
      <c r="DZ9" s="2">
        <v>190</v>
      </c>
      <c r="EA9" s="2">
        <v>110</v>
      </c>
      <c r="EB9" s="2">
        <v>120</v>
      </c>
      <c r="EC9" s="2">
        <v>110</v>
      </c>
      <c r="EE9" s="2">
        <v>395</v>
      </c>
      <c r="EF9" s="2">
        <v>585</v>
      </c>
      <c r="EG9" s="2">
        <v>90</v>
      </c>
      <c r="EH9" s="2">
        <v>140</v>
      </c>
      <c r="EI9" s="2">
        <v>105</v>
      </c>
      <c r="EJ9" s="2">
        <v>315</v>
      </c>
      <c r="EK9" s="2">
        <v>104</v>
      </c>
      <c r="EL9" s="2">
        <v>100</v>
      </c>
      <c r="EM9" s="2">
        <v>80</v>
      </c>
      <c r="EN9" s="2">
        <v>50</v>
      </c>
      <c r="EP9" s="2">
        <v>190</v>
      </c>
      <c r="EQ9" s="2">
        <v>120</v>
      </c>
      <c r="ER9" s="2">
        <v>240</v>
      </c>
      <c r="ES9" s="2">
        <v>115</v>
      </c>
      <c r="ET9" s="2">
        <v>80</v>
      </c>
      <c r="EU9" s="2">
        <v>175</v>
      </c>
      <c r="EV9" s="2">
        <v>200</v>
      </c>
      <c r="EW9" s="2">
        <v>45</v>
      </c>
      <c r="EX9" s="2">
        <v>104</v>
      </c>
      <c r="EY9" s="2">
        <v>130</v>
      </c>
      <c r="EZ9" s="2">
        <v>135</v>
      </c>
      <c r="FA9" s="2">
        <v>370</v>
      </c>
      <c r="FB9" s="2">
        <v>470</v>
      </c>
      <c r="FC9" s="2">
        <v>210</v>
      </c>
      <c r="FD9" s="2">
        <v>110</v>
      </c>
      <c r="FE9" s="2">
        <v>80</v>
      </c>
      <c r="FF9" s="2">
        <v>200</v>
      </c>
      <c r="FG9" s="2">
        <v>175</v>
      </c>
      <c r="FH9" s="2">
        <v>420</v>
      </c>
      <c r="FI9" s="2">
        <v>115</v>
      </c>
      <c r="FJ9" s="2">
        <v>105</v>
      </c>
      <c r="FK9" s="2">
        <v>190</v>
      </c>
      <c r="FL9" s="2">
        <v>104</v>
      </c>
      <c r="FM9" s="2">
        <v>405</v>
      </c>
      <c r="FN9" s="2">
        <v>90</v>
      </c>
      <c r="FP9" s="2">
        <v>110</v>
      </c>
      <c r="FQ9" s="2">
        <v>120</v>
      </c>
      <c r="FS9" s="2">
        <v>220</v>
      </c>
      <c r="FT9" s="2">
        <v>80</v>
      </c>
      <c r="FU9" s="2">
        <v>155</v>
      </c>
      <c r="FW9" s="2">
        <v>325</v>
      </c>
      <c r="FX9" s="2">
        <v>165</v>
      </c>
      <c r="FY9" s="2">
        <v>104</v>
      </c>
      <c r="FZ9" s="2">
        <v>105</v>
      </c>
      <c r="GA9" s="2">
        <v>140</v>
      </c>
      <c r="GB9" s="2">
        <v>120</v>
      </c>
      <c r="GC9" s="2">
        <v>140</v>
      </c>
      <c r="GD9" s="2">
        <v>75</v>
      </c>
      <c r="GE9" s="2">
        <v>40</v>
      </c>
      <c r="GF9" s="2">
        <v>140</v>
      </c>
      <c r="GG9" s="2">
        <v>120</v>
      </c>
      <c r="GH9" s="2">
        <v>385</v>
      </c>
      <c r="GI9" s="2">
        <v>130</v>
      </c>
      <c r="GJ9" s="2">
        <v>160</v>
      </c>
      <c r="GK9" s="2">
        <v>144</v>
      </c>
      <c r="GL9" s="2">
        <v>40</v>
      </c>
      <c r="GM9" s="2">
        <v>130</v>
      </c>
      <c r="GN9" s="2">
        <v>200</v>
      </c>
      <c r="GO9" s="2">
        <v>60</v>
      </c>
      <c r="GP9" s="2">
        <v>130</v>
      </c>
      <c r="GQ9" s="2">
        <v>175</v>
      </c>
      <c r="GS9" s="2">
        <v>570</v>
      </c>
      <c r="GT9" s="2">
        <v>190</v>
      </c>
      <c r="GU9" s="2">
        <v>95</v>
      </c>
      <c r="GX9" s="2">
        <v>90</v>
      </c>
      <c r="GY9" s="2">
        <v>500</v>
      </c>
      <c r="GZ9" s="2">
        <v>260</v>
      </c>
      <c r="HA9" s="2">
        <v>525</v>
      </c>
      <c r="HC9" s="2">
        <v>95</v>
      </c>
      <c r="HD9" s="2">
        <v>140</v>
      </c>
      <c r="HE9" s="2">
        <v>450</v>
      </c>
      <c r="HF9" s="2">
        <v>95</v>
      </c>
      <c r="HY9" s="29">
        <v>28135</v>
      </c>
      <c r="HZ9" s="6">
        <v>1075.7436634368607</v>
      </c>
      <c r="IA9" s="27"/>
      <c r="IB9" s="27"/>
      <c r="II9" s="73" t="s">
        <v>204</v>
      </c>
      <c r="IJ9" s="4" t="s">
        <v>209</v>
      </c>
      <c r="IK9" s="6"/>
      <c r="IL9" s="6">
        <v>0</v>
      </c>
      <c r="IM9" s="95">
        <v>0</v>
      </c>
      <c r="IN9" s="28">
        <v>0</v>
      </c>
      <c r="IO9" s="2" t="s">
        <v>212</v>
      </c>
      <c r="IQ9" s="22">
        <v>0</v>
      </c>
      <c r="IR9" s="22">
        <v>0</v>
      </c>
      <c r="IT9" s="4" t="s">
        <v>201</v>
      </c>
      <c r="IU9" s="6">
        <v>100</v>
      </c>
      <c r="IV9" s="98"/>
      <c r="IW9" s="95">
        <v>100</v>
      </c>
      <c r="IX9" s="28"/>
      <c r="IZ9" s="4" t="s">
        <v>201</v>
      </c>
      <c r="JA9" s="142">
        <v>100</v>
      </c>
      <c r="JB9" s="142">
        <v>0</v>
      </c>
      <c r="JC9" s="95">
        <v>100</v>
      </c>
      <c r="JD9" s="28"/>
      <c r="JE9" s="73" t="s">
        <v>204</v>
      </c>
      <c r="JF9" s="142">
        <v>465</v>
      </c>
      <c r="JG9" s="142">
        <v>4880</v>
      </c>
      <c r="JH9" s="142">
        <v>0</v>
      </c>
      <c r="JI9" s="142">
        <v>2570</v>
      </c>
      <c r="JJ9" s="142">
        <v>6615</v>
      </c>
      <c r="JK9" s="142">
        <v>5078</v>
      </c>
      <c r="JL9" s="142">
        <v>4638</v>
      </c>
      <c r="JM9" s="142">
        <v>3889</v>
      </c>
      <c r="JO9" s="6">
        <v>26.573372883903257</v>
      </c>
    </row>
    <row r="10" spans="1:283" outlineLevel="1">
      <c r="A10" t="s">
        <v>70</v>
      </c>
      <c r="B10" t="s">
        <v>21</v>
      </c>
      <c r="C10" s="73" t="s">
        <v>147</v>
      </c>
      <c r="D10" s="11"/>
      <c r="G10" s="2">
        <v>50</v>
      </c>
      <c r="H10" s="2">
        <v>50</v>
      </c>
      <c r="L10" s="2">
        <v>40</v>
      </c>
      <c r="M10" s="2">
        <v>32</v>
      </c>
      <c r="V10" s="2">
        <v>40</v>
      </c>
      <c r="W10" s="2">
        <v>20</v>
      </c>
      <c r="Z10"/>
      <c r="AA10"/>
      <c r="AB10">
        <v>15</v>
      </c>
      <c r="AD10"/>
      <c r="AJ10"/>
      <c r="AK10"/>
      <c r="AL10"/>
      <c r="AN10"/>
      <c r="AO10"/>
      <c r="AP10"/>
      <c r="AQ10"/>
      <c r="AR10"/>
      <c r="AS10"/>
      <c r="AT10"/>
      <c r="AU10"/>
      <c r="AV10"/>
      <c r="AW10"/>
      <c r="AX10"/>
      <c r="AY10"/>
      <c r="AZ10"/>
      <c r="BA10"/>
      <c r="BB10"/>
      <c r="BC10"/>
      <c r="BD10"/>
      <c r="BE10"/>
      <c r="BF10"/>
      <c r="BG10"/>
      <c r="BH10"/>
      <c r="BI10"/>
      <c r="BJ10"/>
      <c r="BK10"/>
      <c r="BL10"/>
      <c r="BM10"/>
      <c r="BN10" s="2">
        <v>100</v>
      </c>
      <c r="BO10" s="2">
        <v>160</v>
      </c>
      <c r="BP10"/>
      <c r="BQ10"/>
      <c r="BR10"/>
      <c r="BS10"/>
      <c r="BT10"/>
      <c r="BU10"/>
      <c r="BV10">
        <v>160</v>
      </c>
      <c r="BW10"/>
      <c r="BX10"/>
      <c r="BY10">
        <v>140</v>
      </c>
      <c r="BZ10"/>
      <c r="CG10" s="2">
        <v>35</v>
      </c>
      <c r="CO10" s="2">
        <v>40</v>
      </c>
      <c r="CS10" s="2">
        <v>280</v>
      </c>
      <c r="CU10" s="2">
        <v>40</v>
      </c>
      <c r="DT10" s="2">
        <v>40</v>
      </c>
      <c r="EI10" s="2">
        <v>28</v>
      </c>
      <c r="EK10" s="2">
        <v>115</v>
      </c>
      <c r="EN10" s="2">
        <v>70</v>
      </c>
      <c r="EQ10" s="2">
        <v>50</v>
      </c>
      <c r="ER10" s="2">
        <v>35</v>
      </c>
      <c r="EZ10" s="2">
        <v>40</v>
      </c>
      <c r="FB10" s="2">
        <v>50</v>
      </c>
      <c r="FJ10" s="2">
        <v>20</v>
      </c>
      <c r="FK10" s="2">
        <v>130</v>
      </c>
      <c r="FR10" s="2">
        <v>60</v>
      </c>
      <c r="GI10" s="2">
        <v>20</v>
      </c>
      <c r="GU10" s="2">
        <v>55</v>
      </c>
      <c r="HG10" s="2">
        <v>80</v>
      </c>
      <c r="HX10" s="179"/>
      <c r="HY10" s="29">
        <v>1995</v>
      </c>
      <c r="HZ10" s="6">
        <v>76.278962450916538</v>
      </c>
      <c r="IA10" s="27"/>
      <c r="IB10" s="27"/>
      <c r="II10" s="73" t="s">
        <v>147</v>
      </c>
      <c r="IJ10" s="4" t="s">
        <v>136</v>
      </c>
      <c r="IK10" s="6">
        <v>377.83895084709638</v>
      </c>
      <c r="IL10" s="6">
        <v>337.34</v>
      </c>
      <c r="IM10" s="96">
        <v>715.1789508470963</v>
      </c>
      <c r="IN10" s="109">
        <v>12838.654777295349</v>
      </c>
      <c r="IO10" s="2" t="s">
        <v>213</v>
      </c>
      <c r="IQ10" s="22">
        <v>377.83895084709638</v>
      </c>
      <c r="IR10" s="22">
        <v>337.34</v>
      </c>
      <c r="IT10" s="4" t="s">
        <v>136</v>
      </c>
      <c r="IU10" s="6">
        <v>150</v>
      </c>
      <c r="IV10" s="6">
        <v>337.34</v>
      </c>
      <c r="IW10" s="96">
        <v>487.34</v>
      </c>
      <c r="IZ10" s="4" t="s">
        <v>136</v>
      </c>
      <c r="JA10" s="142">
        <v>-227.83895084709638</v>
      </c>
      <c r="JB10" s="142">
        <v>0</v>
      </c>
      <c r="JC10" s="96">
        <v>-227.83895084709638</v>
      </c>
      <c r="JE10" s="73" t="s">
        <v>147</v>
      </c>
      <c r="JF10" s="142">
        <v>100</v>
      </c>
      <c r="JG10" s="142">
        <v>147</v>
      </c>
      <c r="JH10" s="142">
        <v>260</v>
      </c>
      <c r="JI10" s="142">
        <v>695</v>
      </c>
      <c r="JJ10" s="142">
        <v>40</v>
      </c>
      <c r="JK10" s="142">
        <v>388</v>
      </c>
      <c r="JL10" s="142">
        <v>230</v>
      </c>
      <c r="JM10" s="142">
        <v>135</v>
      </c>
      <c r="JO10" s="6">
        <v>141.08740423252235</v>
      </c>
      <c r="JW10">
        <v>0</v>
      </c>
    </row>
    <row r="11" spans="1:283" outlineLevel="1">
      <c r="A11" t="s">
        <v>70</v>
      </c>
      <c r="B11" t="s">
        <v>21</v>
      </c>
      <c r="C11" s="73" t="s">
        <v>205</v>
      </c>
      <c r="D11" s="11"/>
      <c r="F11" s="2">
        <v>335</v>
      </c>
      <c r="I11" s="2">
        <v>115</v>
      </c>
      <c r="J11" s="2">
        <v>20</v>
      </c>
      <c r="K11" s="2">
        <v>330</v>
      </c>
      <c r="L11" s="2">
        <v>100</v>
      </c>
      <c r="O11" s="2">
        <v>150</v>
      </c>
      <c r="R11" s="2">
        <v>64</v>
      </c>
      <c r="U11" s="2">
        <v>100</v>
      </c>
      <c r="X11" s="2">
        <v>100</v>
      </c>
      <c r="Y11" s="2">
        <v>270</v>
      </c>
      <c r="Z11" s="2">
        <v>340</v>
      </c>
      <c r="AA11" s="2">
        <v>105</v>
      </c>
      <c r="AB11" s="2">
        <v>410</v>
      </c>
      <c r="AC11" s="2">
        <v>150</v>
      </c>
      <c r="AD11" s="2">
        <v>100</v>
      </c>
      <c r="AE11" s="2">
        <v>120</v>
      </c>
      <c r="AG11" s="2">
        <v>100</v>
      </c>
      <c r="AI11" s="2">
        <v>280</v>
      </c>
      <c r="AJ11" s="2">
        <v>270</v>
      </c>
      <c r="AK11" s="2">
        <v>520</v>
      </c>
      <c r="AL11" s="2">
        <v>665</v>
      </c>
      <c r="AM11">
        <v>950</v>
      </c>
      <c r="AN11" s="2">
        <v>270</v>
      </c>
      <c r="AO11" s="2">
        <v>525</v>
      </c>
      <c r="AP11" s="2">
        <v>40</v>
      </c>
      <c r="AQ11" s="2">
        <v>1000</v>
      </c>
      <c r="AR11" s="2">
        <v>330</v>
      </c>
      <c r="AS11" s="2">
        <v>652</v>
      </c>
      <c r="AT11" s="2">
        <v>200</v>
      </c>
      <c r="AU11" s="2">
        <v>880</v>
      </c>
      <c r="AV11" s="2">
        <v>220</v>
      </c>
      <c r="AW11" s="2">
        <v>345</v>
      </c>
      <c r="AX11" s="2">
        <v>435</v>
      </c>
      <c r="AY11" s="2">
        <v>470</v>
      </c>
      <c r="AZ11" s="2">
        <v>465</v>
      </c>
      <c r="BA11" s="2">
        <v>240</v>
      </c>
      <c r="BB11" s="2">
        <v>350</v>
      </c>
      <c r="BC11" s="2">
        <v>350</v>
      </c>
      <c r="BE11" s="2">
        <v>615</v>
      </c>
      <c r="BF11" s="2">
        <v>15</v>
      </c>
      <c r="BH11" s="2">
        <v>380</v>
      </c>
      <c r="BI11" s="2">
        <v>140</v>
      </c>
      <c r="BJ11" s="2">
        <v>400</v>
      </c>
      <c r="BK11" s="2">
        <v>465</v>
      </c>
      <c r="BL11" s="2">
        <v>480</v>
      </c>
      <c r="BM11" s="2">
        <v>33</v>
      </c>
      <c r="BO11" s="2">
        <v>250</v>
      </c>
      <c r="BQ11" s="2">
        <v>350</v>
      </c>
      <c r="BR11" s="2">
        <v>200</v>
      </c>
      <c r="BU11" s="2">
        <v>220</v>
      </c>
      <c r="BW11" s="2">
        <v>180</v>
      </c>
      <c r="BY11" s="2">
        <v>30</v>
      </c>
      <c r="BZ11" s="2">
        <v>150</v>
      </c>
      <c r="CB11" s="2">
        <v>90</v>
      </c>
      <c r="CD11" s="2">
        <v>25</v>
      </c>
      <c r="CG11" s="2">
        <v>625</v>
      </c>
      <c r="CH11" s="2">
        <v>90</v>
      </c>
      <c r="CJ11" s="2">
        <v>65</v>
      </c>
      <c r="CK11" s="2">
        <v>255</v>
      </c>
      <c r="CN11" s="2">
        <v>290</v>
      </c>
      <c r="CP11" s="2">
        <v>280</v>
      </c>
      <c r="CQ11" s="2">
        <v>605</v>
      </c>
      <c r="CR11" s="2">
        <v>150</v>
      </c>
      <c r="CU11" s="2">
        <v>435</v>
      </c>
      <c r="CV11" s="2">
        <v>200</v>
      </c>
      <c r="CW11" s="2">
        <v>490</v>
      </c>
      <c r="CX11" s="2">
        <v>200</v>
      </c>
      <c r="CZ11" s="2">
        <v>200</v>
      </c>
      <c r="DC11" s="2">
        <v>160</v>
      </c>
      <c r="DD11" s="2">
        <v>150</v>
      </c>
      <c r="DE11" s="2">
        <v>70</v>
      </c>
      <c r="DI11" s="2">
        <v>30</v>
      </c>
      <c r="DJ11" s="2">
        <v>20</v>
      </c>
      <c r="DK11" s="2">
        <v>275</v>
      </c>
      <c r="DL11" s="2">
        <v>20</v>
      </c>
      <c r="DN11" s="2">
        <v>310</v>
      </c>
      <c r="DP11" s="2">
        <v>25</v>
      </c>
      <c r="DQ11" s="2">
        <v>400</v>
      </c>
      <c r="DT11" s="2">
        <v>190</v>
      </c>
      <c r="DV11" s="2">
        <v>370</v>
      </c>
      <c r="DW11" s="2">
        <v>240</v>
      </c>
      <c r="DX11" s="2">
        <v>120</v>
      </c>
      <c r="DY11" s="2">
        <v>30</v>
      </c>
      <c r="DZ11" s="2">
        <v>55</v>
      </c>
      <c r="EB11" s="2">
        <v>22</v>
      </c>
      <c r="EC11" s="2">
        <v>310</v>
      </c>
      <c r="ED11" s="2">
        <v>280</v>
      </c>
      <c r="EE11" s="2">
        <v>185</v>
      </c>
      <c r="EF11" s="2">
        <v>240</v>
      </c>
      <c r="EG11" s="2">
        <v>210</v>
      </c>
      <c r="EH11" s="2">
        <v>115</v>
      </c>
      <c r="EI11" s="2">
        <v>75</v>
      </c>
      <c r="EJ11" s="2">
        <v>50</v>
      </c>
      <c r="EM11" s="2">
        <v>100</v>
      </c>
      <c r="EN11" s="202">
        <v>900</v>
      </c>
      <c r="EO11" s="2">
        <v>20</v>
      </c>
      <c r="EQ11" s="2">
        <v>1160</v>
      </c>
      <c r="ER11" s="2">
        <v>90</v>
      </c>
      <c r="ES11" s="2">
        <v>400</v>
      </c>
      <c r="ET11" s="2">
        <v>260</v>
      </c>
      <c r="EU11" s="2">
        <v>240</v>
      </c>
      <c r="EV11" s="2">
        <v>20</v>
      </c>
      <c r="EX11" s="2">
        <v>250</v>
      </c>
      <c r="EY11" s="2">
        <v>170</v>
      </c>
      <c r="FA11" s="2">
        <v>75</v>
      </c>
      <c r="FC11" s="2">
        <v>200</v>
      </c>
      <c r="FD11" s="2">
        <v>200</v>
      </c>
      <c r="FE11" s="2">
        <v>360</v>
      </c>
      <c r="FG11" s="2">
        <v>465</v>
      </c>
      <c r="FH11" s="2">
        <v>180</v>
      </c>
      <c r="FI11" s="2">
        <v>200</v>
      </c>
      <c r="FJ11" s="2">
        <v>140</v>
      </c>
      <c r="FL11" s="2">
        <v>740</v>
      </c>
      <c r="FN11" s="2">
        <v>250</v>
      </c>
      <c r="FO11" s="241">
        <v>200</v>
      </c>
      <c r="FP11" s="2">
        <v>100</v>
      </c>
      <c r="FQ11" s="2">
        <v>500</v>
      </c>
      <c r="FR11" s="2">
        <v>55</v>
      </c>
      <c r="FS11" s="2">
        <v>110</v>
      </c>
      <c r="FT11" s="2">
        <v>28</v>
      </c>
      <c r="FV11" s="2">
        <v>250</v>
      </c>
      <c r="FW11" s="2">
        <v>80</v>
      </c>
      <c r="FX11" s="2">
        <v>270</v>
      </c>
      <c r="GC11" s="2">
        <v>35</v>
      </c>
      <c r="GD11" s="2">
        <v>346</v>
      </c>
      <c r="GH11" s="2">
        <v>125</v>
      </c>
      <c r="GI11" s="2">
        <v>200</v>
      </c>
      <c r="GK11" s="2">
        <v>150</v>
      </c>
      <c r="GM11" s="2">
        <v>240</v>
      </c>
      <c r="GN11" s="2">
        <v>190</v>
      </c>
      <c r="GO11" s="2">
        <v>430</v>
      </c>
      <c r="GP11" s="2">
        <v>200</v>
      </c>
      <c r="GQ11" s="2">
        <v>310</v>
      </c>
      <c r="GR11" s="2">
        <v>200</v>
      </c>
      <c r="GU11" s="2">
        <v>570</v>
      </c>
      <c r="GX11" s="2">
        <v>500</v>
      </c>
      <c r="GY11" s="2">
        <v>70</v>
      </c>
      <c r="HA11" s="2">
        <v>50</v>
      </c>
      <c r="HB11" s="2">
        <v>600</v>
      </c>
      <c r="HC11" s="2">
        <v>290</v>
      </c>
      <c r="HD11" s="2">
        <v>30</v>
      </c>
      <c r="HE11" s="2">
        <v>100</v>
      </c>
      <c r="HF11" s="2">
        <v>75</v>
      </c>
      <c r="HG11" s="2">
        <v>165</v>
      </c>
      <c r="HY11" s="29">
        <v>37115</v>
      </c>
      <c r="HZ11" s="6">
        <v>1419.0945821382293</v>
      </c>
      <c r="IA11" s="27"/>
      <c r="IB11" s="27"/>
      <c r="II11" s="73" t="s">
        <v>205</v>
      </c>
      <c r="IJ11" s="9"/>
      <c r="IK11" s="6"/>
      <c r="IL11" s="6"/>
      <c r="IM11" s="6"/>
      <c r="IQ11" s="132">
        <v>11421.934777295352</v>
      </c>
      <c r="IT11" s="9"/>
      <c r="IU11" s="6"/>
      <c r="IV11" s="6"/>
      <c r="IW11" s="6"/>
      <c r="IZ11" s="9"/>
      <c r="JA11" s="6"/>
      <c r="JB11" s="6"/>
      <c r="JC11" s="6"/>
      <c r="JE11" s="73" t="s">
        <v>205</v>
      </c>
      <c r="JF11" s="142">
        <v>335</v>
      </c>
      <c r="JG11" s="142">
        <v>5259</v>
      </c>
      <c r="JH11" s="142">
        <v>9900</v>
      </c>
      <c r="JI11" s="142">
        <v>3690</v>
      </c>
      <c r="JJ11" s="142">
        <v>3555</v>
      </c>
      <c r="JK11" s="142">
        <v>5932</v>
      </c>
      <c r="JL11" s="142">
        <v>4274</v>
      </c>
      <c r="JM11" s="142">
        <v>4170</v>
      </c>
      <c r="JO11" s="6">
        <v>36.323315452817397</v>
      </c>
    </row>
    <row r="12" spans="1:283" outlineLevel="1">
      <c r="A12" t="s">
        <v>70</v>
      </c>
      <c r="B12" t="s">
        <v>21</v>
      </c>
      <c r="C12" s="73" t="s">
        <v>146</v>
      </c>
      <c r="D12" s="11"/>
      <c r="F12" s="2">
        <v>120</v>
      </c>
      <c r="G12" s="2">
        <v>65</v>
      </c>
      <c r="H12" s="2">
        <v>40</v>
      </c>
      <c r="I12" s="2">
        <v>20</v>
      </c>
      <c r="L12" s="2">
        <v>20</v>
      </c>
      <c r="M12" s="2">
        <v>70</v>
      </c>
      <c r="N12" s="2">
        <v>35</v>
      </c>
      <c r="S12" s="2">
        <v>25</v>
      </c>
      <c r="T12" s="2">
        <v>80</v>
      </c>
      <c r="V12" s="2">
        <v>100</v>
      </c>
      <c r="W12" s="2">
        <v>70</v>
      </c>
      <c r="X12" s="2">
        <v>65</v>
      </c>
      <c r="Y12" s="2">
        <v>85</v>
      </c>
      <c r="AA12" s="2">
        <v>40</v>
      </c>
      <c r="AB12" s="2">
        <v>100</v>
      </c>
      <c r="AC12" s="2">
        <v>40</v>
      </c>
      <c r="AD12" s="2">
        <v>30</v>
      </c>
      <c r="AF12" s="2">
        <v>160</v>
      </c>
      <c r="AH12" s="2">
        <v>55</v>
      </c>
      <c r="AO12" s="2">
        <v>50</v>
      </c>
      <c r="BS12" s="2">
        <v>50</v>
      </c>
      <c r="BU12" s="2">
        <v>20</v>
      </c>
      <c r="CA12" s="2">
        <v>70</v>
      </c>
      <c r="CB12" s="2">
        <v>30</v>
      </c>
      <c r="CC12" s="2">
        <v>40</v>
      </c>
      <c r="CD12" s="2">
        <v>105</v>
      </c>
      <c r="CE12" s="2">
        <v>80</v>
      </c>
      <c r="CF12" s="2">
        <v>60</v>
      </c>
      <c r="CG12" s="2">
        <v>35</v>
      </c>
      <c r="CH12" s="2">
        <v>80</v>
      </c>
      <c r="CJ12" s="2">
        <v>30</v>
      </c>
      <c r="CL12" s="2">
        <v>95</v>
      </c>
      <c r="CM12" s="2">
        <v>30</v>
      </c>
      <c r="CN12" s="2">
        <v>25</v>
      </c>
      <c r="CO12" s="2">
        <v>25</v>
      </c>
      <c r="CP12" s="2">
        <v>55</v>
      </c>
      <c r="CQ12" s="2">
        <v>30</v>
      </c>
      <c r="CR12" s="2">
        <v>30</v>
      </c>
      <c r="CS12" s="2">
        <v>20</v>
      </c>
      <c r="CT12" s="2">
        <v>15</v>
      </c>
      <c r="CU12" s="2">
        <v>25</v>
      </c>
      <c r="CV12" s="2">
        <v>120</v>
      </c>
      <c r="CW12" s="2">
        <v>30</v>
      </c>
      <c r="CX12" s="2">
        <v>35</v>
      </c>
      <c r="CY12" s="2">
        <v>75</v>
      </c>
      <c r="CZ12" s="2">
        <v>55</v>
      </c>
      <c r="DC12" s="2">
        <v>115</v>
      </c>
      <c r="DD12" s="2">
        <v>25</v>
      </c>
      <c r="DE12" s="2">
        <v>25</v>
      </c>
      <c r="DF12" s="2">
        <v>25</v>
      </c>
      <c r="DG12" s="2">
        <v>30</v>
      </c>
      <c r="DH12" s="2">
        <v>30</v>
      </c>
      <c r="DI12" s="2">
        <v>40</v>
      </c>
      <c r="DJ12" s="2">
        <v>35</v>
      </c>
      <c r="DK12" s="2">
        <v>30</v>
      </c>
      <c r="DL12" s="2">
        <v>50</v>
      </c>
      <c r="DN12" s="2">
        <v>20</v>
      </c>
      <c r="DO12" s="2">
        <v>25</v>
      </c>
      <c r="DP12" s="2">
        <v>50</v>
      </c>
      <c r="DQ12" s="2">
        <v>45</v>
      </c>
      <c r="DR12" s="2">
        <v>25</v>
      </c>
      <c r="DS12" s="2">
        <v>25</v>
      </c>
      <c r="DT12" s="2">
        <v>25</v>
      </c>
      <c r="DU12" s="2">
        <v>25</v>
      </c>
      <c r="DV12" s="2">
        <v>30</v>
      </c>
      <c r="DW12" s="2">
        <v>25</v>
      </c>
      <c r="DX12" s="2">
        <v>25</v>
      </c>
      <c r="DY12" s="2">
        <v>80</v>
      </c>
      <c r="EA12" s="2">
        <v>55</v>
      </c>
      <c r="EB12" s="2">
        <v>100</v>
      </c>
      <c r="EC12" s="2">
        <v>165</v>
      </c>
      <c r="ED12" s="2">
        <v>95</v>
      </c>
      <c r="EG12" s="2">
        <v>35</v>
      </c>
      <c r="EI12" s="2">
        <v>25</v>
      </c>
      <c r="EJ12" s="2">
        <v>85</v>
      </c>
      <c r="EK12" s="2">
        <v>25</v>
      </c>
      <c r="EL12" s="2">
        <v>80</v>
      </c>
      <c r="EM12" s="2">
        <v>110</v>
      </c>
      <c r="EN12" s="2">
        <v>80</v>
      </c>
      <c r="EO12" s="2">
        <v>110</v>
      </c>
      <c r="EP12" s="2">
        <v>110</v>
      </c>
      <c r="ER12" s="2">
        <v>80</v>
      </c>
      <c r="ES12" s="2">
        <v>20</v>
      </c>
      <c r="ET12" s="2">
        <v>25</v>
      </c>
      <c r="EV12" s="2">
        <v>25</v>
      </c>
      <c r="EW12" s="2">
        <v>45</v>
      </c>
      <c r="EX12" s="2">
        <v>45</v>
      </c>
      <c r="EY12" s="2">
        <v>25</v>
      </c>
      <c r="EZ12" s="2">
        <v>25</v>
      </c>
      <c r="FA12" s="2">
        <v>90</v>
      </c>
      <c r="FB12" s="2">
        <v>110</v>
      </c>
      <c r="FC12" s="2">
        <v>75</v>
      </c>
      <c r="FE12" s="2">
        <v>25</v>
      </c>
      <c r="FG12" s="2">
        <v>150</v>
      </c>
      <c r="FH12" s="2">
        <v>100</v>
      </c>
      <c r="FK12" s="2">
        <v>32</v>
      </c>
      <c r="FL12" s="2">
        <v>25</v>
      </c>
      <c r="FM12" s="2">
        <v>45</v>
      </c>
      <c r="FN12" s="2">
        <v>25</v>
      </c>
      <c r="FO12" s="2">
        <v>35</v>
      </c>
      <c r="FP12" s="2">
        <v>80</v>
      </c>
      <c r="FQ12" s="2">
        <v>50</v>
      </c>
      <c r="FT12" s="2">
        <v>45</v>
      </c>
      <c r="FW12" s="2">
        <v>25</v>
      </c>
      <c r="FY12" s="2">
        <v>10</v>
      </c>
      <c r="GC12" s="2">
        <v>60</v>
      </c>
      <c r="GD12" s="2">
        <v>150</v>
      </c>
      <c r="GE12" s="2">
        <v>40</v>
      </c>
      <c r="GF12" s="2">
        <v>25</v>
      </c>
      <c r="GH12" s="2">
        <v>25</v>
      </c>
      <c r="GI12" s="2">
        <v>75</v>
      </c>
      <c r="GK12" s="2">
        <v>80</v>
      </c>
      <c r="GL12" s="2">
        <v>40</v>
      </c>
      <c r="GM12" s="2">
        <v>50</v>
      </c>
      <c r="GO12" s="2">
        <v>30</v>
      </c>
      <c r="GR12" s="2">
        <v>25</v>
      </c>
      <c r="GU12" s="2">
        <v>20</v>
      </c>
      <c r="GX12" s="2">
        <v>30</v>
      </c>
      <c r="GY12" s="2">
        <v>110</v>
      </c>
      <c r="GZ12" s="2">
        <v>110</v>
      </c>
      <c r="HA12" s="2">
        <v>95</v>
      </c>
      <c r="HB12" s="2">
        <v>95</v>
      </c>
      <c r="HD12" s="2">
        <v>20</v>
      </c>
      <c r="HE12" s="2">
        <v>30</v>
      </c>
      <c r="HF12" s="2">
        <v>95</v>
      </c>
      <c r="HG12" s="2">
        <v>25</v>
      </c>
      <c r="HY12" s="29">
        <v>6857</v>
      </c>
      <c r="HZ12" s="6">
        <v>262.17786743154625</v>
      </c>
      <c r="IA12" s="27"/>
      <c r="IB12" s="27"/>
      <c r="II12" s="73" t="s">
        <v>146</v>
      </c>
      <c r="JE12" s="73" t="s">
        <v>146</v>
      </c>
      <c r="JF12" s="142">
        <v>225</v>
      </c>
      <c r="JG12" s="142">
        <v>995</v>
      </c>
      <c r="JH12" s="142">
        <v>50</v>
      </c>
      <c r="JI12" s="142">
        <v>950</v>
      </c>
      <c r="JJ12" s="142">
        <v>1120</v>
      </c>
      <c r="JK12" s="142">
        <v>1665</v>
      </c>
      <c r="JL12" s="142">
        <v>997</v>
      </c>
      <c r="JM12" s="142">
        <v>855</v>
      </c>
      <c r="JO12" s="6">
        <v>111.45522583680288</v>
      </c>
    </row>
    <row r="13" spans="1:283" ht="15" outlineLevel="1" thickBot="1">
      <c r="A13" t="s">
        <v>70</v>
      </c>
      <c r="B13" t="s">
        <v>21</v>
      </c>
      <c r="C13" s="74" t="s">
        <v>148</v>
      </c>
      <c r="D13" s="11"/>
      <c r="J13" s="2">
        <v>220</v>
      </c>
      <c r="L13" s="2">
        <v>15</v>
      </c>
      <c r="N13" s="2">
        <v>55</v>
      </c>
      <c r="P13" s="2">
        <v>150</v>
      </c>
      <c r="Q13" s="2">
        <v>360</v>
      </c>
      <c r="T13" s="2">
        <v>105</v>
      </c>
      <c r="U13" s="2">
        <v>425</v>
      </c>
      <c r="Y13" s="2">
        <v>60</v>
      </c>
      <c r="Z13" s="2">
        <v>40</v>
      </c>
      <c r="AA13" s="2">
        <v>105</v>
      </c>
      <c r="AB13" s="2">
        <v>260</v>
      </c>
      <c r="AD13" s="2">
        <v>145</v>
      </c>
      <c r="AF13" s="2">
        <v>300</v>
      </c>
      <c r="AG13" s="2">
        <v>85</v>
      </c>
      <c r="AH13" s="2">
        <v>200</v>
      </c>
      <c r="AI13" s="2">
        <v>60</v>
      </c>
      <c r="AK13" s="2">
        <v>90</v>
      </c>
      <c r="AL13" s="2">
        <v>65</v>
      </c>
      <c r="AP13" s="2">
        <v>50</v>
      </c>
      <c r="AS13" s="2">
        <v>95</v>
      </c>
      <c r="AT13" s="2">
        <v>90</v>
      </c>
      <c r="AW13" s="2">
        <v>90</v>
      </c>
      <c r="AY13" s="2">
        <v>80</v>
      </c>
      <c r="AZ13" s="2">
        <v>80</v>
      </c>
      <c r="BA13" s="2">
        <v>80</v>
      </c>
      <c r="BB13" s="2">
        <v>95</v>
      </c>
      <c r="BD13" s="2">
        <v>55</v>
      </c>
      <c r="BF13" s="2">
        <v>95</v>
      </c>
      <c r="BG13" s="2">
        <v>78</v>
      </c>
      <c r="BH13" s="2">
        <v>240</v>
      </c>
      <c r="BI13" s="2">
        <v>95</v>
      </c>
      <c r="BK13" s="2">
        <v>95</v>
      </c>
      <c r="BM13" s="2">
        <v>95</v>
      </c>
      <c r="BN13" s="2">
        <v>95</v>
      </c>
      <c r="BO13" s="2">
        <v>95</v>
      </c>
      <c r="BP13" s="2">
        <v>120</v>
      </c>
      <c r="BQ13" s="2">
        <v>95</v>
      </c>
      <c r="BS13" s="2">
        <v>90</v>
      </c>
      <c r="BT13" s="166" t="s">
        <v>290</v>
      </c>
      <c r="BU13" s="2">
        <v>90</v>
      </c>
      <c r="BV13" s="2">
        <v>90</v>
      </c>
      <c r="BW13" s="2">
        <v>80</v>
      </c>
      <c r="BX13" s="2">
        <v>120</v>
      </c>
      <c r="BZ13" s="2">
        <v>130</v>
      </c>
      <c r="CA13" s="2">
        <v>350</v>
      </c>
      <c r="CD13" s="2">
        <v>80</v>
      </c>
      <c r="CE13" s="2">
        <v>30</v>
      </c>
      <c r="CF13" s="2">
        <v>65</v>
      </c>
      <c r="CG13" s="2">
        <v>90</v>
      </c>
      <c r="CH13" s="2">
        <v>80</v>
      </c>
      <c r="CJ13" s="2">
        <v>110</v>
      </c>
      <c r="CK13" s="2">
        <v>30</v>
      </c>
      <c r="CL13" s="2">
        <v>140</v>
      </c>
      <c r="CM13" s="2">
        <v>85</v>
      </c>
      <c r="CN13" s="2">
        <v>300</v>
      </c>
      <c r="CP13" s="2">
        <v>90</v>
      </c>
      <c r="CQ13" s="2">
        <v>90</v>
      </c>
      <c r="CR13" s="2">
        <v>95</v>
      </c>
      <c r="CS13" s="2">
        <v>120</v>
      </c>
      <c r="CT13" s="2">
        <v>95</v>
      </c>
      <c r="CU13" s="2">
        <v>465</v>
      </c>
      <c r="CV13" s="2">
        <v>20</v>
      </c>
      <c r="CW13" s="2">
        <v>90</v>
      </c>
      <c r="CX13" s="2">
        <v>100</v>
      </c>
      <c r="CY13" s="2">
        <v>240</v>
      </c>
      <c r="DB13" s="2">
        <v>60</v>
      </c>
      <c r="DE13" s="2">
        <v>210</v>
      </c>
      <c r="DG13" s="2">
        <v>70</v>
      </c>
      <c r="DH13" s="2">
        <v>90</v>
      </c>
      <c r="DI13" s="2">
        <v>95</v>
      </c>
      <c r="DK13" s="2">
        <v>95</v>
      </c>
      <c r="DO13" s="2">
        <v>25</v>
      </c>
      <c r="DP13" s="2">
        <v>180</v>
      </c>
      <c r="DR13" s="2">
        <v>55</v>
      </c>
      <c r="DT13" s="2">
        <v>325</v>
      </c>
      <c r="DW13" s="2">
        <v>95</v>
      </c>
      <c r="DX13" s="2">
        <v>60</v>
      </c>
      <c r="DY13" s="2">
        <v>280</v>
      </c>
      <c r="EA13" s="2">
        <v>20</v>
      </c>
      <c r="EB13" s="2">
        <v>95</v>
      </c>
      <c r="ED13" s="2">
        <v>135</v>
      </c>
      <c r="EE13" s="2">
        <v>20</v>
      </c>
      <c r="EF13" s="2">
        <v>50</v>
      </c>
      <c r="EG13" s="2">
        <v>30</v>
      </c>
      <c r="EI13" s="2">
        <v>125</v>
      </c>
      <c r="EK13" s="2">
        <v>60</v>
      </c>
      <c r="EL13" s="2">
        <v>340</v>
      </c>
      <c r="EM13" s="2">
        <v>60</v>
      </c>
      <c r="EP13" s="2">
        <v>140</v>
      </c>
      <c r="EQ13" s="2">
        <v>30</v>
      </c>
      <c r="ER13" s="2">
        <v>30</v>
      </c>
      <c r="EV13" s="2">
        <v>225</v>
      </c>
      <c r="EW13" s="2">
        <v>110</v>
      </c>
      <c r="EY13" s="2">
        <v>60</v>
      </c>
      <c r="FA13" s="2">
        <v>40</v>
      </c>
      <c r="FD13" s="2">
        <v>30</v>
      </c>
      <c r="FE13" s="2">
        <v>40</v>
      </c>
      <c r="FH13" s="2">
        <v>150</v>
      </c>
      <c r="FI13" s="2">
        <v>220</v>
      </c>
      <c r="FK13" s="2">
        <v>120</v>
      </c>
      <c r="FM13" s="2">
        <v>310</v>
      </c>
      <c r="FO13" s="2">
        <v>30</v>
      </c>
      <c r="FQ13" s="2">
        <v>200</v>
      </c>
      <c r="FR13" s="2">
        <v>15</v>
      </c>
      <c r="FS13" s="2">
        <v>30</v>
      </c>
      <c r="FV13" s="2">
        <v>10</v>
      </c>
      <c r="FX13" s="2">
        <v>240</v>
      </c>
      <c r="FZ13" s="2">
        <v>50</v>
      </c>
      <c r="GA13" s="2">
        <v>15</v>
      </c>
      <c r="GB13" s="2">
        <v>15</v>
      </c>
      <c r="GE13" s="2">
        <v>80</v>
      </c>
      <c r="GF13" s="2">
        <v>85</v>
      </c>
      <c r="GG13" s="2">
        <v>20</v>
      </c>
      <c r="GI13" s="2">
        <v>24</v>
      </c>
      <c r="GK13" s="2">
        <v>45</v>
      </c>
      <c r="GP13" s="2">
        <v>30</v>
      </c>
      <c r="GR13" s="2">
        <v>25</v>
      </c>
      <c r="GS13" s="2">
        <v>30</v>
      </c>
      <c r="GT13" s="2">
        <v>200</v>
      </c>
      <c r="GU13" s="2">
        <v>15</v>
      </c>
      <c r="HB13" s="2">
        <v>120</v>
      </c>
      <c r="HC13" s="2">
        <v>15</v>
      </c>
      <c r="HD13" s="2">
        <v>20</v>
      </c>
      <c r="HE13" s="2">
        <v>100</v>
      </c>
      <c r="HF13" s="2">
        <v>15</v>
      </c>
      <c r="HG13" s="2">
        <v>110</v>
      </c>
      <c r="HY13" s="29">
        <v>13542</v>
      </c>
      <c r="HZ13" s="6">
        <v>517.77930301268759</v>
      </c>
      <c r="IA13" s="27"/>
      <c r="IB13" s="27"/>
      <c r="II13" s="74" t="s">
        <v>148</v>
      </c>
      <c r="IJ13" s="4" t="s">
        <v>145</v>
      </c>
      <c r="IK13" s="6">
        <v>306.64525255957426</v>
      </c>
      <c r="IL13" s="6"/>
      <c r="IM13" s="7">
        <v>306.64525255957426</v>
      </c>
      <c r="IN13" s="2" t="s">
        <v>145</v>
      </c>
      <c r="IQ13" s="133">
        <v>306.64525255957426</v>
      </c>
      <c r="IT13" s="4" t="s">
        <v>145</v>
      </c>
      <c r="IU13" s="6">
        <v>51.352075787488509</v>
      </c>
      <c r="IV13" s="6"/>
      <c r="IW13" s="6">
        <v>51.352075787488509</v>
      </c>
      <c r="IZ13" s="4" t="s">
        <v>145</v>
      </c>
      <c r="JA13" s="142">
        <v>-255.29317677208576</v>
      </c>
      <c r="JB13" s="6"/>
      <c r="JC13" s="6">
        <v>-255.29317677208576</v>
      </c>
      <c r="JE13" s="74" t="s">
        <v>148</v>
      </c>
      <c r="JF13" s="142">
        <v>0</v>
      </c>
      <c r="JG13" s="142">
        <v>2740</v>
      </c>
      <c r="JH13" s="142">
        <v>1818</v>
      </c>
      <c r="JI13" s="142">
        <v>2915</v>
      </c>
      <c r="JJ13" s="142">
        <v>2090</v>
      </c>
      <c r="JK13" s="142">
        <v>1640</v>
      </c>
      <c r="JL13" s="142">
        <v>1614</v>
      </c>
      <c r="JM13" s="142">
        <v>725</v>
      </c>
      <c r="JO13" s="6">
        <v>10.896994635845221</v>
      </c>
    </row>
    <row r="14" spans="1:283" ht="15" outlineLevel="1" thickBot="1">
      <c r="A14" t="s">
        <v>70</v>
      </c>
      <c r="B14" t="s">
        <v>21</v>
      </c>
      <c r="C14" s="72" t="s">
        <v>153</v>
      </c>
      <c r="D14" s="11"/>
      <c r="E14" s="2">
        <v>200</v>
      </c>
      <c r="H14" s="2">
        <v>20</v>
      </c>
      <c r="J14" s="2">
        <v>50</v>
      </c>
      <c r="K14" s="2">
        <v>10</v>
      </c>
      <c r="L14" s="2">
        <v>20</v>
      </c>
      <c r="N14" s="2">
        <v>30</v>
      </c>
      <c r="S14" s="2">
        <v>100</v>
      </c>
      <c r="U14" s="2">
        <v>60</v>
      </c>
      <c r="W14" s="2">
        <v>90</v>
      </c>
      <c r="Y14" s="2">
        <v>130</v>
      </c>
      <c r="Z14" s="2">
        <v>30</v>
      </c>
      <c r="AA14" s="2">
        <v>200</v>
      </c>
      <c r="AC14" s="2">
        <v>40</v>
      </c>
      <c r="AD14" s="2">
        <v>130</v>
      </c>
      <c r="AF14" s="2">
        <v>70</v>
      </c>
      <c r="AI14"/>
      <c r="AJ14" s="2">
        <v>10</v>
      </c>
      <c r="AK14" s="2">
        <v>10</v>
      </c>
      <c r="AM14" s="2">
        <v>10</v>
      </c>
      <c r="AN14" s="2">
        <v>10</v>
      </c>
      <c r="AS14" s="2">
        <v>20</v>
      </c>
      <c r="AU14" s="2">
        <v>10</v>
      </c>
      <c r="AV14" s="2">
        <v>10</v>
      </c>
      <c r="AW14" s="2">
        <v>10</v>
      </c>
      <c r="AX14" s="2">
        <v>10</v>
      </c>
      <c r="AY14" s="2">
        <v>10</v>
      </c>
      <c r="AZ14" s="2">
        <v>10</v>
      </c>
      <c r="BA14" s="2">
        <v>20</v>
      </c>
      <c r="BB14" s="2">
        <v>10</v>
      </c>
      <c r="BD14" s="2">
        <v>10</v>
      </c>
      <c r="BF14" s="2">
        <v>10</v>
      </c>
      <c r="BH14" s="2">
        <v>100</v>
      </c>
      <c r="BI14" s="2">
        <v>10</v>
      </c>
      <c r="BK14" s="2">
        <v>10</v>
      </c>
      <c r="BL14" s="2">
        <v>10</v>
      </c>
      <c r="BM14" s="2">
        <v>10</v>
      </c>
      <c r="BN14" s="2">
        <v>10</v>
      </c>
      <c r="BO14" s="2">
        <v>10</v>
      </c>
      <c r="BP14" s="2">
        <v>100</v>
      </c>
      <c r="BQ14" s="2">
        <v>10</v>
      </c>
      <c r="BS14" s="2">
        <v>10</v>
      </c>
      <c r="BU14" s="2">
        <v>15</v>
      </c>
      <c r="BV14" s="2">
        <v>10</v>
      </c>
      <c r="BW14" s="2">
        <v>10</v>
      </c>
      <c r="BY14" s="2">
        <v>10</v>
      </c>
      <c r="BZ14" s="2">
        <v>20</v>
      </c>
      <c r="CA14" s="2">
        <v>15</v>
      </c>
      <c r="CC14" s="2">
        <v>15</v>
      </c>
      <c r="CE14" s="2">
        <v>10</v>
      </c>
      <c r="CG14" s="2">
        <v>10</v>
      </c>
      <c r="CH14" s="2">
        <v>10</v>
      </c>
      <c r="CJ14" s="2">
        <v>25</v>
      </c>
      <c r="CK14" s="2">
        <v>15</v>
      </c>
      <c r="CL14" s="2">
        <v>10</v>
      </c>
      <c r="CM14" s="2">
        <v>25</v>
      </c>
      <c r="CO14" s="2">
        <v>15</v>
      </c>
      <c r="CP14" s="2">
        <v>10</v>
      </c>
      <c r="CQ14" s="2">
        <v>10</v>
      </c>
      <c r="CR14" s="2">
        <v>40</v>
      </c>
      <c r="CW14" s="2">
        <v>10</v>
      </c>
      <c r="CY14" s="2">
        <v>10</v>
      </c>
      <c r="DB14" s="2">
        <v>100</v>
      </c>
      <c r="DC14" s="2">
        <v>10</v>
      </c>
      <c r="DE14" s="2">
        <v>15</v>
      </c>
      <c r="DF14" s="2">
        <v>10</v>
      </c>
      <c r="DH14" s="2">
        <v>30</v>
      </c>
      <c r="DI14" s="2">
        <v>10</v>
      </c>
      <c r="DL14" s="2">
        <v>10</v>
      </c>
      <c r="DN14" s="2">
        <v>15</v>
      </c>
      <c r="DO14" s="2">
        <v>15</v>
      </c>
      <c r="DR14" s="2">
        <v>10</v>
      </c>
      <c r="DS14" s="2">
        <v>15</v>
      </c>
      <c r="DT14" s="2">
        <v>15</v>
      </c>
      <c r="DU14" s="2">
        <v>15</v>
      </c>
      <c r="DW14" s="2">
        <v>15</v>
      </c>
      <c r="DX14" s="2">
        <v>15</v>
      </c>
      <c r="DY14" s="2">
        <v>15</v>
      </c>
      <c r="EA14" s="2">
        <v>15</v>
      </c>
      <c r="EB14" s="2">
        <v>10</v>
      </c>
      <c r="ED14" s="2">
        <v>15</v>
      </c>
      <c r="EE14" s="2">
        <v>10</v>
      </c>
      <c r="EG14" s="2">
        <v>10</v>
      </c>
      <c r="EI14" s="2">
        <v>10</v>
      </c>
      <c r="EJ14" s="2">
        <v>10</v>
      </c>
      <c r="EK14" s="2">
        <v>12</v>
      </c>
      <c r="EL14" s="2">
        <v>40</v>
      </c>
      <c r="EN14" s="2">
        <v>15</v>
      </c>
      <c r="EO14" s="2">
        <v>15</v>
      </c>
      <c r="EP14" s="2">
        <v>10</v>
      </c>
      <c r="EQ14" s="2">
        <v>10</v>
      </c>
      <c r="ER14" s="2">
        <v>10</v>
      </c>
      <c r="ES14" s="2">
        <v>10</v>
      </c>
      <c r="ET14" s="2">
        <v>100</v>
      </c>
      <c r="EV14" s="2">
        <v>10</v>
      </c>
      <c r="FA14" s="2">
        <v>90</v>
      </c>
      <c r="FE14" s="2">
        <v>10</v>
      </c>
      <c r="FH14" s="2">
        <v>100</v>
      </c>
      <c r="FI14" s="2">
        <v>10</v>
      </c>
      <c r="FJ14" s="2">
        <v>10</v>
      </c>
      <c r="FL14" s="2">
        <v>32</v>
      </c>
      <c r="FM14" s="2">
        <v>110</v>
      </c>
      <c r="FN14" s="2">
        <v>10</v>
      </c>
      <c r="FO14" s="2">
        <v>13</v>
      </c>
      <c r="FQ14" s="2">
        <v>10</v>
      </c>
      <c r="FR14" s="2">
        <v>10</v>
      </c>
      <c r="FS14" s="2">
        <v>120</v>
      </c>
      <c r="FV14" s="2">
        <v>80</v>
      </c>
      <c r="FW14" s="2">
        <v>110</v>
      </c>
      <c r="FX14" s="2">
        <v>10</v>
      </c>
      <c r="FY14" s="2">
        <v>10</v>
      </c>
      <c r="FZ14" s="2">
        <v>60</v>
      </c>
      <c r="GA14" s="2">
        <v>110</v>
      </c>
      <c r="GD14" s="2">
        <v>100</v>
      </c>
      <c r="GF14" s="2">
        <v>12</v>
      </c>
      <c r="GH14" s="2">
        <v>9</v>
      </c>
      <c r="GI14" s="2">
        <v>120</v>
      </c>
      <c r="GK14" s="2">
        <v>9</v>
      </c>
      <c r="GO14" s="2">
        <v>110</v>
      </c>
      <c r="GP14" s="2">
        <v>10</v>
      </c>
      <c r="GR14" s="2">
        <v>13</v>
      </c>
      <c r="GS14" s="2">
        <v>10</v>
      </c>
      <c r="GT14" s="2">
        <v>440</v>
      </c>
      <c r="GU14" s="2">
        <v>90</v>
      </c>
      <c r="GX14" s="2">
        <v>10</v>
      </c>
      <c r="HC14" s="2">
        <v>10</v>
      </c>
      <c r="HD14" s="2">
        <v>15</v>
      </c>
      <c r="HY14" s="29">
        <v>4415</v>
      </c>
      <c r="HZ14" s="6">
        <v>168.80782918335666</v>
      </c>
      <c r="IA14" s="27"/>
      <c r="IB14" s="27"/>
      <c r="II14" s="72" t="s">
        <v>153</v>
      </c>
      <c r="IJ14" s="4" t="s">
        <v>137</v>
      </c>
      <c r="IK14" s="6">
        <v>228.26336131928409</v>
      </c>
      <c r="IL14" s="6"/>
      <c r="IM14" s="7">
        <v>228.26336131928409</v>
      </c>
      <c r="IN14" s="2" t="s">
        <v>137</v>
      </c>
      <c r="IQ14" s="133">
        <v>228.26336131928409</v>
      </c>
      <c r="IT14" s="4" t="s">
        <v>137</v>
      </c>
      <c r="IU14" s="6">
        <v>38.225921752033223</v>
      </c>
      <c r="IV14" s="6"/>
      <c r="IW14" s="6">
        <v>38.225921752033223</v>
      </c>
      <c r="IZ14" s="4" t="s">
        <v>137</v>
      </c>
      <c r="JA14" s="142">
        <v>-190.03743956725086</v>
      </c>
      <c r="JB14" s="6"/>
      <c r="JC14" s="6">
        <v>-190.03743956725086</v>
      </c>
      <c r="JE14" s="72" t="s">
        <v>153</v>
      </c>
      <c r="JF14" s="142">
        <v>220</v>
      </c>
      <c r="JG14" s="142">
        <v>990</v>
      </c>
      <c r="JH14" s="142">
        <v>410</v>
      </c>
      <c r="JI14" s="142">
        <v>285</v>
      </c>
      <c r="JJ14" s="142">
        <v>335</v>
      </c>
      <c r="JK14" s="142">
        <v>412</v>
      </c>
      <c r="JL14" s="142">
        <v>1046</v>
      </c>
      <c r="JM14" s="142">
        <v>717</v>
      </c>
      <c r="JO14" s="6">
        <v>554.0886167832748</v>
      </c>
    </row>
    <row r="15" spans="1:283" ht="15" outlineLevel="1" thickBot="1">
      <c r="A15" t="s">
        <v>70</v>
      </c>
      <c r="B15" t="s">
        <v>21</v>
      </c>
      <c r="C15" s="73" t="s">
        <v>233</v>
      </c>
      <c r="D15" s="11"/>
      <c r="F15" s="14">
        <v>341</v>
      </c>
      <c r="G15" s="14">
        <v>341</v>
      </c>
      <c r="H15" s="14">
        <v>341</v>
      </c>
      <c r="I15" s="14">
        <v>341</v>
      </c>
      <c r="J15" s="14">
        <v>341</v>
      </c>
      <c r="K15" s="14">
        <v>341</v>
      </c>
      <c r="L15" s="14">
        <v>341</v>
      </c>
      <c r="M15" s="14">
        <v>341</v>
      </c>
      <c r="N15" s="14">
        <v>341</v>
      </c>
      <c r="O15" s="14">
        <v>341</v>
      </c>
      <c r="P15" s="14">
        <v>349</v>
      </c>
      <c r="Q15" s="14">
        <v>341</v>
      </c>
      <c r="R15" s="14">
        <v>356</v>
      </c>
      <c r="S15" s="14">
        <v>356</v>
      </c>
      <c r="T15" s="14">
        <v>356</v>
      </c>
      <c r="U15" s="14">
        <v>356</v>
      </c>
      <c r="V15" s="14">
        <v>356</v>
      </c>
      <c r="W15" s="14"/>
      <c r="Y15" s="14"/>
      <c r="Z15" s="14">
        <v>350</v>
      </c>
      <c r="AA15" s="14">
        <v>350</v>
      </c>
      <c r="AB15" s="14">
        <v>350</v>
      </c>
      <c r="AC15" s="14">
        <v>350</v>
      </c>
      <c r="AD15" s="14">
        <v>350</v>
      </c>
      <c r="AE15" s="14">
        <v>350</v>
      </c>
      <c r="AF15" s="14">
        <v>700</v>
      </c>
      <c r="AG15" s="162">
        <v>500</v>
      </c>
      <c r="AH15" s="163">
        <v>500</v>
      </c>
      <c r="AI15" s="163">
        <v>500</v>
      </c>
      <c r="AJ15" s="163">
        <v>500</v>
      </c>
      <c r="AK15" s="163">
        <v>500</v>
      </c>
      <c r="AL15" s="163">
        <v>500</v>
      </c>
      <c r="AM15" s="163">
        <v>500</v>
      </c>
      <c r="AN15" s="163">
        <v>500</v>
      </c>
      <c r="AO15" s="163">
        <v>500</v>
      </c>
      <c r="AP15" s="163">
        <v>500</v>
      </c>
      <c r="AQ15" s="163">
        <v>500</v>
      </c>
      <c r="AR15" s="163">
        <v>500</v>
      </c>
      <c r="AS15" s="163">
        <v>500</v>
      </c>
      <c r="AT15" s="163">
        <v>500</v>
      </c>
      <c r="AU15" s="163">
        <v>500</v>
      </c>
      <c r="AV15" s="165">
        <v>500</v>
      </c>
      <c r="AW15" s="163">
        <v>437.5</v>
      </c>
      <c r="AX15" s="163">
        <v>437.5</v>
      </c>
      <c r="AY15" s="163">
        <v>437.5</v>
      </c>
      <c r="AZ15" s="163">
        <v>437.5</v>
      </c>
      <c r="BA15" s="163">
        <v>437.5</v>
      </c>
      <c r="BB15" s="163">
        <v>437.5</v>
      </c>
      <c r="BC15" s="163">
        <v>437.5</v>
      </c>
      <c r="BD15" s="163">
        <v>437.5</v>
      </c>
      <c r="BE15" s="163">
        <v>437.5</v>
      </c>
      <c r="BF15" s="163">
        <v>437.5</v>
      </c>
      <c r="BG15" s="163">
        <v>437.5</v>
      </c>
      <c r="BH15" s="163">
        <v>437.5</v>
      </c>
      <c r="BI15" s="163">
        <v>437.5</v>
      </c>
      <c r="BJ15" s="163">
        <v>437.5</v>
      </c>
      <c r="BK15" s="163">
        <v>437.5</v>
      </c>
      <c r="BL15" s="164">
        <v>437.5</v>
      </c>
      <c r="BM15" s="162">
        <v>533.33000000000004</v>
      </c>
      <c r="BN15" s="163">
        <v>533.33000000000004</v>
      </c>
      <c r="BO15" s="163">
        <v>533.33000000000004</v>
      </c>
      <c r="BP15" s="163">
        <v>533.33000000000004</v>
      </c>
      <c r="BQ15" s="163">
        <v>533.33000000000004</v>
      </c>
      <c r="BR15" s="163">
        <v>533.33000000000004</v>
      </c>
      <c r="BS15" s="163">
        <v>533.33000000000004</v>
      </c>
      <c r="BT15" s="163">
        <v>533.33000000000004</v>
      </c>
      <c r="BU15" s="163">
        <v>533.33000000000004</v>
      </c>
      <c r="BV15" s="163">
        <v>533.33000000000004</v>
      </c>
      <c r="BW15" s="163">
        <v>533.33000000000004</v>
      </c>
      <c r="BX15" s="163">
        <v>533.33000000000004</v>
      </c>
      <c r="BY15" s="163">
        <v>533.33000000000004</v>
      </c>
      <c r="BZ15" s="163">
        <v>533.33000000000004</v>
      </c>
      <c r="CA15" s="187">
        <v>533.33000000000004</v>
      </c>
      <c r="CB15" s="163">
        <v>466.66669999999999</v>
      </c>
      <c r="CC15" s="163">
        <v>466.66669999999999</v>
      </c>
      <c r="CD15" s="163">
        <v>466.66669999999999</v>
      </c>
      <c r="CE15" s="163">
        <v>466.66669999999999</v>
      </c>
      <c r="CF15" s="163">
        <v>466.66669999999999</v>
      </c>
      <c r="CG15" s="163">
        <v>466.66669999999999</v>
      </c>
      <c r="CH15" s="163">
        <v>466.66669999999999</v>
      </c>
      <c r="CI15" s="163">
        <v>466.66669999999999</v>
      </c>
      <c r="CJ15" s="163">
        <v>466.66669999999999</v>
      </c>
      <c r="CK15" s="163">
        <v>466.66669999999999</v>
      </c>
      <c r="CL15" s="163">
        <v>466.66669999999999</v>
      </c>
      <c r="CM15" s="163">
        <v>466.66669999999999</v>
      </c>
      <c r="CN15" s="163">
        <v>466.66669999999999</v>
      </c>
      <c r="CO15" s="164">
        <v>466.66669999999999</v>
      </c>
      <c r="CP15" s="162">
        <v>437.5</v>
      </c>
      <c r="CQ15" s="163">
        <v>437.5</v>
      </c>
      <c r="CR15" s="163">
        <v>437.5</v>
      </c>
      <c r="CS15" s="163">
        <v>437.5</v>
      </c>
      <c r="CT15" s="163">
        <v>437.5</v>
      </c>
      <c r="CU15" s="163">
        <v>437.5</v>
      </c>
      <c r="CV15" s="163">
        <v>437.5</v>
      </c>
      <c r="CW15" s="163">
        <v>437.5</v>
      </c>
      <c r="CX15" s="163">
        <v>437.5</v>
      </c>
      <c r="CY15" s="163">
        <v>437.5</v>
      </c>
      <c r="CZ15" s="163">
        <v>437.5</v>
      </c>
      <c r="DA15" s="163">
        <v>437.5</v>
      </c>
      <c r="DB15" s="163">
        <v>437.5</v>
      </c>
      <c r="DC15" s="163">
        <v>437.5</v>
      </c>
      <c r="DD15" s="163">
        <v>437.5</v>
      </c>
      <c r="DE15" s="165">
        <v>437.5</v>
      </c>
      <c r="DF15" s="162">
        <v>466.66669999999999</v>
      </c>
      <c r="DG15" s="163">
        <v>466.66669999999999</v>
      </c>
      <c r="DH15" s="163">
        <v>466.66669999999999</v>
      </c>
      <c r="DI15" s="163">
        <v>466.66669999999999</v>
      </c>
      <c r="DJ15" s="163">
        <v>466.66669999999999</v>
      </c>
      <c r="DK15" s="163">
        <v>466.66669999999999</v>
      </c>
      <c r="DL15" s="163">
        <v>466.66669999999999</v>
      </c>
      <c r="DM15" s="163">
        <v>466.66669999999999</v>
      </c>
      <c r="DN15" s="163">
        <v>466.66669999999999</v>
      </c>
      <c r="DO15" s="163">
        <v>466.66669999999999</v>
      </c>
      <c r="DP15" s="163">
        <v>466.66669999999999</v>
      </c>
      <c r="DQ15" s="163">
        <v>466.66669999999999</v>
      </c>
      <c r="DR15" s="163">
        <v>466.66669999999999</v>
      </c>
      <c r="DS15" s="163">
        <v>466.66669999999999</v>
      </c>
      <c r="DT15" s="165">
        <v>466.66669999999999</v>
      </c>
      <c r="DU15" s="162">
        <v>466.66669999999999</v>
      </c>
      <c r="DV15" s="163">
        <v>466.66669999999999</v>
      </c>
      <c r="DW15" s="163">
        <v>466.66669999999999</v>
      </c>
      <c r="DX15" s="163">
        <v>466.66669999999999</v>
      </c>
      <c r="DY15" s="163">
        <v>466.66669999999999</v>
      </c>
      <c r="DZ15" s="163">
        <v>466.66669999999999</v>
      </c>
      <c r="EA15" s="163">
        <v>466.66669999999999</v>
      </c>
      <c r="EB15" s="163">
        <v>466.66669999999999</v>
      </c>
      <c r="EC15" s="163">
        <v>466.66669999999999</v>
      </c>
      <c r="ED15" s="163">
        <v>466.66669999999999</v>
      </c>
      <c r="EE15" s="163">
        <v>466.66669999999999</v>
      </c>
      <c r="EF15" s="163">
        <v>466.66669999999999</v>
      </c>
      <c r="EG15" s="163">
        <v>466.66669999999999</v>
      </c>
      <c r="EH15" s="163">
        <v>466.66669999999999</v>
      </c>
      <c r="EI15" s="164">
        <v>466.66669999999999</v>
      </c>
      <c r="EJ15" s="163">
        <v>451.61290000000002</v>
      </c>
      <c r="EK15" s="163">
        <v>451.61290000000002</v>
      </c>
      <c r="EL15" s="163">
        <v>451.61290000000002</v>
      </c>
      <c r="EM15" s="163">
        <v>451.61290000000002</v>
      </c>
      <c r="EN15" s="163">
        <v>451.61290000000002</v>
      </c>
      <c r="EO15" s="163">
        <v>451.61290000000002</v>
      </c>
      <c r="EP15" s="163">
        <v>451.61290000000002</v>
      </c>
      <c r="EQ15" s="163">
        <v>451.61290000000002</v>
      </c>
      <c r="ER15" s="163">
        <v>451.61290000000002</v>
      </c>
      <c r="ES15" s="163">
        <v>451.61290000000002</v>
      </c>
      <c r="ET15" s="163">
        <v>451.61290000000002</v>
      </c>
      <c r="EU15" s="163">
        <v>451.61290000000002</v>
      </c>
      <c r="EV15" s="163">
        <v>451.61290000000002</v>
      </c>
      <c r="EW15" s="163">
        <v>451.61290000000002</v>
      </c>
      <c r="EX15" s="165">
        <v>451.61290000000002</v>
      </c>
      <c r="EY15" s="163">
        <v>451.61290000000002</v>
      </c>
      <c r="EZ15" s="163">
        <v>451.61290000000002</v>
      </c>
      <c r="FA15" s="163">
        <v>451.61290000000002</v>
      </c>
      <c r="FB15" s="163">
        <v>451.61290000000002</v>
      </c>
      <c r="FC15" s="163">
        <v>451.61290000000002</v>
      </c>
      <c r="FD15" s="163">
        <v>451.61290000000002</v>
      </c>
      <c r="FE15" s="163">
        <v>451.61290000000002</v>
      </c>
      <c r="FF15" s="163">
        <v>451.61290000000002</v>
      </c>
      <c r="FG15" s="163">
        <v>451.61290000000002</v>
      </c>
      <c r="FH15" s="163">
        <v>451.61290000000002</v>
      </c>
      <c r="FI15" s="163">
        <v>451.61290000000002</v>
      </c>
      <c r="FJ15" s="163">
        <v>451.61290000000002</v>
      </c>
      <c r="FK15" s="163">
        <v>451.61290000000002</v>
      </c>
      <c r="FL15" s="163">
        <v>451.61290000000002</v>
      </c>
      <c r="FM15" s="163">
        <v>451.61290000000002</v>
      </c>
      <c r="FN15" s="164">
        <v>451.61290000000002</v>
      </c>
      <c r="FO15" s="163">
        <v>387.09676999999999</v>
      </c>
      <c r="FP15" s="163">
        <v>387.09676999999999</v>
      </c>
      <c r="FQ15" s="163">
        <v>387.09676999999999</v>
      </c>
      <c r="FR15" s="163">
        <v>387.09676999999999</v>
      </c>
      <c r="FS15" s="163">
        <v>387.09676999999999</v>
      </c>
      <c r="FT15" s="163">
        <v>387.09676999999999</v>
      </c>
      <c r="FU15" s="163">
        <v>387.09676999999999</v>
      </c>
      <c r="FV15" s="163">
        <v>387.09676999999999</v>
      </c>
      <c r="FW15" s="163">
        <v>387.09676999999999</v>
      </c>
      <c r="FX15" s="163">
        <v>387.09676999999999</v>
      </c>
      <c r="FY15" s="163">
        <v>387.09676999999999</v>
      </c>
      <c r="FZ15" s="163">
        <v>387.09676999999999</v>
      </c>
      <c r="GA15" s="163">
        <v>387.09676999999999</v>
      </c>
      <c r="GB15" s="163">
        <v>387.09676999999999</v>
      </c>
      <c r="GC15" s="165">
        <v>387.09676999999999</v>
      </c>
      <c r="GD15" s="163">
        <v>387.09676999999999</v>
      </c>
      <c r="GE15" s="163">
        <v>387.09676999999999</v>
      </c>
      <c r="GF15" s="163">
        <v>387.09676999999999</v>
      </c>
      <c r="GG15" s="163">
        <v>387.09676999999999</v>
      </c>
      <c r="GH15" s="163">
        <v>387.09676999999999</v>
      </c>
      <c r="GI15" s="163">
        <v>387.09676999999999</v>
      </c>
      <c r="GJ15" s="163">
        <v>387.09676999999999</v>
      </c>
      <c r="GK15" s="163">
        <v>387.09676999999999</v>
      </c>
      <c r="GL15" s="163">
        <v>387.09676999999999</v>
      </c>
      <c r="GM15" s="163">
        <v>387.09676999999999</v>
      </c>
      <c r="GN15" s="163">
        <v>387.09676999999999</v>
      </c>
      <c r="GO15" s="163">
        <v>387.09676999999999</v>
      </c>
      <c r="GP15" s="163">
        <v>387.09676999999999</v>
      </c>
      <c r="GQ15" s="163">
        <v>387.09676999999999</v>
      </c>
      <c r="GR15" s="163">
        <v>387.09676999999999</v>
      </c>
      <c r="GS15" s="164">
        <v>387.09676999999999</v>
      </c>
      <c r="GT15" s="162">
        <v>400</v>
      </c>
      <c r="GU15" s="163">
        <v>400</v>
      </c>
      <c r="GV15" s="163">
        <v>400</v>
      </c>
      <c r="GW15" s="163">
        <v>400</v>
      </c>
      <c r="GX15" s="163">
        <v>400</v>
      </c>
      <c r="GY15" s="163">
        <v>400</v>
      </c>
      <c r="GZ15" s="163">
        <v>400</v>
      </c>
      <c r="HA15" s="163">
        <v>400</v>
      </c>
      <c r="HB15" s="163">
        <v>400</v>
      </c>
      <c r="HC15" s="163">
        <v>400</v>
      </c>
      <c r="HD15" s="163">
        <v>400</v>
      </c>
      <c r="HE15" s="163">
        <v>400</v>
      </c>
      <c r="HF15" s="163">
        <v>400</v>
      </c>
      <c r="HG15" s="164"/>
      <c r="HH15" s="14"/>
      <c r="HI15" s="14"/>
      <c r="HJ15" s="14"/>
      <c r="HK15" s="14"/>
      <c r="HL15" s="14"/>
      <c r="HM15" s="14"/>
      <c r="HN15" s="14"/>
      <c r="HO15" s="14"/>
      <c r="HP15" s="14"/>
      <c r="HQ15" s="14"/>
      <c r="HR15" s="14"/>
      <c r="HS15" s="14"/>
      <c r="HT15" s="14"/>
      <c r="HU15" s="14"/>
      <c r="HV15" s="14"/>
      <c r="HX15" s="186"/>
      <c r="HY15" s="29">
        <v>90413.284570000091</v>
      </c>
      <c r="HZ15" s="6">
        <v>3456.9581648015383</v>
      </c>
      <c r="IA15" s="27"/>
      <c r="IB15" s="27"/>
      <c r="IC15" s="2">
        <v>437.5</v>
      </c>
      <c r="ID15" s="2">
        <v>437.5</v>
      </c>
      <c r="IE15" s="2">
        <v>437.5</v>
      </c>
      <c r="IF15" s="2">
        <v>437.5</v>
      </c>
      <c r="IG15" s="2">
        <v>437.5</v>
      </c>
      <c r="IH15" s="2">
        <v>437.5</v>
      </c>
      <c r="II15" s="73" t="s">
        <v>233</v>
      </c>
      <c r="IJ15" s="4">
        <v>437.5</v>
      </c>
      <c r="IK15" s="28">
        <v>11956.843391174209</v>
      </c>
      <c r="IL15" s="28">
        <v>1416.7199999999996</v>
      </c>
      <c r="IM15" s="28">
        <v>13373.563391174208</v>
      </c>
      <c r="IO15" s="121" t="s">
        <v>229</v>
      </c>
      <c r="IP15" s="124"/>
      <c r="IQ15" s="114">
        <v>11956.84339117421</v>
      </c>
      <c r="IR15" s="114">
        <v>1416.7199999999996</v>
      </c>
      <c r="IT15" s="4" t="s">
        <v>14</v>
      </c>
      <c r="IU15" s="28">
        <v>2189.0677292413825</v>
      </c>
      <c r="IV15" s="28">
        <v>1364.2702392344493</v>
      </c>
      <c r="IW15" s="28">
        <v>1</v>
      </c>
      <c r="IZ15" s="4" t="s">
        <v>14</v>
      </c>
      <c r="JA15" s="28">
        <v>-9767.7756619328266</v>
      </c>
      <c r="JB15" s="28">
        <v>-52.449760765550238</v>
      </c>
      <c r="JC15" s="28">
        <v>-9820.2254226983769</v>
      </c>
      <c r="JE15" s="73" t="s">
        <v>233</v>
      </c>
      <c r="JF15" s="142">
        <v>1023</v>
      </c>
      <c r="JG15" s="142">
        <v>11157</v>
      </c>
      <c r="JH15" s="142">
        <v>14166.65</v>
      </c>
      <c r="JI15" s="142">
        <v>14491.633799999998</v>
      </c>
      <c r="JJ15" s="142">
        <v>14175.000699999995</v>
      </c>
      <c r="JK15" s="142">
        <v>14135.4841</v>
      </c>
      <c r="JL15" s="142">
        <v>12580.645040000001</v>
      </c>
      <c r="JM15" s="142">
        <v>8683.870930000001</v>
      </c>
      <c r="JO15" s="6">
        <v>35.367438730374836</v>
      </c>
    </row>
    <row r="16" spans="1:283" ht="15" outlineLevel="1" thickBot="1">
      <c r="A16" t="s">
        <v>70</v>
      </c>
      <c r="B16" t="s">
        <v>21</v>
      </c>
      <c r="C16" s="74" t="s">
        <v>149</v>
      </c>
      <c r="D16" s="11"/>
      <c r="G16" s="2">
        <v>25</v>
      </c>
      <c r="I16" s="2">
        <v>20</v>
      </c>
      <c r="J16" s="2">
        <v>20</v>
      </c>
      <c r="K16" s="2">
        <v>40</v>
      </c>
      <c r="L16" s="2">
        <v>20</v>
      </c>
      <c r="M16" s="2">
        <v>70</v>
      </c>
      <c r="N16" s="2">
        <v>45</v>
      </c>
      <c r="O16" s="2">
        <v>25</v>
      </c>
      <c r="P16" s="2">
        <v>30</v>
      </c>
      <c r="Q16" s="2">
        <v>25</v>
      </c>
      <c r="R16" s="2">
        <v>100</v>
      </c>
      <c r="S16" s="2">
        <v>205</v>
      </c>
      <c r="T16" s="2">
        <v>50</v>
      </c>
      <c r="U16" s="2">
        <v>40</v>
      </c>
      <c r="V16" s="2">
        <v>25</v>
      </c>
      <c r="W16" s="2">
        <v>40</v>
      </c>
      <c r="BP16" s="2">
        <v>635</v>
      </c>
      <c r="CA16" s="2">
        <v>35</v>
      </c>
      <c r="CB16" s="2">
        <v>30</v>
      </c>
      <c r="CF16" s="2">
        <v>120</v>
      </c>
      <c r="CH16" s="2">
        <v>150</v>
      </c>
      <c r="CJ16" s="2">
        <v>60</v>
      </c>
      <c r="CK16" s="2">
        <v>50</v>
      </c>
      <c r="CL16" s="2">
        <v>50</v>
      </c>
      <c r="CM16" s="2">
        <v>70</v>
      </c>
      <c r="CN16" s="2">
        <v>25</v>
      </c>
      <c r="CO16" s="2">
        <v>105</v>
      </c>
      <c r="CP16" s="2">
        <v>50</v>
      </c>
      <c r="CQ16" s="2">
        <v>40</v>
      </c>
      <c r="CR16" s="2">
        <v>35</v>
      </c>
      <c r="CS16" s="2">
        <v>35</v>
      </c>
      <c r="CT16" s="2">
        <v>30</v>
      </c>
      <c r="CU16" s="2">
        <v>40</v>
      </c>
      <c r="CV16" s="2">
        <v>25</v>
      </c>
      <c r="CW16" s="2">
        <v>55</v>
      </c>
      <c r="CY16" s="2">
        <v>50</v>
      </c>
      <c r="CZ16" s="2">
        <v>40</v>
      </c>
      <c r="DB16" s="2">
        <v>80</v>
      </c>
      <c r="DC16" s="2">
        <v>35</v>
      </c>
      <c r="DD16" s="2">
        <v>30</v>
      </c>
      <c r="DE16" s="2">
        <v>35</v>
      </c>
      <c r="DF16" s="2">
        <v>40</v>
      </c>
      <c r="DG16" s="2">
        <v>40</v>
      </c>
      <c r="DJ16" s="2">
        <v>70</v>
      </c>
      <c r="DL16" s="2">
        <v>30</v>
      </c>
      <c r="DO16" s="2">
        <v>30</v>
      </c>
      <c r="DP16" s="2">
        <v>50</v>
      </c>
      <c r="DQ16" s="2">
        <v>50</v>
      </c>
      <c r="DR16" s="2">
        <v>30</v>
      </c>
      <c r="DT16" s="2">
        <v>70</v>
      </c>
      <c r="DU16" s="2">
        <v>25</v>
      </c>
      <c r="DW16" s="2">
        <v>30</v>
      </c>
      <c r="EA16" s="2">
        <v>40</v>
      </c>
      <c r="EB16" s="2">
        <v>65</v>
      </c>
      <c r="EC16" s="2">
        <v>30</v>
      </c>
      <c r="ED16" s="2">
        <v>40</v>
      </c>
      <c r="EE16" s="2">
        <v>30</v>
      </c>
      <c r="EF16" s="2">
        <v>40</v>
      </c>
      <c r="EG16" s="2">
        <v>25</v>
      </c>
      <c r="EH16" s="2">
        <v>25</v>
      </c>
      <c r="EI16" s="2">
        <v>35</v>
      </c>
      <c r="EJ16" s="2">
        <v>30</v>
      </c>
      <c r="EK16" s="2">
        <v>30</v>
      </c>
      <c r="EL16" s="2">
        <v>120</v>
      </c>
      <c r="EM16" s="2">
        <v>130</v>
      </c>
      <c r="EN16" s="2">
        <v>135</v>
      </c>
      <c r="EO16" s="2">
        <v>30</v>
      </c>
      <c r="EP16" s="2">
        <v>30</v>
      </c>
      <c r="EQ16" s="2">
        <v>30</v>
      </c>
      <c r="ES16" s="2">
        <v>40</v>
      </c>
      <c r="ET16" s="2">
        <v>30</v>
      </c>
      <c r="EU16" s="2">
        <v>30</v>
      </c>
      <c r="EV16" s="2">
        <v>60</v>
      </c>
      <c r="EW16" s="2">
        <v>30</v>
      </c>
      <c r="EX16" s="2">
        <v>100</v>
      </c>
      <c r="EY16" s="2">
        <v>30</v>
      </c>
      <c r="EZ16" s="2">
        <v>85</v>
      </c>
      <c r="FD16" s="2">
        <v>30</v>
      </c>
      <c r="FE16" s="2">
        <v>50</v>
      </c>
      <c r="FF16" s="2">
        <v>30</v>
      </c>
      <c r="FG16" s="2">
        <v>40</v>
      </c>
      <c r="FH16" s="2">
        <v>100</v>
      </c>
      <c r="FI16" s="2">
        <v>80</v>
      </c>
      <c r="FJ16" s="2">
        <v>45</v>
      </c>
      <c r="FK16" s="2">
        <v>30</v>
      </c>
      <c r="FL16" s="2">
        <v>30</v>
      </c>
      <c r="FM16" s="2">
        <v>40</v>
      </c>
      <c r="FN16" s="2">
        <v>40</v>
      </c>
      <c r="FO16" s="2">
        <v>35</v>
      </c>
      <c r="FP16" s="2">
        <v>30</v>
      </c>
      <c r="FQ16" s="2">
        <v>40</v>
      </c>
      <c r="FR16" s="2">
        <v>40</v>
      </c>
      <c r="FS16" s="2">
        <v>90</v>
      </c>
      <c r="FT16" s="2">
        <v>30</v>
      </c>
      <c r="FU16" s="2">
        <v>40</v>
      </c>
      <c r="FW16" s="2">
        <v>35</v>
      </c>
      <c r="FX16" s="2">
        <v>65</v>
      </c>
      <c r="FY16" s="2">
        <v>35</v>
      </c>
      <c r="FZ16" s="2">
        <v>30</v>
      </c>
      <c r="GA16" s="2">
        <v>30</v>
      </c>
      <c r="GB16" s="2">
        <v>30</v>
      </c>
      <c r="GD16" s="2">
        <v>40</v>
      </c>
      <c r="GE16" s="2">
        <v>30</v>
      </c>
      <c r="GF16" s="2">
        <v>40</v>
      </c>
      <c r="GH16" s="2">
        <v>30</v>
      </c>
      <c r="GI16" s="2">
        <v>35</v>
      </c>
      <c r="GK16" s="2">
        <v>30</v>
      </c>
      <c r="GL16" s="2">
        <v>30</v>
      </c>
      <c r="GM16" s="2">
        <v>35</v>
      </c>
      <c r="GO16" s="2">
        <v>35</v>
      </c>
      <c r="GP16" s="2">
        <v>35</v>
      </c>
      <c r="GQ16" s="2">
        <v>100</v>
      </c>
      <c r="GR16" s="2">
        <v>120</v>
      </c>
      <c r="GS16" s="2">
        <v>30</v>
      </c>
      <c r="GT16" s="2">
        <v>30</v>
      </c>
      <c r="GU16" s="2">
        <v>25</v>
      </c>
      <c r="HA16" s="2">
        <v>30</v>
      </c>
      <c r="HB16" s="2">
        <v>50</v>
      </c>
      <c r="HC16" s="2">
        <v>40</v>
      </c>
      <c r="HD16" s="2">
        <v>70</v>
      </c>
      <c r="HF16" s="2">
        <v>70</v>
      </c>
      <c r="HY16" s="29">
        <v>6375</v>
      </c>
      <c r="HZ16" s="6">
        <v>243.74856422285362</v>
      </c>
      <c r="IA16" s="27"/>
      <c r="IB16" s="27"/>
      <c r="II16" s="74" t="s">
        <v>149</v>
      </c>
      <c r="IO16" s="122">
        <v>4146.24</v>
      </c>
      <c r="IP16" s="125"/>
      <c r="JE16" s="74" t="s">
        <v>149</v>
      </c>
      <c r="JF16" s="142">
        <v>25</v>
      </c>
      <c r="JG16" s="142">
        <v>755</v>
      </c>
      <c r="JH16" s="142">
        <v>635</v>
      </c>
      <c r="JI16" s="142">
        <v>925</v>
      </c>
      <c r="JJ16" s="142">
        <v>815</v>
      </c>
      <c r="JK16" s="142">
        <v>1350</v>
      </c>
      <c r="JL16" s="142">
        <v>1140</v>
      </c>
      <c r="JM16" s="142">
        <v>730</v>
      </c>
      <c r="JO16" s="6">
        <v>62.705512992232137</v>
      </c>
    </row>
    <row r="17" spans="1:275" outlineLevel="1">
      <c r="A17" t="s">
        <v>70</v>
      </c>
      <c r="B17" t="s">
        <v>23</v>
      </c>
      <c r="C17" s="72" t="s">
        <v>23</v>
      </c>
      <c r="D17" s="11"/>
      <c r="F17" s="2">
        <v>200</v>
      </c>
      <c r="K17" s="2">
        <v>130</v>
      </c>
      <c r="M17" s="2">
        <v>200</v>
      </c>
      <c r="W17" s="2">
        <v>25</v>
      </c>
      <c r="AB17" s="2">
        <v>300</v>
      </c>
      <c r="AC17" s="2">
        <v>10</v>
      </c>
      <c r="AJ17"/>
      <c r="AK17"/>
      <c r="AL17"/>
      <c r="AM17"/>
      <c r="AN17"/>
      <c r="AO17"/>
      <c r="AP17"/>
      <c r="AQ17" s="158">
        <v>100</v>
      </c>
      <c r="AS17" s="158">
        <v>150</v>
      </c>
      <c r="AT17"/>
      <c r="AU17"/>
      <c r="AV17" s="160">
        <v>500</v>
      </c>
      <c r="AW17"/>
      <c r="AX17"/>
      <c r="AY17"/>
      <c r="AZ17"/>
      <c r="BA17"/>
      <c r="BB17" s="160">
        <v>200</v>
      </c>
      <c r="BC17">
        <v>90</v>
      </c>
      <c r="BD17"/>
      <c r="BE17"/>
      <c r="BF17"/>
      <c r="BG17"/>
      <c r="BH17"/>
      <c r="BI17" s="2">
        <v>50</v>
      </c>
      <c r="BK17"/>
      <c r="BL17"/>
      <c r="BM17"/>
      <c r="BN17" s="2">
        <v>1562</v>
      </c>
      <c r="BO17" s="2">
        <v>70</v>
      </c>
      <c r="BP17" s="2">
        <v>120</v>
      </c>
      <c r="BQ17" s="2">
        <v>632</v>
      </c>
      <c r="BR17" s="2">
        <v>200</v>
      </c>
      <c r="BS17" s="2">
        <v>200</v>
      </c>
      <c r="BT17"/>
      <c r="BU17"/>
      <c r="BV17"/>
      <c r="BW17"/>
      <c r="BX17"/>
      <c r="BY17"/>
      <c r="BZ17"/>
      <c r="CD17" s="2">
        <v>300</v>
      </c>
      <c r="CE17" s="2">
        <v>340</v>
      </c>
      <c r="CF17" s="2">
        <v>300</v>
      </c>
      <c r="CJ17" s="2">
        <v>100</v>
      </c>
      <c r="CL17" s="2">
        <v>100</v>
      </c>
      <c r="CM17" s="2">
        <v>100</v>
      </c>
      <c r="EL17" s="2">
        <v>190</v>
      </c>
      <c r="EU17" s="2">
        <v>200</v>
      </c>
      <c r="FC17" s="2">
        <v>80</v>
      </c>
      <c r="FN17" s="2">
        <v>120</v>
      </c>
      <c r="GP17" s="2">
        <v>150</v>
      </c>
      <c r="HF17" s="2">
        <v>500</v>
      </c>
      <c r="HX17" s="179"/>
      <c r="HY17" s="29">
        <v>7219</v>
      </c>
      <c r="HZ17" s="6">
        <v>276.01896237251458</v>
      </c>
      <c r="IA17" s="27"/>
      <c r="IB17" s="27"/>
      <c r="II17" s="72" t="s">
        <v>23</v>
      </c>
      <c r="IJ17" s="4" t="s">
        <v>202</v>
      </c>
      <c r="IK17" s="113">
        <v>183.71950605346066</v>
      </c>
      <c r="IL17" s="2">
        <v>2320</v>
      </c>
      <c r="IM17" s="109">
        <v>2503.7195060534605</v>
      </c>
      <c r="IO17" s="122">
        <v>50</v>
      </c>
      <c r="IP17" s="125" t="s">
        <v>227</v>
      </c>
      <c r="IQ17" s="109">
        <v>2503.7195060534605</v>
      </c>
      <c r="IR17" s="6"/>
      <c r="IS17" s="2"/>
      <c r="IT17" s="28"/>
      <c r="JE17" s="72" t="s">
        <v>23</v>
      </c>
      <c r="JF17" s="142">
        <v>200</v>
      </c>
      <c r="JG17" s="142">
        <v>665</v>
      </c>
      <c r="JH17" s="142">
        <v>3474</v>
      </c>
      <c r="JI17" s="142">
        <v>1640</v>
      </c>
      <c r="JJ17" s="142">
        <v>0</v>
      </c>
      <c r="JK17" s="142">
        <v>470</v>
      </c>
      <c r="JL17" s="142">
        <v>120</v>
      </c>
      <c r="JM17" s="142">
        <v>650</v>
      </c>
      <c r="JO17" s="6">
        <v>32.499808563047146</v>
      </c>
    </row>
    <row r="18" spans="1:275" outlineLevel="1">
      <c r="A18" t="s">
        <v>70</v>
      </c>
      <c r="B18" t="s">
        <v>23</v>
      </c>
      <c r="C18" s="73" t="s">
        <v>151</v>
      </c>
      <c r="D18" s="11"/>
      <c r="AD18" s="2">
        <v>100</v>
      </c>
      <c r="AF18" s="2">
        <v>200</v>
      </c>
      <c r="AJ18"/>
      <c r="AK18"/>
      <c r="AL18"/>
      <c r="AM18"/>
      <c r="AN18"/>
      <c r="AO18">
        <v>200</v>
      </c>
      <c r="AP18"/>
      <c r="AQ18"/>
      <c r="AR18"/>
      <c r="AS18"/>
      <c r="AT18"/>
      <c r="AU18"/>
      <c r="AV18"/>
      <c r="AW18"/>
      <c r="AX18"/>
      <c r="AY18"/>
      <c r="AZ18"/>
      <c r="BA18"/>
      <c r="BB18"/>
      <c r="BC18"/>
      <c r="BD18"/>
      <c r="BE18"/>
      <c r="BF18"/>
      <c r="BG18"/>
      <c r="BH18"/>
      <c r="BJ18" s="2">
        <v>450</v>
      </c>
      <c r="BK18"/>
      <c r="BL18"/>
      <c r="BM18"/>
      <c r="BN18"/>
      <c r="BO18"/>
      <c r="BP18"/>
      <c r="BQ18"/>
      <c r="BR18"/>
      <c r="BS18"/>
      <c r="BT18"/>
      <c r="BU18"/>
      <c r="BV18"/>
      <c r="BW18"/>
      <c r="BX18" s="2">
        <v>250</v>
      </c>
      <c r="BY18"/>
      <c r="BZ18"/>
      <c r="CB18" s="11">
        <v>200</v>
      </c>
      <c r="CR18" s="2">
        <v>400</v>
      </c>
      <c r="CW18" s="2">
        <v>200</v>
      </c>
      <c r="CZ18" s="11">
        <v>200</v>
      </c>
      <c r="DC18" s="2">
        <v>200</v>
      </c>
      <c r="DG18" s="2">
        <v>200</v>
      </c>
      <c r="DH18" s="2">
        <v>300</v>
      </c>
      <c r="DI18" s="2">
        <v>500</v>
      </c>
      <c r="DK18" s="2">
        <v>80</v>
      </c>
      <c r="DO18" s="2">
        <v>300</v>
      </c>
      <c r="DY18" s="2">
        <v>250</v>
      </c>
      <c r="EF18" s="11">
        <v>240</v>
      </c>
      <c r="EK18" s="2">
        <v>200</v>
      </c>
      <c r="EM18" s="2">
        <v>300</v>
      </c>
      <c r="EQ18" s="2">
        <v>150</v>
      </c>
      <c r="EY18" s="2">
        <v>200</v>
      </c>
      <c r="FM18" s="2">
        <v>700</v>
      </c>
      <c r="GC18" s="2">
        <v>200</v>
      </c>
      <c r="GE18" s="2">
        <v>300</v>
      </c>
      <c r="HX18" s="179"/>
      <c r="HY18" s="29">
        <v>6320</v>
      </c>
      <c r="HZ18" s="6">
        <v>241.64563543347998</v>
      </c>
      <c r="IA18" s="27"/>
      <c r="IB18" s="27"/>
      <c r="II18" s="73" t="s">
        <v>151</v>
      </c>
      <c r="IK18" s="6">
        <v>12140.56289722767</v>
      </c>
      <c r="IL18" s="6">
        <v>3736.7199999999993</v>
      </c>
      <c r="IM18" s="6">
        <v>15877.282897227669</v>
      </c>
      <c r="IO18" s="122"/>
      <c r="IP18" s="125" t="s">
        <v>64</v>
      </c>
      <c r="IQ18" s="119">
        <v>14460.562897227672</v>
      </c>
      <c r="IR18" s="62">
        <v>1416.7199999999996</v>
      </c>
      <c r="IS18" s="6"/>
      <c r="IT18" s="6"/>
      <c r="JE18" s="73" t="s">
        <v>151</v>
      </c>
      <c r="JF18" s="142">
        <v>0</v>
      </c>
      <c r="JG18" s="142">
        <v>300</v>
      </c>
      <c r="JH18" s="142">
        <v>650</v>
      </c>
      <c r="JI18" s="142">
        <v>850</v>
      </c>
      <c r="JJ18" s="142">
        <v>2230</v>
      </c>
      <c r="JK18" s="142">
        <v>1090</v>
      </c>
      <c r="JL18" s="142">
        <v>1200</v>
      </c>
      <c r="JM18" s="142">
        <v>0</v>
      </c>
      <c r="JO18" s="6">
        <v>32.499808563047146</v>
      </c>
    </row>
    <row r="19" spans="1:275" ht="15" outlineLevel="1" thickBot="1">
      <c r="A19" t="s">
        <v>70</v>
      </c>
      <c r="B19" t="s">
        <v>23</v>
      </c>
      <c r="C19" s="74" t="s">
        <v>8</v>
      </c>
      <c r="D19" s="11"/>
      <c r="Q19" s="2">
        <v>1675</v>
      </c>
      <c r="AC19" s="142"/>
      <c r="AD19" s="142"/>
      <c r="AE19" s="142"/>
      <c r="AG19" s="2">
        <v>200</v>
      </c>
      <c r="AH19" s="2">
        <v>100</v>
      </c>
      <c r="AJ19"/>
      <c r="AK19"/>
      <c r="AL19"/>
      <c r="AM19"/>
      <c r="AN19"/>
      <c r="AO19"/>
      <c r="AP19"/>
      <c r="AQ19"/>
      <c r="AR19"/>
      <c r="AS19"/>
      <c r="AT19"/>
      <c r="AU19"/>
      <c r="AV19"/>
      <c r="AW19"/>
      <c r="AX19"/>
      <c r="AY19"/>
      <c r="AZ19"/>
      <c r="BA19"/>
      <c r="BB19"/>
      <c r="BC19"/>
      <c r="BD19"/>
      <c r="BE19"/>
      <c r="BF19"/>
      <c r="BG19"/>
      <c r="BH19"/>
      <c r="BK19"/>
      <c r="BL19"/>
      <c r="BM19"/>
      <c r="BN19"/>
      <c r="BO19"/>
      <c r="BP19"/>
      <c r="BQ19"/>
      <c r="BR19"/>
      <c r="BS19"/>
      <c r="BT19"/>
      <c r="BU19"/>
      <c r="BV19"/>
      <c r="BW19"/>
      <c r="BX19"/>
      <c r="BY19"/>
      <c r="BZ19"/>
      <c r="CD19" s="2">
        <v>350</v>
      </c>
      <c r="CE19" s="2">
        <v>500</v>
      </c>
      <c r="DG19" s="2">
        <v>419</v>
      </c>
      <c r="DH19" s="2">
        <v>419</v>
      </c>
      <c r="DI19" s="2">
        <v>419</v>
      </c>
      <c r="DS19" s="2">
        <v>5300</v>
      </c>
      <c r="DY19" s="2">
        <v>600</v>
      </c>
      <c r="DZ19" s="2">
        <v>400</v>
      </c>
      <c r="EL19" s="2">
        <v>360</v>
      </c>
      <c r="EM19" s="2">
        <v>360</v>
      </c>
      <c r="EN19" s="2">
        <v>360</v>
      </c>
      <c r="FA19" s="2">
        <v>1100</v>
      </c>
      <c r="FB19" s="2">
        <v>1100</v>
      </c>
      <c r="GC19" s="2">
        <v>1100</v>
      </c>
      <c r="GY19" s="2">
        <v>600</v>
      </c>
      <c r="GZ19" s="2">
        <v>600</v>
      </c>
      <c r="HA19" s="2">
        <v>500</v>
      </c>
      <c r="HX19" s="179"/>
      <c r="HY19" s="29">
        <v>16462</v>
      </c>
      <c r="HZ19" s="6">
        <v>629.42570419397907</v>
      </c>
      <c r="IA19" s="27"/>
      <c r="IB19" s="27"/>
      <c r="II19" s="74" t="s">
        <v>8</v>
      </c>
      <c r="IO19" s="122">
        <v>4196.24</v>
      </c>
      <c r="IP19" s="126" t="s">
        <v>274</v>
      </c>
      <c r="IQ19" s="128">
        <v>11681.042897227671</v>
      </c>
      <c r="IR19" s="119">
        <v>15877.282897227671</v>
      </c>
      <c r="JE19" s="74" t="s">
        <v>8</v>
      </c>
      <c r="JF19" s="142">
        <v>0</v>
      </c>
      <c r="JG19" s="142">
        <v>1975</v>
      </c>
      <c r="JH19" s="142">
        <v>0</v>
      </c>
      <c r="JI19" s="142">
        <v>850</v>
      </c>
      <c r="JJ19" s="142">
        <v>7557</v>
      </c>
      <c r="JK19" s="142">
        <v>3280</v>
      </c>
      <c r="JL19" s="142">
        <v>1100</v>
      </c>
      <c r="JM19" s="142">
        <v>1700</v>
      </c>
      <c r="JO19" s="6">
        <v>74.55838435051993</v>
      </c>
    </row>
    <row r="20" spans="1:275" outlineLevel="1">
      <c r="A20" t="s">
        <v>70</v>
      </c>
      <c r="B20" t="s">
        <v>25</v>
      </c>
      <c r="C20" s="72" t="s">
        <v>150</v>
      </c>
      <c r="D20" s="11"/>
      <c r="F20" s="2">
        <v>370</v>
      </c>
      <c r="H20" s="2">
        <v>25</v>
      </c>
      <c r="X20" s="2">
        <v>425</v>
      </c>
      <c r="Y20" s="2">
        <v>600</v>
      </c>
      <c r="Z20" s="2">
        <v>20</v>
      </c>
      <c r="AA20" s="2">
        <v>425</v>
      </c>
      <c r="AB20" s="2">
        <v>300</v>
      </c>
      <c r="AJ20"/>
      <c r="AK20"/>
      <c r="AL20"/>
      <c r="AM20"/>
      <c r="AN20"/>
      <c r="AO20"/>
      <c r="AP20"/>
      <c r="AQ20"/>
      <c r="AR20"/>
      <c r="AS20"/>
      <c r="AT20"/>
      <c r="AU20"/>
      <c r="AV20"/>
      <c r="AW20"/>
      <c r="AX20"/>
      <c r="AY20"/>
      <c r="AZ20"/>
      <c r="BA20"/>
      <c r="BB20"/>
      <c r="BC20"/>
      <c r="BD20"/>
      <c r="BE20"/>
      <c r="BF20"/>
      <c r="BG20"/>
      <c r="BH20"/>
      <c r="BK20"/>
      <c r="BL20" s="2">
        <v>450</v>
      </c>
      <c r="BM20" s="2">
        <v>450</v>
      </c>
      <c r="BN20"/>
      <c r="BO20"/>
      <c r="BP20"/>
      <c r="BQ20"/>
      <c r="BR20"/>
      <c r="BS20"/>
      <c r="BT20"/>
      <c r="BU20"/>
      <c r="BV20"/>
      <c r="BW20"/>
      <c r="BX20"/>
      <c r="BY20"/>
      <c r="BZ20"/>
      <c r="CD20" s="2">
        <v>100</v>
      </c>
      <c r="CE20" s="2">
        <v>1800</v>
      </c>
      <c r="CF20" s="2">
        <v>50</v>
      </c>
      <c r="DG20" s="2">
        <v>270</v>
      </c>
      <c r="DI20" s="2">
        <v>130</v>
      </c>
      <c r="DJ20" s="2">
        <v>270</v>
      </c>
      <c r="DM20" s="2">
        <v>740</v>
      </c>
      <c r="DS20" s="2">
        <v>50</v>
      </c>
      <c r="DT20" s="2">
        <v>50</v>
      </c>
      <c r="DY20" s="2">
        <v>600</v>
      </c>
      <c r="DZ20" s="2">
        <v>150</v>
      </c>
      <c r="EA20" s="2">
        <v>240</v>
      </c>
      <c r="EO20" s="2">
        <v>425</v>
      </c>
      <c r="FA20" s="2">
        <v>940</v>
      </c>
      <c r="FB20" s="2">
        <v>520</v>
      </c>
      <c r="FC20" s="2">
        <v>940</v>
      </c>
      <c r="GC20" s="2">
        <v>1150</v>
      </c>
      <c r="GV20" s="2">
        <v>690</v>
      </c>
      <c r="GY20" s="2">
        <v>1180</v>
      </c>
      <c r="GZ20" s="2">
        <v>345</v>
      </c>
      <c r="HA20" s="2">
        <v>350</v>
      </c>
      <c r="HB20" s="2">
        <v>1180</v>
      </c>
      <c r="HG20" s="2">
        <v>500</v>
      </c>
      <c r="HY20" s="29">
        <v>15735</v>
      </c>
      <c r="HZ20" s="6">
        <v>601.62880910534932</v>
      </c>
      <c r="IA20" s="27"/>
      <c r="IB20" s="27"/>
      <c r="II20" s="72" t="s">
        <v>150</v>
      </c>
      <c r="IO20" s="123"/>
      <c r="IP20" s="127"/>
      <c r="JE20" s="72" t="s">
        <v>150</v>
      </c>
      <c r="JF20" s="142">
        <v>395</v>
      </c>
      <c r="JG20" s="142">
        <v>1770</v>
      </c>
      <c r="JH20" s="142">
        <v>900</v>
      </c>
      <c r="JI20" s="142">
        <v>1950</v>
      </c>
      <c r="JJ20" s="142">
        <v>2260</v>
      </c>
      <c r="JK20" s="142">
        <v>3065</v>
      </c>
      <c r="JL20" s="142">
        <v>1150</v>
      </c>
      <c r="JM20" s="142">
        <v>4245</v>
      </c>
      <c r="JO20" s="6">
        <v>349.27735438051263</v>
      </c>
    </row>
    <row r="21" spans="1:275" ht="15" outlineLevel="1" thickBot="1">
      <c r="A21" t="s">
        <v>70</v>
      </c>
      <c r="B21" t="s">
        <v>25</v>
      </c>
      <c r="C21" s="74" t="s">
        <v>144</v>
      </c>
      <c r="D21" s="11"/>
      <c r="E21" s="2">
        <v>1750</v>
      </c>
      <c r="X21" s="2">
        <v>4400</v>
      </c>
      <c r="AJ21"/>
      <c r="AK21"/>
      <c r="AL21"/>
      <c r="AM21" s="167">
        <v>1650</v>
      </c>
      <c r="AN21"/>
      <c r="AO21"/>
      <c r="AP21"/>
      <c r="AQ21"/>
      <c r="AR21"/>
      <c r="AS21"/>
      <c r="AT21"/>
      <c r="AU21"/>
      <c r="AV21"/>
      <c r="AW21"/>
      <c r="AX21"/>
      <c r="AY21"/>
      <c r="AZ21"/>
      <c r="BA21"/>
      <c r="BB21"/>
      <c r="BC21"/>
      <c r="BD21"/>
      <c r="BE21"/>
      <c r="BF21"/>
      <c r="BG21"/>
      <c r="BH21"/>
      <c r="BK21"/>
      <c r="BL21"/>
      <c r="BM21"/>
      <c r="BN21"/>
      <c r="BO21"/>
      <c r="BP21"/>
      <c r="BQ21" s="167">
        <v>1700</v>
      </c>
      <c r="BR21"/>
      <c r="BS21"/>
      <c r="BT21"/>
      <c r="BU21"/>
      <c r="BV21"/>
      <c r="BW21"/>
      <c r="BX21"/>
      <c r="BY21"/>
      <c r="BZ21" s="167">
        <v>700</v>
      </c>
      <c r="CI21" s="167">
        <v>325</v>
      </c>
      <c r="CJ21" s="2">
        <v>7320</v>
      </c>
      <c r="CN21" s="202">
        <v>425</v>
      </c>
      <c r="CP21" s="202">
        <v>365</v>
      </c>
      <c r="EL21" s="2">
        <v>2780</v>
      </c>
      <c r="FI21" s="2">
        <v>1350</v>
      </c>
      <c r="GF21" s="2">
        <v>1650</v>
      </c>
      <c r="HX21" s="179"/>
      <c r="HY21" s="29">
        <v>24415</v>
      </c>
      <c r="HZ21" s="6">
        <v>933.5092071374072</v>
      </c>
      <c r="IA21" s="27"/>
      <c r="IB21" s="27"/>
      <c r="II21" s="74" t="s">
        <v>144</v>
      </c>
      <c r="IP21" s="139" t="s">
        <v>230</v>
      </c>
      <c r="IQ21" s="9" t="s">
        <v>247</v>
      </c>
      <c r="JE21" s="74" t="s">
        <v>144</v>
      </c>
      <c r="JF21" s="142">
        <v>1750</v>
      </c>
      <c r="JG21" s="142">
        <v>6050</v>
      </c>
      <c r="JH21" s="142">
        <v>1700</v>
      </c>
      <c r="JI21" s="142">
        <v>9135</v>
      </c>
      <c r="JJ21" s="142">
        <v>0</v>
      </c>
      <c r="JK21" s="142">
        <v>2780</v>
      </c>
      <c r="JL21" s="142">
        <v>3000</v>
      </c>
      <c r="JM21" s="142">
        <v>0</v>
      </c>
      <c r="JO21" s="6">
        <v>126.17572736241834</v>
      </c>
    </row>
    <row r="22" spans="1:275" outlineLevel="1">
      <c r="A22" t="s">
        <v>70</v>
      </c>
      <c r="B22" t="s">
        <v>24</v>
      </c>
      <c r="C22" s="72" t="s">
        <v>145</v>
      </c>
      <c r="D22" s="11"/>
      <c r="T22" s="2">
        <v>50</v>
      </c>
      <c r="Y22" s="2">
        <v>150</v>
      </c>
      <c r="AE22" s="2">
        <v>300</v>
      </c>
      <c r="AH22" s="2">
        <v>110</v>
      </c>
      <c r="AM22"/>
      <c r="AP22" s="2">
        <v>120</v>
      </c>
      <c r="AV22"/>
      <c r="AW22"/>
      <c r="AX22"/>
      <c r="BI22" s="2">
        <v>200</v>
      </c>
      <c r="BZ22" s="2">
        <v>380</v>
      </c>
      <c r="CG22" s="2">
        <v>120</v>
      </c>
      <c r="CI22" s="191">
        <v>2800</v>
      </c>
      <c r="DW22" s="213">
        <v>300</v>
      </c>
      <c r="EW22" s="2">
        <v>150</v>
      </c>
      <c r="FK22" s="2">
        <v>685</v>
      </c>
      <c r="HE22" s="2">
        <v>1885</v>
      </c>
      <c r="HF22" s="2">
        <v>570</v>
      </c>
      <c r="HG22" s="2">
        <v>200</v>
      </c>
      <c r="HY22" s="29">
        <v>8020</v>
      </c>
      <c r="HZ22" s="6">
        <v>306.64525255957426</v>
      </c>
      <c r="IA22" s="27"/>
      <c r="IB22" s="27"/>
      <c r="II22" s="72" t="s">
        <v>145</v>
      </c>
      <c r="IK22" s="6"/>
      <c r="IL22" s="4"/>
      <c r="IN22" s="117" t="s">
        <v>224</v>
      </c>
      <c r="IQ22" s="145">
        <v>14460.562897227672</v>
      </c>
      <c r="IR22" s="4">
        <v>580</v>
      </c>
      <c r="IS22" s="2">
        <v>202003</v>
      </c>
      <c r="JE22" s="72" t="s">
        <v>145</v>
      </c>
      <c r="JF22" s="142">
        <v>0</v>
      </c>
      <c r="JG22" s="142">
        <v>610</v>
      </c>
      <c r="JH22" s="142">
        <v>320</v>
      </c>
      <c r="JI22" s="142">
        <v>3300</v>
      </c>
      <c r="JJ22" s="142">
        <v>300</v>
      </c>
      <c r="JK22" s="142">
        <v>150</v>
      </c>
      <c r="JL22" s="142">
        <v>685</v>
      </c>
      <c r="JM22" s="142">
        <v>2655</v>
      </c>
      <c r="JO22" s="6">
        <v>0</v>
      </c>
    </row>
    <row r="23" spans="1:275" outlineLevel="1">
      <c r="A23" t="s">
        <v>70</v>
      </c>
      <c r="B23" t="s">
        <v>24</v>
      </c>
      <c r="C23" s="73" t="s">
        <v>206</v>
      </c>
      <c r="D23" s="11"/>
      <c r="L23" s="2">
        <v>650</v>
      </c>
      <c r="M23" s="2">
        <v>600</v>
      </c>
      <c r="V23" s="2">
        <v>800</v>
      </c>
      <c r="AA23" s="2">
        <v>200</v>
      </c>
      <c r="AG23" s="2">
        <v>270</v>
      </c>
      <c r="AJ23"/>
      <c r="AK23"/>
      <c r="AL23"/>
      <c r="AN23"/>
      <c r="AO23"/>
      <c r="AP23"/>
      <c r="AQ23"/>
      <c r="AR23"/>
      <c r="AS23"/>
      <c r="AT23"/>
      <c r="AU23"/>
      <c r="AV23"/>
      <c r="AW23"/>
      <c r="AX23"/>
      <c r="AY23"/>
      <c r="AZ23"/>
      <c r="BA23"/>
      <c r="BB23"/>
      <c r="BC23"/>
      <c r="BD23"/>
      <c r="BE23"/>
      <c r="BF23"/>
      <c r="BG23"/>
      <c r="BH23"/>
      <c r="BJ23" s="2">
        <v>150</v>
      </c>
      <c r="BK23"/>
      <c r="BL23"/>
      <c r="BM23"/>
      <c r="BN23"/>
      <c r="BO23"/>
      <c r="BP23"/>
      <c r="BQ23"/>
      <c r="BR23"/>
      <c r="BS23"/>
      <c r="BT23"/>
      <c r="BU23"/>
      <c r="BV23"/>
      <c r="BW23"/>
      <c r="BX23"/>
      <c r="BY23"/>
      <c r="BZ23"/>
      <c r="ET23" s="2">
        <v>300</v>
      </c>
      <c r="EW23" s="2">
        <v>700</v>
      </c>
      <c r="FE23" s="2">
        <v>1800</v>
      </c>
      <c r="HF23" s="2">
        <v>500</v>
      </c>
      <c r="HX23" s="179"/>
      <c r="HY23" s="29">
        <v>5970</v>
      </c>
      <c r="HZ23" s="6">
        <v>228.26336131928409</v>
      </c>
      <c r="IA23" s="27"/>
      <c r="IB23" s="27"/>
      <c r="II23" s="73" t="s">
        <v>206</v>
      </c>
      <c r="IK23" s="6"/>
      <c r="IL23" s="4"/>
      <c r="IN23" s="2" t="s">
        <v>61</v>
      </c>
      <c r="IQ23" s="111">
        <v>-11421.934777295352</v>
      </c>
      <c r="IR23" s="4">
        <v>580</v>
      </c>
      <c r="IS23" s="2">
        <v>202003</v>
      </c>
      <c r="JE23" s="73" t="s">
        <v>206</v>
      </c>
      <c r="JF23" s="142">
        <v>0</v>
      </c>
      <c r="JG23" s="142">
        <v>2520</v>
      </c>
      <c r="JH23" s="142">
        <v>150</v>
      </c>
      <c r="JI23" s="142">
        <v>0</v>
      </c>
      <c r="JJ23" s="142">
        <v>0</v>
      </c>
      <c r="JK23" s="142">
        <v>2800</v>
      </c>
      <c r="JL23" s="142">
        <v>0</v>
      </c>
      <c r="JM23" s="142">
        <v>500</v>
      </c>
      <c r="JO23" s="6">
        <v>0</v>
      </c>
    </row>
    <row r="24" spans="1:275" ht="15" outlineLevel="1" thickBot="1">
      <c r="A24" t="s">
        <v>70</v>
      </c>
      <c r="B24" t="s">
        <v>24</v>
      </c>
      <c r="C24" s="74" t="s">
        <v>136</v>
      </c>
      <c r="D24" s="11"/>
      <c r="E24" s="27"/>
      <c r="F24" s="27"/>
      <c r="L24" s="27"/>
      <c r="M24" s="27"/>
      <c r="O24" s="27"/>
      <c r="P24" s="27"/>
      <c r="Q24" s="27"/>
      <c r="R24" s="2">
        <v>250</v>
      </c>
      <c r="S24" s="27"/>
      <c r="T24" s="27"/>
      <c r="U24" s="27">
        <v>50</v>
      </c>
      <c r="V24" s="27"/>
      <c r="W24" s="27"/>
      <c r="Y24" s="27"/>
      <c r="Z24" s="27"/>
      <c r="AA24" s="27"/>
      <c r="AB24" s="27"/>
      <c r="AC24" s="27"/>
      <c r="AD24" s="27"/>
      <c r="AE24" s="27"/>
      <c r="AF24" s="27"/>
      <c r="AG24" s="27"/>
      <c r="AH24" s="27"/>
      <c r="AI24" s="27"/>
      <c r="AJ24" s="27"/>
      <c r="AK24" s="27"/>
      <c r="AL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v>600</v>
      </c>
      <c r="DF24" s="27"/>
      <c r="DG24" s="27"/>
      <c r="DH24" s="27"/>
      <c r="DI24" s="27"/>
      <c r="DJ24" s="27"/>
      <c r="DK24" s="27"/>
      <c r="DL24" s="27"/>
      <c r="DM24" s="27"/>
      <c r="DN24" s="27">
        <v>650</v>
      </c>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v>2500</v>
      </c>
      <c r="EU24" s="27"/>
      <c r="EV24" s="27"/>
      <c r="EW24" s="27"/>
      <c r="EX24" s="27"/>
      <c r="EY24" s="27"/>
      <c r="EZ24" s="27"/>
      <c r="FA24" s="27"/>
      <c r="FB24" s="27"/>
      <c r="FC24" s="27"/>
      <c r="FD24" s="27"/>
      <c r="FE24" s="27"/>
      <c r="FF24" s="27"/>
      <c r="FG24" s="27"/>
      <c r="FH24" s="27"/>
      <c r="FI24" s="27"/>
      <c r="FJ24" s="27"/>
      <c r="FK24" s="27"/>
      <c r="FL24" s="27"/>
      <c r="FM24" s="27">
        <v>990</v>
      </c>
      <c r="FN24" s="27"/>
      <c r="FO24" s="27">
        <v>600</v>
      </c>
      <c r="FP24" s="27"/>
      <c r="FQ24" s="27"/>
      <c r="FR24" s="27"/>
      <c r="FS24" s="27"/>
      <c r="FT24" s="27"/>
      <c r="FU24" s="27"/>
      <c r="FV24" s="27"/>
      <c r="FW24" s="27"/>
      <c r="FX24" s="27"/>
      <c r="FY24" s="27"/>
      <c r="FZ24" s="27">
        <v>500</v>
      </c>
      <c r="GA24" s="27"/>
      <c r="GB24" s="27"/>
      <c r="GC24" s="27"/>
      <c r="GD24" s="27"/>
      <c r="GE24" s="27"/>
      <c r="GF24" s="27"/>
      <c r="GG24" s="27"/>
      <c r="GH24" s="27"/>
      <c r="GI24" s="27"/>
      <c r="GJ24" s="27"/>
      <c r="GK24" s="27"/>
      <c r="GL24" s="27"/>
      <c r="GM24" s="27"/>
      <c r="GN24" s="27">
        <v>2500</v>
      </c>
      <c r="GO24" s="27"/>
      <c r="GP24" s="27"/>
      <c r="GQ24" s="27"/>
      <c r="GR24" s="27"/>
      <c r="GS24" s="27"/>
      <c r="GT24" s="27"/>
      <c r="GU24" s="27"/>
      <c r="GV24" s="27">
        <v>500</v>
      </c>
      <c r="GW24" s="27"/>
      <c r="GX24" s="27"/>
      <c r="GY24" s="27"/>
      <c r="GZ24" s="27"/>
      <c r="HA24" s="27"/>
      <c r="HB24" s="27">
        <v>160</v>
      </c>
      <c r="HD24" s="27"/>
      <c r="HE24" s="27"/>
      <c r="HF24" s="27">
        <v>182</v>
      </c>
      <c r="HG24" s="27">
        <v>400</v>
      </c>
      <c r="HH24" s="27"/>
      <c r="HI24" s="27"/>
      <c r="HJ24" s="27"/>
      <c r="HK24" s="27"/>
      <c r="HL24" s="27"/>
      <c r="HM24" s="27"/>
      <c r="HN24" s="27"/>
      <c r="HO24" s="27"/>
      <c r="HP24" s="27"/>
      <c r="HQ24" s="27"/>
      <c r="HR24" s="27"/>
      <c r="HS24" s="27"/>
      <c r="HT24" s="27"/>
      <c r="HU24" s="27"/>
      <c r="HV24" s="27"/>
      <c r="HW24" s="193"/>
      <c r="HX24" s="55"/>
      <c r="HY24" s="29">
        <v>9882</v>
      </c>
      <c r="HZ24" s="6">
        <v>377.83895084709638</v>
      </c>
      <c r="IA24" s="27"/>
      <c r="IB24" s="27"/>
      <c r="II24" s="74" t="s">
        <v>136</v>
      </c>
      <c r="IK24" s="6"/>
      <c r="IL24" s="4"/>
      <c r="IN24" s="2" t="s">
        <v>145</v>
      </c>
      <c r="IQ24" s="111">
        <v>-306.64525255957426</v>
      </c>
      <c r="IR24" s="4">
        <v>890</v>
      </c>
      <c r="IS24" s="2">
        <v>202003</v>
      </c>
      <c r="JE24" s="74" t="s">
        <v>136</v>
      </c>
      <c r="JF24" s="142">
        <v>0</v>
      </c>
      <c r="JG24" s="142">
        <v>300</v>
      </c>
      <c r="JH24" s="142">
        <v>0</v>
      </c>
      <c r="JI24" s="142">
        <v>0</v>
      </c>
      <c r="JJ24" s="142">
        <v>1250</v>
      </c>
      <c r="JK24" s="142">
        <v>2500</v>
      </c>
      <c r="JL24" s="142">
        <v>2090</v>
      </c>
      <c r="JM24" s="142">
        <v>3742</v>
      </c>
    </row>
    <row r="25" spans="1:275" outlineLevel="1">
      <c r="D25" s="2"/>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193"/>
      <c r="HX25" s="55"/>
      <c r="HY25" s="29">
        <v>0</v>
      </c>
      <c r="HZ25" s="6">
        <v>0</v>
      </c>
      <c r="IA25" s="27"/>
      <c r="II25">
        <v>0</v>
      </c>
      <c r="IK25" s="6"/>
      <c r="IL25" s="4"/>
      <c r="IN25" s="2" t="s">
        <v>137</v>
      </c>
      <c r="IQ25" s="111">
        <v>-228.26336131928409</v>
      </c>
      <c r="IR25" s="4">
        <v>140</v>
      </c>
      <c r="IS25" s="2">
        <v>202003</v>
      </c>
      <c r="JE25">
        <v>0</v>
      </c>
    </row>
    <row r="26" spans="1:275" outlineLevel="1">
      <c r="C26" s="9" t="s">
        <v>14</v>
      </c>
      <c r="E26" s="29">
        <v>1950</v>
      </c>
      <c r="F26" s="29">
        <v>2141</v>
      </c>
      <c r="G26" s="29">
        <v>891</v>
      </c>
      <c r="H26" s="29">
        <v>806</v>
      </c>
      <c r="I26" s="29">
        <v>776</v>
      </c>
      <c r="J26" s="29">
        <v>931</v>
      </c>
      <c r="K26" s="29">
        <v>1286</v>
      </c>
      <c r="L26" s="29">
        <v>1646</v>
      </c>
      <c r="M26" s="29">
        <v>1403</v>
      </c>
      <c r="N26" s="29">
        <v>806</v>
      </c>
      <c r="O26" s="29">
        <v>716</v>
      </c>
      <c r="P26" s="29">
        <v>1379</v>
      </c>
      <c r="Q26" s="29">
        <v>2991</v>
      </c>
      <c r="R26" s="29">
        <v>1065</v>
      </c>
      <c r="S26" s="29">
        <v>1531</v>
      </c>
      <c r="T26" s="29">
        <v>1151</v>
      </c>
      <c r="U26" s="29">
        <v>1336</v>
      </c>
      <c r="V26" s="29">
        <v>1431</v>
      </c>
      <c r="W26" s="29">
        <v>425</v>
      </c>
      <c r="X26" s="29">
        <v>5645</v>
      </c>
      <c r="Y26" s="29">
        <v>1295</v>
      </c>
      <c r="Z26" s="29">
        <v>780</v>
      </c>
      <c r="AA26" s="29">
        <v>1725</v>
      </c>
      <c r="AB26" s="29">
        <v>2390</v>
      </c>
      <c r="AC26" s="29">
        <v>735</v>
      </c>
      <c r="AD26" s="29">
        <v>1415</v>
      </c>
      <c r="AE26" s="29">
        <v>1130</v>
      </c>
      <c r="AF26" s="29">
        <v>2165</v>
      </c>
      <c r="AG26" s="29">
        <v>1405</v>
      </c>
      <c r="AH26" s="29">
        <v>1265</v>
      </c>
      <c r="AI26" s="29">
        <v>840</v>
      </c>
      <c r="AJ26" s="29">
        <v>1280</v>
      </c>
      <c r="AK26" s="29">
        <v>1120</v>
      </c>
      <c r="AL26" s="29">
        <v>1230</v>
      </c>
      <c r="AM26" s="29">
        <v>3110</v>
      </c>
      <c r="AN26" s="29">
        <v>780</v>
      </c>
      <c r="AO26" s="29">
        <v>1275</v>
      </c>
      <c r="AP26" s="29">
        <v>710</v>
      </c>
      <c r="AQ26" s="29">
        <v>1600</v>
      </c>
      <c r="AR26" s="29">
        <v>830</v>
      </c>
      <c r="AS26" s="29">
        <v>1417</v>
      </c>
      <c r="AT26" s="29">
        <v>1120</v>
      </c>
      <c r="AU26" s="29">
        <v>1390</v>
      </c>
      <c r="AV26" s="29">
        <v>1230</v>
      </c>
      <c r="AW26" s="29">
        <v>882.5</v>
      </c>
      <c r="AX26" s="29">
        <v>1132.5</v>
      </c>
      <c r="AY26" s="29">
        <v>997.5</v>
      </c>
      <c r="AZ26" s="29">
        <v>992.5</v>
      </c>
      <c r="BA26" s="29">
        <v>777.5</v>
      </c>
      <c r="BB26" s="29">
        <v>1092.5</v>
      </c>
      <c r="BC26" s="29">
        <v>877.5</v>
      </c>
      <c r="BD26" s="29">
        <v>802.5</v>
      </c>
      <c r="BE26" s="29">
        <v>1052.5</v>
      </c>
      <c r="BF26" s="29">
        <v>917.5</v>
      </c>
      <c r="BG26" s="29">
        <v>515.5</v>
      </c>
      <c r="BH26" s="29">
        <v>1157.5</v>
      </c>
      <c r="BI26" s="29">
        <v>932.5</v>
      </c>
      <c r="BJ26" s="29">
        <v>1437.5</v>
      </c>
      <c r="BK26" s="29">
        <v>1007.5</v>
      </c>
      <c r="BL26" s="29">
        <v>1377.5</v>
      </c>
      <c r="BM26" s="29">
        <v>1121.33</v>
      </c>
      <c r="BN26" s="29">
        <v>2300.33</v>
      </c>
      <c r="BO26" s="29">
        <v>1118.33</v>
      </c>
      <c r="BP26" s="29">
        <v>1508.33</v>
      </c>
      <c r="BQ26" s="29">
        <v>3320.33</v>
      </c>
      <c r="BR26" s="29">
        <v>933.33</v>
      </c>
      <c r="BS26" s="29">
        <v>883.33</v>
      </c>
      <c r="BT26" s="29">
        <v>1183.33</v>
      </c>
      <c r="BU26" s="29">
        <v>878.33</v>
      </c>
      <c r="BV26" s="29">
        <v>793.33</v>
      </c>
      <c r="BW26" s="29">
        <v>803.33</v>
      </c>
      <c r="BX26" s="29">
        <v>903.33</v>
      </c>
      <c r="BY26" s="29">
        <v>713.33</v>
      </c>
      <c r="BZ26" s="29">
        <v>2063.33</v>
      </c>
      <c r="CA26" s="29">
        <v>1458.33</v>
      </c>
      <c r="CB26" s="29">
        <v>1076.6667</v>
      </c>
      <c r="CC26" s="29">
        <v>761.66669999999999</v>
      </c>
      <c r="CD26" s="29">
        <v>1956.6667</v>
      </c>
      <c r="CE26" s="29">
        <v>3671.6666999999998</v>
      </c>
      <c r="CF26" s="29">
        <v>1351.6667</v>
      </c>
      <c r="CG26" s="29">
        <v>1381.6667</v>
      </c>
      <c r="CH26" s="29">
        <v>1136.6667</v>
      </c>
      <c r="CI26" s="29">
        <v>3741.6666999999998</v>
      </c>
      <c r="CJ26" s="29">
        <v>8271.6666999999998</v>
      </c>
      <c r="CK26" s="29">
        <v>911.66669999999999</v>
      </c>
      <c r="CL26" s="29">
        <v>1171.6667</v>
      </c>
      <c r="CM26" s="29">
        <v>1226.6667</v>
      </c>
      <c r="CN26" s="29">
        <v>1651.6667</v>
      </c>
      <c r="CO26" s="29">
        <v>1411.6667</v>
      </c>
      <c r="CP26" s="29">
        <v>1382.5</v>
      </c>
      <c r="CQ26" s="29">
        <v>1392.5</v>
      </c>
      <c r="CR26" s="29">
        <v>1337.5</v>
      </c>
      <c r="CS26" s="29">
        <v>892.5</v>
      </c>
      <c r="CT26" s="29">
        <v>987.5</v>
      </c>
      <c r="CU26" s="29">
        <v>1857.5</v>
      </c>
      <c r="CV26" s="29">
        <v>877.5</v>
      </c>
      <c r="CW26" s="29">
        <v>1312.5</v>
      </c>
      <c r="CX26" s="29">
        <v>772.5</v>
      </c>
      <c r="CY26" s="29">
        <v>1732.5</v>
      </c>
      <c r="CZ26" s="29">
        <v>1392.5</v>
      </c>
      <c r="DA26" s="29">
        <v>1527.5</v>
      </c>
      <c r="DB26" s="29">
        <v>1467.5</v>
      </c>
      <c r="DC26" s="29">
        <v>1222.5</v>
      </c>
      <c r="DD26" s="29">
        <v>1102.5</v>
      </c>
      <c r="DE26" s="29">
        <v>1922.5</v>
      </c>
      <c r="DF26" s="29">
        <v>711.66669999999999</v>
      </c>
      <c r="DG26" s="29">
        <v>1655.6667</v>
      </c>
      <c r="DH26" s="29">
        <v>1470.6667</v>
      </c>
      <c r="DI26" s="29">
        <v>1875.6667</v>
      </c>
      <c r="DJ26" s="29">
        <v>1161.6667</v>
      </c>
      <c r="DK26" s="29">
        <v>946.66669999999999</v>
      </c>
      <c r="DL26" s="29">
        <v>996.66669999999999</v>
      </c>
      <c r="DM26" s="29">
        <v>2816.6666999999998</v>
      </c>
      <c r="DN26" s="29">
        <v>1581.6667</v>
      </c>
      <c r="DO26" s="29">
        <v>1136.6667</v>
      </c>
      <c r="DP26" s="29">
        <v>1306.6667</v>
      </c>
      <c r="DQ26" s="29">
        <v>1081.6667</v>
      </c>
      <c r="DR26" s="29">
        <v>916.66669999999999</v>
      </c>
      <c r="DS26" s="29">
        <v>5856.6666999999998</v>
      </c>
      <c r="DT26" s="29">
        <v>1281.6667</v>
      </c>
      <c r="DU26" s="29">
        <v>676.66669999999999</v>
      </c>
      <c r="DV26" s="29">
        <v>1346.6667</v>
      </c>
      <c r="DW26" s="29">
        <v>1281.6667</v>
      </c>
      <c r="DX26" s="29">
        <v>926.66669999999999</v>
      </c>
      <c r="DY26" s="29">
        <v>2666.6666999999998</v>
      </c>
      <c r="DZ26" s="29">
        <v>1586.6667</v>
      </c>
      <c r="EA26" s="29">
        <v>1096.6667</v>
      </c>
      <c r="EB26" s="29">
        <v>1248.6667</v>
      </c>
      <c r="EC26" s="29">
        <v>1081.6667</v>
      </c>
      <c r="ED26" s="29">
        <v>1031.6667</v>
      </c>
      <c r="EE26" s="29">
        <v>1106.6667</v>
      </c>
      <c r="EF26" s="29">
        <v>1621.6667</v>
      </c>
      <c r="EG26" s="29">
        <v>991.66669999999999</v>
      </c>
      <c r="EH26" s="29">
        <v>746.66669999999999</v>
      </c>
      <c r="EI26" s="29">
        <v>869.66669999999999</v>
      </c>
      <c r="EJ26" s="29">
        <v>941.61290000000008</v>
      </c>
      <c r="EK26" s="29">
        <v>997.61290000000008</v>
      </c>
      <c r="EL26" s="29">
        <v>4571.6129000000001</v>
      </c>
      <c r="EM26" s="29">
        <v>1701.6129000000001</v>
      </c>
      <c r="EN26" s="29">
        <v>2796.6129000000001</v>
      </c>
      <c r="EO26" s="29">
        <v>1216.6129000000001</v>
      </c>
      <c r="EP26" s="29">
        <v>1131.6129000000001</v>
      </c>
      <c r="EQ26" s="29">
        <v>2001.6129000000001</v>
      </c>
      <c r="ER26" s="29">
        <v>1236.6129000000001</v>
      </c>
      <c r="ES26" s="29">
        <v>1036.6129000000001</v>
      </c>
      <c r="ET26" s="29">
        <v>3746.6129000000001</v>
      </c>
      <c r="EU26" s="29">
        <v>1096.6129000000001</v>
      </c>
      <c r="EV26" s="29">
        <v>991.61290000000008</v>
      </c>
      <c r="EW26" s="29">
        <v>1791.6129000000001</v>
      </c>
      <c r="EX26" s="29">
        <v>950.61290000000008</v>
      </c>
      <c r="EY26" s="29">
        <v>1066.6129000000001</v>
      </c>
      <c r="EZ26" s="29">
        <v>936.61290000000008</v>
      </c>
      <c r="FA26" s="29">
        <v>3741.6129000000001</v>
      </c>
      <c r="FB26" s="29">
        <v>2851.6129000000001</v>
      </c>
      <c r="FC26" s="29">
        <v>2296.6129000000001</v>
      </c>
      <c r="FD26" s="29">
        <v>821.61290000000008</v>
      </c>
      <c r="FE26" s="29">
        <v>3216.6129000000001</v>
      </c>
      <c r="FF26" s="29">
        <v>881.61290000000008</v>
      </c>
      <c r="FG26" s="29">
        <v>1281.6129000000001</v>
      </c>
      <c r="FH26" s="29">
        <v>1501.6129000000001</v>
      </c>
      <c r="FI26" s="29">
        <v>2426.6129000000001</v>
      </c>
      <c r="FJ26" s="29">
        <v>771.61290000000008</v>
      </c>
      <c r="FK26" s="29">
        <v>1638.6129000000001</v>
      </c>
      <c r="FL26" s="29">
        <v>1382.6129000000001</v>
      </c>
      <c r="FM26" s="29">
        <v>3156.6129000000001</v>
      </c>
      <c r="FN26" s="29">
        <v>986.61290000000008</v>
      </c>
      <c r="FO26" s="29">
        <v>1444.0967700000001</v>
      </c>
      <c r="FP26" s="29">
        <v>992.09676999999999</v>
      </c>
      <c r="FQ26" s="29">
        <v>1307.0967700000001</v>
      </c>
      <c r="FR26" s="29">
        <v>827.09676999999999</v>
      </c>
      <c r="FS26" s="29">
        <v>1007.09677</v>
      </c>
      <c r="FT26" s="29">
        <v>965.09676999999999</v>
      </c>
      <c r="FU26" s="29">
        <v>1132.0967700000001</v>
      </c>
      <c r="FV26" s="29">
        <v>947.09676999999999</v>
      </c>
      <c r="FW26" s="29">
        <v>962.09676999999999</v>
      </c>
      <c r="FX26" s="29">
        <v>1137.0967700000001</v>
      </c>
      <c r="FY26" s="29">
        <v>706.09676999999999</v>
      </c>
      <c r="FZ26" s="29">
        <v>1452.0967700000001</v>
      </c>
      <c r="GA26" s="29">
        <v>902.09676999999999</v>
      </c>
      <c r="GB26" s="29">
        <v>702.09676999999999</v>
      </c>
      <c r="GC26" s="29">
        <v>3802.0967700000001</v>
      </c>
      <c r="GD26" s="29">
        <v>1213.0967700000001</v>
      </c>
      <c r="GE26" s="29">
        <v>922.09676999999999</v>
      </c>
      <c r="GF26" s="29">
        <v>2479.0967700000001</v>
      </c>
      <c r="GG26" s="29">
        <v>757.09676999999999</v>
      </c>
      <c r="GH26" s="29">
        <v>961.09676999999999</v>
      </c>
      <c r="GI26" s="29">
        <v>1371.0967700000001</v>
      </c>
      <c r="GJ26" s="29">
        <v>907.09676999999999</v>
      </c>
      <c r="GK26" s="29">
        <v>845.09676999999999</v>
      </c>
      <c r="GL26" s="29">
        <v>1327.0967700000001</v>
      </c>
      <c r="GM26" s="29">
        <v>842.09676999999999</v>
      </c>
      <c r="GN26" s="29">
        <v>3277.0967700000001</v>
      </c>
      <c r="GO26" s="29">
        <v>1052.0967700000001</v>
      </c>
      <c r="GP26" s="29">
        <v>942.09676999999999</v>
      </c>
      <c r="GQ26" s="29">
        <v>972.09676999999999</v>
      </c>
      <c r="GR26" s="29">
        <v>920.09676999999999</v>
      </c>
      <c r="GS26" s="29">
        <v>1027.0967700000001</v>
      </c>
      <c r="GT26" s="29">
        <v>1410</v>
      </c>
      <c r="GU26" s="29">
        <v>1270</v>
      </c>
      <c r="GV26" s="29">
        <v>1590</v>
      </c>
      <c r="GW26" s="29">
        <v>400</v>
      </c>
      <c r="GX26" s="29">
        <v>1320</v>
      </c>
      <c r="GY26" s="29">
        <v>3080</v>
      </c>
      <c r="GZ26" s="29">
        <v>2030</v>
      </c>
      <c r="HA26" s="29">
        <v>2510</v>
      </c>
      <c r="HB26" s="29">
        <v>2925</v>
      </c>
      <c r="HC26" s="29">
        <v>850</v>
      </c>
      <c r="HD26" s="29">
        <v>695</v>
      </c>
      <c r="HE26" s="29">
        <v>3280</v>
      </c>
      <c r="HF26" s="29">
        <v>3952</v>
      </c>
      <c r="HG26" s="29">
        <v>1680</v>
      </c>
      <c r="HH26" s="29">
        <v>0</v>
      </c>
      <c r="HI26" s="29">
        <v>0</v>
      </c>
      <c r="HJ26" s="29">
        <v>0</v>
      </c>
      <c r="HK26" s="29">
        <v>0</v>
      </c>
      <c r="HL26" s="29">
        <v>0</v>
      </c>
      <c r="HM26" s="29">
        <v>0</v>
      </c>
      <c r="HN26" s="29">
        <v>0</v>
      </c>
      <c r="HO26" s="29">
        <v>0</v>
      </c>
      <c r="HP26" s="29">
        <v>0</v>
      </c>
      <c r="HQ26" s="29">
        <v>0</v>
      </c>
      <c r="HR26" s="29">
        <v>0</v>
      </c>
      <c r="HS26" s="29">
        <v>0</v>
      </c>
      <c r="HT26" s="29">
        <v>0</v>
      </c>
      <c r="HU26" s="29">
        <v>0</v>
      </c>
      <c r="HV26" s="29">
        <v>0</v>
      </c>
      <c r="HW26" s="194">
        <v>0</v>
      </c>
      <c r="HX26" s="180">
        <v>0</v>
      </c>
      <c r="HY26" s="29">
        <v>312719.28457000043</v>
      </c>
      <c r="HZ26" s="6">
        <v>11956.843391174209</v>
      </c>
      <c r="IA26" s="27"/>
      <c r="II26" s="9" t="s">
        <v>14</v>
      </c>
      <c r="IK26" s="6"/>
      <c r="IL26" s="4"/>
      <c r="IN26" s="2" t="s">
        <v>273</v>
      </c>
      <c r="IQ26" s="112">
        <v>-2503.7195060534605</v>
      </c>
      <c r="IR26" s="4">
        <v>40</v>
      </c>
      <c r="IS26" s="2">
        <v>202004</v>
      </c>
      <c r="JE26" s="4" t="s">
        <v>94</v>
      </c>
      <c r="JF26" s="161">
        <v>5788</v>
      </c>
      <c r="JG26" s="161">
        <v>46403</v>
      </c>
      <c r="JH26" s="161">
        <v>35673.650000000009</v>
      </c>
      <c r="JI26" s="161">
        <v>48186.633800000011</v>
      </c>
      <c r="JJ26" s="161">
        <v>46612.000700000026</v>
      </c>
      <c r="JK26" s="161">
        <v>50935.484100000001</v>
      </c>
      <c r="JL26" s="161">
        <v>40923.645039999996</v>
      </c>
      <c r="JM26" s="161">
        <v>38196.870930000005</v>
      </c>
    </row>
    <row r="27" spans="1:275">
      <c r="A27" s="44" t="s">
        <v>94</v>
      </c>
      <c r="E27" s="159"/>
      <c r="F27" s="159">
        <v>1800</v>
      </c>
      <c r="G27" s="159">
        <v>550</v>
      </c>
      <c r="H27" s="159">
        <v>465</v>
      </c>
      <c r="I27" s="159">
        <v>435</v>
      </c>
      <c r="J27" s="159">
        <v>590</v>
      </c>
      <c r="K27" s="159">
        <v>945</v>
      </c>
      <c r="L27" s="159">
        <v>1305</v>
      </c>
      <c r="M27" s="159">
        <v>1062</v>
      </c>
      <c r="N27" s="159">
        <v>465</v>
      </c>
      <c r="O27" s="159">
        <v>375</v>
      </c>
      <c r="P27" s="159">
        <v>1030</v>
      </c>
      <c r="Q27" s="159">
        <v>2650</v>
      </c>
      <c r="R27" s="159">
        <v>709</v>
      </c>
      <c r="S27" s="159">
        <v>1175</v>
      </c>
      <c r="T27" s="159">
        <v>795</v>
      </c>
      <c r="U27" s="159">
        <v>980</v>
      </c>
      <c r="V27" s="159">
        <v>1075</v>
      </c>
      <c r="W27" s="159">
        <v>425</v>
      </c>
      <c r="X27" s="159">
        <v>5645</v>
      </c>
      <c r="Y27" s="159">
        <v>1295</v>
      </c>
      <c r="Z27" s="159">
        <v>430</v>
      </c>
      <c r="AA27" s="159">
        <v>1375</v>
      </c>
      <c r="AB27" s="159">
        <v>2040</v>
      </c>
      <c r="AC27" s="159">
        <v>385</v>
      </c>
      <c r="AD27" s="159">
        <v>1065</v>
      </c>
      <c r="AE27" s="159">
        <v>780</v>
      </c>
      <c r="AF27" s="159">
        <v>1465</v>
      </c>
      <c r="AG27" s="159">
        <v>905</v>
      </c>
      <c r="AH27" s="159">
        <v>765</v>
      </c>
      <c r="AI27" s="159">
        <v>340</v>
      </c>
      <c r="AJ27" s="159">
        <v>780</v>
      </c>
      <c r="AK27" s="159">
        <v>620</v>
      </c>
      <c r="AL27" s="159">
        <v>730</v>
      </c>
      <c r="AM27" s="159">
        <v>2610</v>
      </c>
      <c r="AN27" s="159">
        <v>280</v>
      </c>
      <c r="AO27" s="159">
        <v>775</v>
      </c>
      <c r="AP27" s="159">
        <v>210</v>
      </c>
      <c r="AQ27" s="159">
        <v>1500</v>
      </c>
      <c r="AR27" s="159">
        <v>830</v>
      </c>
      <c r="AS27" s="159">
        <v>1267</v>
      </c>
      <c r="AT27" s="159">
        <v>1120</v>
      </c>
      <c r="AU27" s="159">
        <v>1390</v>
      </c>
      <c r="AV27" s="159">
        <v>1230</v>
      </c>
      <c r="AW27" s="159">
        <v>445</v>
      </c>
      <c r="AX27" s="159">
        <v>695</v>
      </c>
      <c r="AY27" s="159">
        <v>560</v>
      </c>
      <c r="AZ27" s="159">
        <v>555</v>
      </c>
      <c r="BA27" s="159">
        <v>340</v>
      </c>
      <c r="BB27" s="159">
        <v>655</v>
      </c>
      <c r="BC27" s="159">
        <v>440</v>
      </c>
      <c r="BD27" s="159">
        <v>365</v>
      </c>
      <c r="BE27" s="159">
        <v>615</v>
      </c>
      <c r="BF27" s="159">
        <v>480</v>
      </c>
      <c r="BG27" s="159">
        <v>78</v>
      </c>
      <c r="BH27" s="159">
        <v>720</v>
      </c>
      <c r="BI27" s="159">
        <v>495</v>
      </c>
      <c r="BJ27" s="159">
        <v>1000</v>
      </c>
      <c r="BK27" s="159">
        <v>570</v>
      </c>
      <c r="BL27" s="159">
        <v>940</v>
      </c>
      <c r="BM27" s="159">
        <v>587.99999999999989</v>
      </c>
      <c r="BN27" s="159">
        <v>1767</v>
      </c>
      <c r="BO27" s="159">
        <v>584.99999999999989</v>
      </c>
      <c r="BP27" s="159">
        <v>974.99999999999989</v>
      </c>
      <c r="BQ27" s="159">
        <v>2787</v>
      </c>
      <c r="BR27" s="159">
        <v>400</v>
      </c>
      <c r="BS27" s="159">
        <v>350</v>
      </c>
      <c r="BT27" s="159">
        <v>649.99999999999989</v>
      </c>
      <c r="BU27" s="159">
        <v>345</v>
      </c>
      <c r="BV27" s="159">
        <v>260</v>
      </c>
      <c r="BW27" s="159">
        <v>270</v>
      </c>
      <c r="BX27" s="159">
        <v>370</v>
      </c>
      <c r="BY27" s="159">
        <v>180</v>
      </c>
      <c r="BZ27" s="159">
        <v>1530</v>
      </c>
      <c r="CA27" s="159">
        <v>924.99999999999989</v>
      </c>
      <c r="CB27" s="159">
        <v>610</v>
      </c>
      <c r="CC27" s="159">
        <v>295</v>
      </c>
      <c r="CD27" s="159">
        <v>1490</v>
      </c>
      <c r="CE27" s="159">
        <v>3205</v>
      </c>
      <c r="CF27" s="159">
        <v>885</v>
      </c>
      <c r="CG27" s="159">
        <v>915</v>
      </c>
      <c r="CH27" s="159">
        <v>670</v>
      </c>
      <c r="CI27" s="159">
        <v>3275</v>
      </c>
      <c r="CJ27" s="159">
        <v>7805</v>
      </c>
      <c r="CK27" s="159">
        <v>445</v>
      </c>
      <c r="CL27" s="159">
        <v>705</v>
      </c>
      <c r="CM27" s="159">
        <v>760</v>
      </c>
      <c r="CN27" s="159">
        <v>1185</v>
      </c>
      <c r="CO27" s="159">
        <v>945</v>
      </c>
      <c r="CP27" s="159">
        <v>945</v>
      </c>
      <c r="CQ27" s="159">
        <v>955</v>
      </c>
      <c r="CR27" s="159">
        <v>900</v>
      </c>
      <c r="CS27" s="159">
        <v>455</v>
      </c>
      <c r="CT27" s="159">
        <v>550</v>
      </c>
      <c r="CU27" s="159">
        <v>1420</v>
      </c>
      <c r="CV27" s="159">
        <v>440</v>
      </c>
      <c r="CW27" s="159">
        <v>875</v>
      </c>
      <c r="CX27" s="159">
        <v>335</v>
      </c>
      <c r="CY27" s="159">
        <v>1295</v>
      </c>
      <c r="CZ27" s="159">
        <v>955</v>
      </c>
      <c r="DA27" s="159">
        <v>1090</v>
      </c>
      <c r="DB27" s="159">
        <v>1030</v>
      </c>
      <c r="DC27" s="159">
        <v>785</v>
      </c>
      <c r="DD27" s="159">
        <v>665</v>
      </c>
      <c r="DE27" s="159">
        <v>1485</v>
      </c>
      <c r="DF27" s="159">
        <v>245</v>
      </c>
      <c r="DG27" s="159">
        <v>1189</v>
      </c>
      <c r="DH27" s="159">
        <v>1004</v>
      </c>
      <c r="DI27" s="159">
        <v>1409</v>
      </c>
      <c r="DJ27" s="159">
        <v>695</v>
      </c>
      <c r="DK27" s="159">
        <v>480</v>
      </c>
      <c r="DL27" s="159">
        <v>530</v>
      </c>
      <c r="DM27" s="159">
        <v>2350</v>
      </c>
      <c r="DN27" s="159">
        <v>1115</v>
      </c>
      <c r="DO27" s="159">
        <v>670</v>
      </c>
      <c r="DP27" s="159">
        <v>840</v>
      </c>
      <c r="DQ27" s="159">
        <v>615</v>
      </c>
      <c r="DR27" s="159">
        <v>450</v>
      </c>
      <c r="DS27" s="159">
        <v>5390</v>
      </c>
      <c r="DT27" s="159">
        <v>815</v>
      </c>
      <c r="DU27" s="159">
        <v>210</v>
      </c>
      <c r="DV27" s="159">
        <v>880</v>
      </c>
      <c r="DW27" s="159">
        <v>815</v>
      </c>
      <c r="DX27" s="159">
        <v>460</v>
      </c>
      <c r="DY27" s="159">
        <v>2200</v>
      </c>
      <c r="DZ27" s="159">
        <v>1120</v>
      </c>
      <c r="EA27" s="159">
        <v>630</v>
      </c>
      <c r="EB27" s="159">
        <v>782</v>
      </c>
      <c r="EC27" s="159">
        <v>615</v>
      </c>
      <c r="ED27" s="159">
        <v>565</v>
      </c>
      <c r="EE27" s="159">
        <v>640</v>
      </c>
      <c r="EF27" s="159">
        <v>1155</v>
      </c>
      <c r="EG27" s="159">
        <v>525</v>
      </c>
      <c r="EH27" s="159">
        <v>280</v>
      </c>
      <c r="EI27" s="159">
        <v>403</v>
      </c>
      <c r="EJ27" s="159">
        <v>490.00000000000006</v>
      </c>
      <c r="EK27" s="159">
        <v>546</v>
      </c>
      <c r="EL27" s="159">
        <v>4120</v>
      </c>
      <c r="EM27" s="159">
        <v>1250</v>
      </c>
      <c r="EN27" s="159">
        <v>2345</v>
      </c>
      <c r="EO27" s="159">
        <v>765</v>
      </c>
      <c r="EP27" s="159">
        <v>680</v>
      </c>
      <c r="EQ27" s="159">
        <v>1550</v>
      </c>
      <c r="ER27" s="159">
        <v>785</v>
      </c>
      <c r="ES27" s="159">
        <v>585</v>
      </c>
      <c r="ET27" s="159">
        <v>3295</v>
      </c>
      <c r="EU27" s="159">
        <v>645</v>
      </c>
      <c r="EV27" s="159">
        <v>540</v>
      </c>
      <c r="EW27" s="159">
        <v>1340</v>
      </c>
      <c r="EX27" s="159">
        <v>499.00000000000006</v>
      </c>
      <c r="EY27" s="159">
        <v>615</v>
      </c>
      <c r="EZ27" s="159">
        <v>485.00000000000006</v>
      </c>
      <c r="FA27" s="159">
        <v>3290</v>
      </c>
      <c r="FB27" s="159">
        <v>2400</v>
      </c>
      <c r="FC27" s="159">
        <v>1845</v>
      </c>
      <c r="FD27" s="159">
        <v>370.00000000000006</v>
      </c>
      <c r="FE27" s="159">
        <v>2765</v>
      </c>
      <c r="FF27" s="159">
        <v>430.00000000000006</v>
      </c>
      <c r="FG27" s="159">
        <v>830</v>
      </c>
      <c r="FH27" s="159">
        <v>1050</v>
      </c>
      <c r="FI27" s="159">
        <v>1975</v>
      </c>
      <c r="FJ27" s="159">
        <v>320.00000000000006</v>
      </c>
      <c r="FK27" s="159">
        <v>1187</v>
      </c>
      <c r="FL27" s="159">
        <v>931</v>
      </c>
      <c r="FM27" s="159">
        <v>2705</v>
      </c>
      <c r="FN27" s="159">
        <v>599.51613000000009</v>
      </c>
      <c r="FO27" s="159">
        <v>1057</v>
      </c>
      <c r="FP27" s="159">
        <v>605</v>
      </c>
      <c r="FQ27" s="159">
        <v>920.00000000000011</v>
      </c>
      <c r="FR27" s="159">
        <v>440</v>
      </c>
      <c r="FS27" s="159">
        <v>620</v>
      </c>
      <c r="FT27" s="159">
        <v>578</v>
      </c>
      <c r="FU27" s="159">
        <v>745.00000000000011</v>
      </c>
      <c r="FV27" s="159">
        <v>560</v>
      </c>
      <c r="FW27" s="159">
        <v>575</v>
      </c>
      <c r="FX27" s="159">
        <v>750.00000000000011</v>
      </c>
      <c r="FY27" s="159">
        <v>319</v>
      </c>
      <c r="FZ27" s="159">
        <v>1065</v>
      </c>
      <c r="GA27" s="159">
        <v>515</v>
      </c>
      <c r="GB27" s="159">
        <v>315</v>
      </c>
      <c r="GC27" s="159">
        <v>3415</v>
      </c>
      <c r="GD27" s="159">
        <v>826.00000000000011</v>
      </c>
      <c r="GE27" s="159">
        <v>535</v>
      </c>
      <c r="GF27" s="159">
        <v>2092</v>
      </c>
      <c r="GG27" s="159">
        <v>370</v>
      </c>
      <c r="GH27" s="159">
        <v>574</v>
      </c>
      <c r="GI27" s="159">
        <v>984.00000000000011</v>
      </c>
      <c r="GJ27" s="159">
        <v>520</v>
      </c>
      <c r="GK27" s="159">
        <v>458</v>
      </c>
      <c r="GL27" s="159">
        <v>940.00000000000011</v>
      </c>
      <c r="GM27" s="159">
        <v>455</v>
      </c>
      <c r="GN27" s="159">
        <v>2890</v>
      </c>
      <c r="GO27" s="159">
        <v>665.00000000000011</v>
      </c>
      <c r="GP27" s="159">
        <v>555</v>
      </c>
      <c r="GQ27" s="159">
        <v>585</v>
      </c>
      <c r="GR27" s="159">
        <v>533</v>
      </c>
      <c r="GS27" s="159">
        <v>640.00000000000011</v>
      </c>
      <c r="GT27" s="159">
        <v>1010</v>
      </c>
      <c r="GU27" s="159">
        <v>870</v>
      </c>
      <c r="GV27" s="159">
        <v>1190</v>
      </c>
      <c r="GW27" s="159">
        <v>0</v>
      </c>
      <c r="GX27" s="159">
        <v>920</v>
      </c>
      <c r="GY27" s="159">
        <v>2680</v>
      </c>
      <c r="GZ27" s="159">
        <v>1630</v>
      </c>
      <c r="HA27" s="159">
        <v>2110</v>
      </c>
      <c r="HB27" s="159">
        <v>2525</v>
      </c>
      <c r="HC27" s="159">
        <v>450</v>
      </c>
      <c r="HD27" s="159">
        <v>295</v>
      </c>
      <c r="HE27" s="159">
        <v>2880</v>
      </c>
      <c r="HF27" s="159">
        <v>3552</v>
      </c>
      <c r="HG27" s="159">
        <v>1680</v>
      </c>
      <c r="HH27" s="159">
        <v>0</v>
      </c>
      <c r="HI27" s="159">
        <v>0</v>
      </c>
      <c r="HJ27" s="159">
        <v>0</v>
      </c>
      <c r="HK27" s="159">
        <v>0</v>
      </c>
      <c r="HL27" s="159">
        <v>0</v>
      </c>
      <c r="HM27" s="159">
        <v>0</v>
      </c>
      <c r="HN27" s="159">
        <v>0</v>
      </c>
      <c r="HO27" s="159">
        <v>0</v>
      </c>
      <c r="HP27" s="159">
        <v>0</v>
      </c>
      <c r="HQ27" s="159">
        <v>0</v>
      </c>
      <c r="HR27" s="159">
        <v>0</v>
      </c>
      <c r="HS27" s="159">
        <v>0</v>
      </c>
      <c r="HT27" s="159">
        <v>0</v>
      </c>
      <c r="HU27" s="159">
        <v>0</v>
      </c>
      <c r="HV27" s="159">
        <v>0</v>
      </c>
      <c r="HW27" s="195">
        <v>0</v>
      </c>
      <c r="HX27" s="181">
        <v>0</v>
      </c>
      <c r="HY27" s="29">
        <v>223170.51613</v>
      </c>
      <c r="HZ27" s="6">
        <v>8532.9400601663838</v>
      </c>
      <c r="IA27" s="27"/>
      <c r="II27">
        <v>0</v>
      </c>
      <c r="JE27">
        <v>0</v>
      </c>
      <c r="JF27" s="142">
        <v>221.30457877990224</v>
      </c>
      <c r="JG27" s="142">
        <v>1774.2219020600903</v>
      </c>
      <c r="JH27" s="142">
        <v>1363.9844655825261</v>
      </c>
      <c r="JI27" s="142">
        <v>1842.4192632913619</v>
      </c>
      <c r="JJ27" s="142">
        <v>1782.2130582242594</v>
      </c>
      <c r="JK27" s="142">
        <v>1947.5217439013318</v>
      </c>
      <c r="JL27" s="142">
        <v>1564.7183876495221</v>
      </c>
      <c r="JM27" s="142">
        <v>1460.459991685201</v>
      </c>
    </row>
    <row r="28" spans="1:275">
      <c r="A28" s="44"/>
      <c r="C28" s="9"/>
      <c r="E28" s="29">
        <v>305</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194"/>
      <c r="HX28" s="180"/>
      <c r="HY28" s="29"/>
      <c r="HZ28" s="6"/>
      <c r="IA28" s="27"/>
      <c r="II28" s="9">
        <v>0</v>
      </c>
      <c r="JE28" s="9">
        <v>0</v>
      </c>
      <c r="JG28" s="212">
        <v>57.232964582583556</v>
      </c>
      <c r="JH28" s="212">
        <v>45.466148852750869</v>
      </c>
      <c r="JI28" s="212">
        <v>59.432879461011673</v>
      </c>
      <c r="JJ28" s="212">
        <v>59.407101940808644</v>
      </c>
      <c r="JK28" s="212"/>
      <c r="JL28" s="212"/>
      <c r="JM28" s="212"/>
    </row>
    <row r="29" spans="1:275" outlineLevel="1">
      <c r="II29">
        <v>0</v>
      </c>
      <c r="JE29">
        <v>0</v>
      </c>
      <c r="JF29" s="118" t="s">
        <v>285</v>
      </c>
      <c r="JG29" s="118" t="s">
        <v>284</v>
      </c>
      <c r="JH29" s="118" t="s">
        <v>287</v>
      </c>
      <c r="JI29" s="118" t="s">
        <v>294</v>
      </c>
      <c r="JJ29" s="118" t="s">
        <v>312</v>
      </c>
      <c r="JK29" s="118" t="s">
        <v>320</v>
      </c>
      <c r="JL29" s="118" t="s">
        <v>516</v>
      </c>
      <c r="JM29" s="118" t="s">
        <v>517</v>
      </c>
    </row>
    <row r="30" spans="1:275" outlineLevel="1">
      <c r="A30" t="s">
        <v>70</v>
      </c>
      <c r="C30" t="s">
        <v>21</v>
      </c>
      <c r="E30" s="2">
        <v>200</v>
      </c>
      <c r="F30" s="2">
        <v>1571</v>
      </c>
      <c r="G30" s="2">
        <v>891</v>
      </c>
      <c r="H30" s="2">
        <v>781</v>
      </c>
      <c r="I30" s="2">
        <v>776</v>
      </c>
      <c r="J30" s="2">
        <v>931</v>
      </c>
      <c r="K30" s="2">
        <v>1156</v>
      </c>
      <c r="L30" s="2">
        <v>996</v>
      </c>
      <c r="M30" s="2">
        <v>603</v>
      </c>
      <c r="N30" s="2">
        <v>806</v>
      </c>
      <c r="O30" s="2">
        <v>716</v>
      </c>
      <c r="P30" s="2">
        <v>1379</v>
      </c>
      <c r="Q30" s="2">
        <v>1316</v>
      </c>
      <c r="R30" s="2">
        <v>815</v>
      </c>
      <c r="S30" s="2">
        <v>1531</v>
      </c>
      <c r="T30" s="2">
        <v>1101</v>
      </c>
      <c r="U30" s="2">
        <v>1286</v>
      </c>
      <c r="V30" s="2">
        <v>631</v>
      </c>
      <c r="W30" s="2">
        <v>400</v>
      </c>
      <c r="X30" s="2">
        <v>820</v>
      </c>
      <c r="Y30" s="2">
        <v>545</v>
      </c>
      <c r="Z30" s="2">
        <v>760</v>
      </c>
      <c r="AA30" s="2">
        <v>1100</v>
      </c>
      <c r="AB30" s="2">
        <v>1790</v>
      </c>
      <c r="AC30" s="2">
        <v>725</v>
      </c>
      <c r="AD30" s="2">
        <v>1315</v>
      </c>
      <c r="AE30" s="2">
        <v>830</v>
      </c>
      <c r="AF30" s="2">
        <v>1965</v>
      </c>
      <c r="AG30" s="2">
        <v>935</v>
      </c>
      <c r="AH30" s="2">
        <v>1055</v>
      </c>
      <c r="AI30" s="2">
        <v>840</v>
      </c>
      <c r="AJ30" s="2">
        <v>1280</v>
      </c>
      <c r="AK30" s="2">
        <v>1120</v>
      </c>
      <c r="AL30" s="2">
        <v>1230</v>
      </c>
      <c r="AM30" s="2">
        <v>1460</v>
      </c>
      <c r="AN30" s="2">
        <v>780</v>
      </c>
      <c r="AO30" s="2">
        <v>1075</v>
      </c>
      <c r="AP30" s="2">
        <v>590</v>
      </c>
      <c r="AQ30" s="2">
        <v>1500</v>
      </c>
      <c r="AR30" s="2">
        <v>830</v>
      </c>
      <c r="AS30" s="2">
        <v>1267</v>
      </c>
      <c r="AT30" s="2">
        <v>1120</v>
      </c>
      <c r="AU30" s="2">
        <v>1390</v>
      </c>
      <c r="AV30" s="2">
        <v>730</v>
      </c>
      <c r="AW30" s="2">
        <v>882.5</v>
      </c>
      <c r="AX30" s="2">
        <v>1132.5</v>
      </c>
      <c r="AY30" s="2">
        <v>997.5</v>
      </c>
      <c r="AZ30" s="2">
        <v>992.5</v>
      </c>
      <c r="BA30" s="2">
        <v>777.5</v>
      </c>
      <c r="BB30" s="2">
        <v>892.5</v>
      </c>
      <c r="BC30" s="2">
        <v>787.5</v>
      </c>
      <c r="BD30" s="2">
        <v>802.5</v>
      </c>
      <c r="BE30" s="2">
        <v>1052.5</v>
      </c>
      <c r="BF30" s="2">
        <v>917.5</v>
      </c>
      <c r="BG30" s="2">
        <v>515.5</v>
      </c>
      <c r="BH30" s="2">
        <v>1157.5</v>
      </c>
      <c r="BI30" s="2">
        <v>682.5</v>
      </c>
      <c r="BJ30" s="2">
        <v>837.5</v>
      </c>
      <c r="BK30" s="2">
        <v>1007.5</v>
      </c>
      <c r="BL30" s="2">
        <v>927.5</v>
      </c>
      <c r="BM30" s="2">
        <v>671.33</v>
      </c>
      <c r="BN30" s="2">
        <v>738.33</v>
      </c>
      <c r="BO30" s="2">
        <v>1048.33</v>
      </c>
      <c r="BP30" s="2">
        <v>1388.33</v>
      </c>
      <c r="BQ30" s="2">
        <v>988.33</v>
      </c>
      <c r="BR30" s="2">
        <v>733.33</v>
      </c>
      <c r="BS30" s="2">
        <v>683.33</v>
      </c>
      <c r="BT30" s="2">
        <v>1183.33</v>
      </c>
      <c r="BU30" s="2">
        <v>878.33</v>
      </c>
      <c r="BV30" s="2">
        <v>793.33</v>
      </c>
      <c r="BW30" s="2">
        <v>803.33</v>
      </c>
      <c r="BX30" s="2">
        <v>653.33000000000004</v>
      </c>
      <c r="BY30" s="2">
        <v>713.33</v>
      </c>
      <c r="BZ30" s="2">
        <v>983.33</v>
      </c>
      <c r="CA30" s="2">
        <v>1458.33</v>
      </c>
      <c r="CB30" s="2">
        <v>876.66669999999999</v>
      </c>
      <c r="CC30" s="2">
        <v>761.66669999999999</v>
      </c>
      <c r="CD30" s="2">
        <v>1206.6667</v>
      </c>
      <c r="CE30" s="2">
        <v>1031.6667</v>
      </c>
      <c r="CF30" s="2">
        <v>1001.6667</v>
      </c>
      <c r="CG30" s="2">
        <v>1261.6667</v>
      </c>
      <c r="CH30" s="2">
        <v>1136.6667</v>
      </c>
      <c r="CI30" s="2">
        <v>616.66669999999999</v>
      </c>
      <c r="CJ30" s="2">
        <v>851.66669999999999</v>
      </c>
      <c r="CK30" s="2">
        <v>911.66669999999999</v>
      </c>
      <c r="CL30" s="2">
        <v>1071.6667</v>
      </c>
      <c r="CM30" s="2">
        <v>1126.6667</v>
      </c>
      <c r="CN30" s="2">
        <v>1226.6667</v>
      </c>
      <c r="CO30" s="2">
        <v>1411.6667</v>
      </c>
      <c r="CP30" s="2">
        <v>1017.5</v>
      </c>
      <c r="CQ30" s="2">
        <v>1392.5</v>
      </c>
      <c r="CR30" s="2">
        <v>937.5</v>
      </c>
      <c r="CS30" s="2">
        <v>892.5</v>
      </c>
      <c r="CT30" s="2">
        <v>987.5</v>
      </c>
      <c r="CU30" s="2">
        <v>1857.5</v>
      </c>
      <c r="CV30" s="2">
        <v>877.5</v>
      </c>
      <c r="CW30" s="2">
        <v>1112.5</v>
      </c>
      <c r="CX30" s="2">
        <v>772.5</v>
      </c>
      <c r="CY30" s="2">
        <v>1732.5</v>
      </c>
      <c r="CZ30" s="2">
        <v>1192.5</v>
      </c>
      <c r="DA30" s="2">
        <v>1527.5</v>
      </c>
      <c r="DB30" s="2">
        <v>1467.5</v>
      </c>
      <c r="DC30" s="2">
        <v>1022.5</v>
      </c>
      <c r="DD30" s="2">
        <v>1102.5</v>
      </c>
      <c r="DE30" s="2">
        <v>1322.5</v>
      </c>
      <c r="DF30" s="2">
        <v>711.66669999999999</v>
      </c>
      <c r="DG30" s="2">
        <v>766.66669999999999</v>
      </c>
      <c r="DH30" s="2">
        <v>751.66669999999999</v>
      </c>
      <c r="DI30" s="2">
        <v>826.66669999999999</v>
      </c>
      <c r="DJ30" s="2">
        <v>891.66669999999999</v>
      </c>
      <c r="DK30" s="2">
        <v>866.66669999999999</v>
      </c>
      <c r="DL30" s="2">
        <v>996.66669999999999</v>
      </c>
      <c r="DM30" s="2">
        <v>2076.6666999999998</v>
      </c>
      <c r="DN30" s="2">
        <v>931.66669999999999</v>
      </c>
      <c r="DO30" s="2">
        <v>836.66669999999999</v>
      </c>
      <c r="DP30" s="2">
        <v>1306.6667</v>
      </c>
      <c r="DQ30" s="2">
        <v>1081.6667</v>
      </c>
      <c r="DR30" s="2">
        <v>916.66669999999999</v>
      </c>
      <c r="DS30" s="2">
        <v>506.66669999999999</v>
      </c>
      <c r="DT30" s="2">
        <v>1231.6667</v>
      </c>
      <c r="DU30" s="2">
        <v>676.66669999999999</v>
      </c>
      <c r="DV30" s="2">
        <v>1346.6667</v>
      </c>
      <c r="DW30" s="2">
        <v>981.66669999999999</v>
      </c>
      <c r="DX30" s="2">
        <v>926.66669999999999</v>
      </c>
      <c r="DY30" s="2">
        <v>1216.6667</v>
      </c>
      <c r="DZ30" s="2">
        <v>1036.6667</v>
      </c>
      <c r="EA30" s="2">
        <v>856.66669999999999</v>
      </c>
      <c r="EB30" s="2">
        <v>1248.6667</v>
      </c>
      <c r="EC30" s="2">
        <v>1081.6667</v>
      </c>
      <c r="ED30" s="2">
        <v>1031.6667</v>
      </c>
      <c r="EE30" s="2">
        <v>1106.6667</v>
      </c>
      <c r="EF30" s="2">
        <v>1381.6667</v>
      </c>
      <c r="EG30" s="2">
        <v>991.66669999999999</v>
      </c>
      <c r="EH30" s="2">
        <v>746.66669999999999</v>
      </c>
      <c r="EI30" s="2">
        <v>869.66669999999999</v>
      </c>
      <c r="EJ30" s="2">
        <v>941.61290000000008</v>
      </c>
      <c r="EK30" s="2">
        <v>797.61290000000008</v>
      </c>
      <c r="EL30" s="2">
        <v>1241.6129000000001</v>
      </c>
      <c r="EM30" s="2">
        <v>1041.6129000000001</v>
      </c>
      <c r="EN30" s="2">
        <v>2436.6129000000001</v>
      </c>
      <c r="EO30" s="2">
        <v>791.61290000000008</v>
      </c>
      <c r="EP30" s="2">
        <v>1131.6129000000001</v>
      </c>
      <c r="EQ30" s="2">
        <v>1851.6129000000001</v>
      </c>
      <c r="ER30" s="2">
        <v>1236.6129000000001</v>
      </c>
      <c r="ES30" s="2">
        <v>1036.6129000000001</v>
      </c>
      <c r="ET30" s="2">
        <v>946.61290000000008</v>
      </c>
      <c r="EU30" s="2">
        <v>896.61290000000008</v>
      </c>
      <c r="EV30" s="2">
        <v>991.61290000000008</v>
      </c>
      <c r="EW30" s="2">
        <v>941.61290000000008</v>
      </c>
      <c r="EX30" s="2">
        <v>950.61290000000008</v>
      </c>
      <c r="EY30" s="2">
        <v>866.61290000000008</v>
      </c>
      <c r="EZ30" s="2">
        <v>936.61290000000008</v>
      </c>
      <c r="FA30" s="2">
        <v>1701.6129000000001</v>
      </c>
      <c r="FB30" s="2">
        <v>1231.6129000000001</v>
      </c>
      <c r="FC30" s="2">
        <v>1276.6129000000001</v>
      </c>
      <c r="FD30" s="2">
        <v>821.61290000000008</v>
      </c>
      <c r="FE30" s="2">
        <v>1416.6129000000001</v>
      </c>
      <c r="FF30" s="2">
        <v>881.61290000000008</v>
      </c>
      <c r="FG30" s="2">
        <v>1281.6129000000001</v>
      </c>
      <c r="FH30" s="2">
        <v>1501.6129000000001</v>
      </c>
      <c r="FI30" s="2">
        <v>1076.6129000000001</v>
      </c>
      <c r="FJ30" s="2">
        <v>771.61290000000008</v>
      </c>
      <c r="FK30" s="2">
        <v>953.61290000000008</v>
      </c>
      <c r="FL30" s="2">
        <v>1382.6129000000001</v>
      </c>
      <c r="FM30" s="2">
        <v>1466.6129000000001</v>
      </c>
      <c r="FN30" s="2">
        <v>866.61290000000008</v>
      </c>
      <c r="FO30" s="2">
        <v>844.09676999999999</v>
      </c>
      <c r="FP30" s="2">
        <v>992.09676999999999</v>
      </c>
      <c r="FQ30" s="2">
        <v>1307.0967700000001</v>
      </c>
      <c r="FR30" s="2">
        <v>827.09676999999999</v>
      </c>
      <c r="FS30" s="2">
        <v>1007.09677</v>
      </c>
      <c r="FT30" s="2">
        <v>965.09676999999999</v>
      </c>
      <c r="FU30" s="2">
        <v>1132.0967700000001</v>
      </c>
      <c r="FV30" s="2">
        <v>947.09676999999999</v>
      </c>
      <c r="FW30" s="2">
        <v>962.09676999999999</v>
      </c>
      <c r="FX30" s="2">
        <v>1137.0967700000001</v>
      </c>
      <c r="FY30" s="2">
        <v>706.09676999999999</v>
      </c>
      <c r="FZ30" s="2">
        <v>952.09676999999999</v>
      </c>
      <c r="GA30" s="2">
        <v>902.09676999999999</v>
      </c>
      <c r="GB30" s="2">
        <v>702.09676999999999</v>
      </c>
      <c r="GC30" s="2">
        <v>1352.0967700000001</v>
      </c>
      <c r="GD30" s="2">
        <v>1213.0967700000001</v>
      </c>
      <c r="GE30" s="2">
        <v>622.09676999999999</v>
      </c>
      <c r="GF30" s="2">
        <v>829.09676999999999</v>
      </c>
      <c r="GG30" s="2">
        <v>757.09676999999999</v>
      </c>
      <c r="GH30" s="2">
        <v>961.09676999999999</v>
      </c>
      <c r="GI30" s="2">
        <v>1371.0967700000001</v>
      </c>
      <c r="GJ30" s="2">
        <v>907.09676999999999</v>
      </c>
      <c r="GK30" s="2">
        <v>845.09676999999999</v>
      </c>
      <c r="GL30" s="2">
        <v>1327.0967700000001</v>
      </c>
      <c r="GM30" s="2">
        <v>842.09676999999999</v>
      </c>
      <c r="GN30" s="2">
        <v>777.09676999999999</v>
      </c>
      <c r="GO30" s="2">
        <v>1052.0967700000001</v>
      </c>
      <c r="GP30" s="2">
        <v>792.09676999999999</v>
      </c>
      <c r="GQ30" s="2">
        <v>972.09676999999999</v>
      </c>
      <c r="GR30" s="2">
        <v>920.09676999999999</v>
      </c>
      <c r="GS30" s="2">
        <v>1027.0967700000001</v>
      </c>
      <c r="GT30" s="2">
        <v>1410</v>
      </c>
      <c r="GU30" s="2">
        <v>1270</v>
      </c>
      <c r="GV30" s="2">
        <v>400</v>
      </c>
      <c r="GW30" s="2">
        <v>400</v>
      </c>
      <c r="GX30" s="2">
        <v>1320</v>
      </c>
      <c r="GY30" s="2">
        <v>1300</v>
      </c>
      <c r="GZ30" s="2">
        <v>1085</v>
      </c>
      <c r="HA30" s="2">
        <v>1660</v>
      </c>
      <c r="HB30" s="2">
        <v>1585</v>
      </c>
      <c r="HC30" s="2">
        <v>850</v>
      </c>
      <c r="HD30" s="2">
        <v>695</v>
      </c>
      <c r="HE30" s="2">
        <v>1395</v>
      </c>
      <c r="HF30" s="2">
        <v>2200</v>
      </c>
      <c r="HG30" s="2">
        <v>580</v>
      </c>
      <c r="HH30" s="2">
        <v>0</v>
      </c>
      <c r="HI30" s="2">
        <v>0</v>
      </c>
      <c r="HJ30" s="2">
        <v>0</v>
      </c>
      <c r="HK30" s="2">
        <v>0</v>
      </c>
      <c r="HL30" s="2">
        <v>0</v>
      </c>
      <c r="HM30" s="2">
        <v>0</v>
      </c>
      <c r="HN30" s="2">
        <v>0</v>
      </c>
      <c r="HO30" s="2">
        <v>0</v>
      </c>
      <c r="HP30" s="2">
        <v>0</v>
      </c>
      <c r="HQ30" s="2">
        <v>0</v>
      </c>
      <c r="HR30" s="2">
        <v>0</v>
      </c>
      <c r="HS30" s="2">
        <v>0</v>
      </c>
      <c r="HT30" s="2">
        <v>0</v>
      </c>
      <c r="HU30" s="2">
        <v>0</v>
      </c>
      <c r="HV30" s="2">
        <v>0</v>
      </c>
      <c r="HW30" s="11">
        <v>0</v>
      </c>
      <c r="HX30" s="177">
        <v>0</v>
      </c>
      <c r="HY30" s="29">
        <v>218696.28457000043</v>
      </c>
      <c r="HZ30" s="6">
        <v>8361.8675082055252</v>
      </c>
      <c r="II30" t="s">
        <v>21</v>
      </c>
      <c r="JE30" t="s">
        <v>21</v>
      </c>
      <c r="JF30" s="142">
        <v>3443</v>
      </c>
      <c r="JG30" s="142">
        <v>32213</v>
      </c>
      <c r="JH30" s="142">
        <v>28479.650000000009</v>
      </c>
      <c r="JI30" s="142">
        <v>30461.633800000007</v>
      </c>
      <c r="JJ30" s="142">
        <v>33015.000700000019</v>
      </c>
      <c r="JK30" s="142">
        <v>34800.484100000001</v>
      </c>
      <c r="JL30" s="142">
        <v>31578.645040000003</v>
      </c>
      <c r="JM30" s="142">
        <v>24704.870930000001</v>
      </c>
    </row>
    <row r="31" spans="1:275" outlineLevel="1">
      <c r="A31" t="s">
        <v>70</v>
      </c>
      <c r="C31" t="s">
        <v>23</v>
      </c>
      <c r="E31" s="2">
        <v>0</v>
      </c>
      <c r="F31" s="2">
        <v>200</v>
      </c>
      <c r="G31" s="2">
        <v>0</v>
      </c>
      <c r="H31" s="2">
        <v>0</v>
      </c>
      <c r="I31" s="2">
        <v>0</v>
      </c>
      <c r="J31" s="2">
        <v>0</v>
      </c>
      <c r="K31" s="2">
        <v>130</v>
      </c>
      <c r="L31" s="2">
        <v>0</v>
      </c>
      <c r="M31" s="2">
        <v>200</v>
      </c>
      <c r="N31" s="2">
        <v>0</v>
      </c>
      <c r="O31" s="2">
        <v>0</v>
      </c>
      <c r="P31" s="2">
        <v>0</v>
      </c>
      <c r="Q31" s="2">
        <v>1675</v>
      </c>
      <c r="R31" s="2">
        <v>0</v>
      </c>
      <c r="S31" s="2">
        <v>0</v>
      </c>
      <c r="T31" s="2">
        <v>0</v>
      </c>
      <c r="U31" s="2">
        <v>0</v>
      </c>
      <c r="V31" s="2">
        <v>0</v>
      </c>
      <c r="W31" s="2">
        <v>25</v>
      </c>
      <c r="X31" s="2">
        <v>0</v>
      </c>
      <c r="Y31" s="2">
        <v>0</v>
      </c>
      <c r="Z31" s="2">
        <v>0</v>
      </c>
      <c r="AA31" s="2">
        <v>0</v>
      </c>
      <c r="AB31" s="2">
        <v>300</v>
      </c>
      <c r="AC31" s="2">
        <v>10</v>
      </c>
      <c r="AD31" s="2">
        <v>100</v>
      </c>
      <c r="AE31" s="2">
        <v>0</v>
      </c>
      <c r="AF31" s="2">
        <v>200</v>
      </c>
      <c r="AG31" s="2">
        <v>200</v>
      </c>
      <c r="AH31" s="2">
        <v>100</v>
      </c>
      <c r="AI31" s="2">
        <v>0</v>
      </c>
      <c r="AJ31" s="2">
        <v>0</v>
      </c>
      <c r="AK31" s="2">
        <v>0</v>
      </c>
      <c r="AL31" s="2">
        <v>0</v>
      </c>
      <c r="AM31" s="2">
        <v>0</v>
      </c>
      <c r="AN31" s="2">
        <v>0</v>
      </c>
      <c r="AO31" s="2">
        <v>200</v>
      </c>
      <c r="AP31" s="2">
        <v>0</v>
      </c>
      <c r="AQ31" s="2">
        <v>100</v>
      </c>
      <c r="AR31" s="2">
        <v>0</v>
      </c>
      <c r="AS31" s="2">
        <v>150</v>
      </c>
      <c r="AT31" s="2">
        <v>0</v>
      </c>
      <c r="AU31" s="2">
        <v>0</v>
      </c>
      <c r="AV31" s="2">
        <v>500</v>
      </c>
      <c r="AW31" s="2">
        <v>0</v>
      </c>
      <c r="AX31" s="2">
        <v>0</v>
      </c>
      <c r="AY31" s="2">
        <v>0</v>
      </c>
      <c r="AZ31" s="2">
        <v>0</v>
      </c>
      <c r="BA31" s="2">
        <v>0</v>
      </c>
      <c r="BB31" s="2">
        <v>200</v>
      </c>
      <c r="BC31" s="2">
        <v>90</v>
      </c>
      <c r="BD31" s="2">
        <v>0</v>
      </c>
      <c r="BE31" s="2">
        <v>0</v>
      </c>
      <c r="BF31" s="2">
        <v>0</v>
      </c>
      <c r="BG31" s="2">
        <v>0</v>
      </c>
      <c r="BH31" s="2">
        <v>0</v>
      </c>
      <c r="BI31" s="2">
        <v>50</v>
      </c>
      <c r="BJ31" s="2">
        <v>450</v>
      </c>
      <c r="BK31" s="2">
        <v>0</v>
      </c>
      <c r="BL31" s="2">
        <v>0</v>
      </c>
      <c r="BM31" s="2">
        <v>0</v>
      </c>
      <c r="BN31" s="2">
        <v>1562</v>
      </c>
      <c r="BO31" s="2">
        <v>70</v>
      </c>
      <c r="BP31" s="2">
        <v>120</v>
      </c>
      <c r="BQ31" s="2">
        <v>632</v>
      </c>
      <c r="BR31" s="2">
        <v>200</v>
      </c>
      <c r="BS31" s="2">
        <v>200</v>
      </c>
      <c r="BT31" s="2">
        <v>0</v>
      </c>
      <c r="BU31" s="2">
        <v>0</v>
      </c>
      <c r="BV31" s="2">
        <v>0</v>
      </c>
      <c r="BW31" s="2">
        <v>0</v>
      </c>
      <c r="BX31" s="2">
        <v>250</v>
      </c>
      <c r="BY31" s="2">
        <v>0</v>
      </c>
      <c r="BZ31" s="2">
        <v>0</v>
      </c>
      <c r="CA31" s="2">
        <v>0</v>
      </c>
      <c r="CB31" s="2">
        <v>200</v>
      </c>
      <c r="CC31" s="2">
        <v>0</v>
      </c>
      <c r="CD31" s="2">
        <v>650</v>
      </c>
      <c r="CE31" s="2">
        <v>840</v>
      </c>
      <c r="CF31" s="2">
        <v>300</v>
      </c>
      <c r="CG31" s="2">
        <v>0</v>
      </c>
      <c r="CH31" s="2">
        <v>0</v>
      </c>
      <c r="CI31" s="2">
        <v>0</v>
      </c>
      <c r="CJ31" s="2">
        <v>100</v>
      </c>
      <c r="CK31" s="2">
        <v>0</v>
      </c>
      <c r="CL31" s="2">
        <v>100</v>
      </c>
      <c r="CM31" s="2">
        <v>100</v>
      </c>
      <c r="CN31" s="2">
        <v>0</v>
      </c>
      <c r="CO31" s="2">
        <v>0</v>
      </c>
      <c r="CP31" s="2">
        <v>0</v>
      </c>
      <c r="CQ31" s="2">
        <v>0</v>
      </c>
      <c r="CR31" s="2">
        <v>400</v>
      </c>
      <c r="CS31" s="2">
        <v>0</v>
      </c>
      <c r="CT31" s="2">
        <v>0</v>
      </c>
      <c r="CU31" s="2">
        <v>0</v>
      </c>
      <c r="CV31" s="2">
        <v>0</v>
      </c>
      <c r="CW31" s="2">
        <v>200</v>
      </c>
      <c r="CX31" s="2">
        <v>0</v>
      </c>
      <c r="CY31" s="2">
        <v>0</v>
      </c>
      <c r="CZ31" s="2">
        <v>200</v>
      </c>
      <c r="DA31" s="2">
        <v>0</v>
      </c>
      <c r="DB31" s="2">
        <v>0</v>
      </c>
      <c r="DC31" s="2">
        <v>200</v>
      </c>
      <c r="DD31" s="2">
        <v>0</v>
      </c>
      <c r="DE31" s="2">
        <v>0</v>
      </c>
      <c r="DF31" s="2">
        <v>0</v>
      </c>
      <c r="DG31" s="2">
        <v>619</v>
      </c>
      <c r="DH31" s="2">
        <v>719</v>
      </c>
      <c r="DI31" s="2">
        <v>919</v>
      </c>
      <c r="DJ31" s="2">
        <v>0</v>
      </c>
      <c r="DK31" s="2">
        <v>80</v>
      </c>
      <c r="DL31" s="2">
        <v>0</v>
      </c>
      <c r="DM31" s="2">
        <v>0</v>
      </c>
      <c r="DN31" s="2">
        <v>0</v>
      </c>
      <c r="DO31" s="2">
        <v>300</v>
      </c>
      <c r="DP31" s="2">
        <v>0</v>
      </c>
      <c r="DQ31" s="2">
        <v>0</v>
      </c>
      <c r="DR31" s="2">
        <v>0</v>
      </c>
      <c r="DS31" s="2">
        <v>5300</v>
      </c>
      <c r="DT31" s="2">
        <v>0</v>
      </c>
      <c r="DU31" s="2">
        <v>0</v>
      </c>
      <c r="DV31" s="2">
        <v>0</v>
      </c>
      <c r="DW31" s="2">
        <v>0</v>
      </c>
      <c r="DX31" s="2">
        <v>0</v>
      </c>
      <c r="DY31" s="2">
        <v>850</v>
      </c>
      <c r="DZ31" s="2">
        <v>400</v>
      </c>
      <c r="EA31" s="2">
        <v>0</v>
      </c>
      <c r="EB31" s="2">
        <v>0</v>
      </c>
      <c r="EC31" s="2">
        <v>0</v>
      </c>
      <c r="ED31" s="2">
        <v>0</v>
      </c>
      <c r="EE31" s="2">
        <v>0</v>
      </c>
      <c r="EF31" s="2">
        <v>240</v>
      </c>
      <c r="EG31" s="2">
        <v>0</v>
      </c>
      <c r="EH31" s="2">
        <v>0</v>
      </c>
      <c r="EI31" s="2">
        <v>0</v>
      </c>
      <c r="EJ31" s="2">
        <v>0</v>
      </c>
      <c r="EK31" s="2">
        <v>200</v>
      </c>
      <c r="EL31" s="2">
        <v>550</v>
      </c>
      <c r="EM31" s="2">
        <v>660</v>
      </c>
      <c r="EN31" s="2">
        <v>360</v>
      </c>
      <c r="EO31" s="2">
        <v>0</v>
      </c>
      <c r="EP31" s="2">
        <v>0</v>
      </c>
      <c r="EQ31" s="2">
        <v>150</v>
      </c>
      <c r="ER31" s="2">
        <v>0</v>
      </c>
      <c r="ES31" s="2">
        <v>0</v>
      </c>
      <c r="ET31" s="2">
        <v>0</v>
      </c>
      <c r="EU31" s="2">
        <v>200</v>
      </c>
      <c r="EV31" s="2">
        <v>0</v>
      </c>
      <c r="EW31" s="2">
        <v>0</v>
      </c>
      <c r="EX31" s="2">
        <v>0</v>
      </c>
      <c r="EY31" s="2">
        <v>200</v>
      </c>
      <c r="EZ31" s="2">
        <v>0</v>
      </c>
      <c r="FA31" s="2">
        <v>1100</v>
      </c>
      <c r="FB31" s="2">
        <v>1100</v>
      </c>
      <c r="FC31" s="2">
        <v>80</v>
      </c>
      <c r="FD31" s="2">
        <v>0</v>
      </c>
      <c r="FE31" s="2">
        <v>0</v>
      </c>
      <c r="FF31" s="2">
        <v>0</v>
      </c>
      <c r="FG31" s="2">
        <v>0</v>
      </c>
      <c r="FH31" s="2">
        <v>0</v>
      </c>
      <c r="FI31" s="2">
        <v>0</v>
      </c>
      <c r="FJ31" s="2">
        <v>0</v>
      </c>
      <c r="FK31" s="2">
        <v>0</v>
      </c>
      <c r="FL31" s="2">
        <v>0</v>
      </c>
      <c r="FM31" s="2">
        <v>700</v>
      </c>
      <c r="FN31" s="2">
        <v>120</v>
      </c>
      <c r="FO31" s="2">
        <v>0</v>
      </c>
      <c r="FP31" s="2">
        <v>0</v>
      </c>
      <c r="FQ31" s="2">
        <v>0</v>
      </c>
      <c r="FR31" s="2">
        <v>0</v>
      </c>
      <c r="FS31" s="2">
        <v>0</v>
      </c>
      <c r="FT31" s="2">
        <v>0</v>
      </c>
      <c r="FU31" s="2">
        <v>0</v>
      </c>
      <c r="FV31" s="2">
        <v>0</v>
      </c>
      <c r="FW31" s="2">
        <v>0</v>
      </c>
      <c r="FX31" s="2">
        <v>0</v>
      </c>
      <c r="FY31" s="2">
        <v>0</v>
      </c>
      <c r="FZ31" s="2">
        <v>0</v>
      </c>
      <c r="GA31" s="2">
        <v>0</v>
      </c>
      <c r="GB31" s="2">
        <v>0</v>
      </c>
      <c r="GC31" s="2">
        <v>1300</v>
      </c>
      <c r="GD31" s="2">
        <v>0</v>
      </c>
      <c r="GE31" s="2">
        <v>300</v>
      </c>
      <c r="GF31" s="2">
        <v>0</v>
      </c>
      <c r="GG31" s="2">
        <v>0</v>
      </c>
      <c r="GH31" s="2">
        <v>0</v>
      </c>
      <c r="GI31" s="2">
        <v>0</v>
      </c>
      <c r="GJ31" s="2">
        <v>0</v>
      </c>
      <c r="GK31" s="2">
        <v>0</v>
      </c>
      <c r="GL31" s="2">
        <v>0</v>
      </c>
      <c r="GM31" s="2">
        <v>0</v>
      </c>
      <c r="GN31" s="2">
        <v>0</v>
      </c>
      <c r="GO31" s="2">
        <v>0</v>
      </c>
      <c r="GP31" s="2">
        <v>150</v>
      </c>
      <c r="GQ31" s="2">
        <v>0</v>
      </c>
      <c r="GR31" s="2">
        <v>0</v>
      </c>
      <c r="GS31" s="2">
        <v>0</v>
      </c>
      <c r="GT31" s="2">
        <v>0</v>
      </c>
      <c r="GU31" s="2">
        <v>0</v>
      </c>
      <c r="GV31" s="2">
        <v>0</v>
      </c>
      <c r="GW31" s="2">
        <v>0</v>
      </c>
      <c r="GX31" s="2">
        <v>0</v>
      </c>
      <c r="GY31" s="2">
        <v>600</v>
      </c>
      <c r="GZ31" s="2">
        <v>600</v>
      </c>
      <c r="HA31" s="2">
        <v>500</v>
      </c>
      <c r="HB31" s="2">
        <v>0</v>
      </c>
      <c r="HC31" s="2">
        <v>0</v>
      </c>
      <c r="HD31" s="2">
        <v>0</v>
      </c>
      <c r="HE31" s="2">
        <v>0</v>
      </c>
      <c r="HF31" s="2">
        <v>500</v>
      </c>
      <c r="HG31" s="2">
        <v>0</v>
      </c>
      <c r="HH31" s="2">
        <v>0</v>
      </c>
      <c r="HI31" s="2">
        <v>0</v>
      </c>
      <c r="HJ31" s="2">
        <v>0</v>
      </c>
      <c r="HK31" s="2">
        <v>0</v>
      </c>
      <c r="HL31" s="2">
        <v>0</v>
      </c>
      <c r="HM31" s="2">
        <v>0</v>
      </c>
      <c r="HN31" s="2">
        <v>0</v>
      </c>
      <c r="HO31" s="2">
        <v>0</v>
      </c>
      <c r="HP31" s="2">
        <v>0</v>
      </c>
      <c r="HQ31" s="2">
        <v>0</v>
      </c>
      <c r="HR31" s="2">
        <v>0</v>
      </c>
      <c r="HS31" s="2">
        <v>0</v>
      </c>
      <c r="HT31" s="2">
        <v>0</v>
      </c>
      <c r="HU31" s="2">
        <v>0</v>
      </c>
      <c r="HV31" s="2">
        <v>0</v>
      </c>
      <c r="HW31" s="11">
        <v>0</v>
      </c>
      <c r="HX31" s="177">
        <v>0</v>
      </c>
      <c r="HY31" s="29">
        <v>30001</v>
      </c>
      <c r="HZ31" s="6">
        <v>1147.0903019999735</v>
      </c>
      <c r="II31" t="s">
        <v>23</v>
      </c>
      <c r="JE31" t="s">
        <v>23</v>
      </c>
      <c r="JF31" s="142">
        <v>200</v>
      </c>
      <c r="JG31" s="142">
        <v>2940</v>
      </c>
      <c r="JH31" s="142">
        <v>4124</v>
      </c>
      <c r="JI31" s="142">
        <v>3340</v>
      </c>
      <c r="JJ31" s="142">
        <v>9787</v>
      </c>
      <c r="JK31" s="142">
        <v>4840</v>
      </c>
      <c r="JL31" s="142">
        <v>2420</v>
      </c>
      <c r="JM31" s="142">
        <v>2350</v>
      </c>
    </row>
    <row r="32" spans="1:275" outlineLevel="1">
      <c r="A32" t="s">
        <v>70</v>
      </c>
      <c r="C32" t="s">
        <v>25</v>
      </c>
      <c r="E32" s="2">
        <v>1750</v>
      </c>
      <c r="F32" s="2">
        <v>370</v>
      </c>
      <c r="G32" s="2">
        <v>0</v>
      </c>
      <c r="H32" s="2">
        <v>25</v>
      </c>
      <c r="I32" s="2">
        <v>0</v>
      </c>
      <c r="J32" s="2">
        <v>0</v>
      </c>
      <c r="K32" s="2">
        <v>0</v>
      </c>
      <c r="L32" s="2">
        <v>0</v>
      </c>
      <c r="M32" s="2">
        <v>0</v>
      </c>
      <c r="N32" s="2">
        <v>0</v>
      </c>
      <c r="O32" s="2">
        <v>0</v>
      </c>
      <c r="P32" s="2">
        <v>0</v>
      </c>
      <c r="Q32" s="2">
        <v>0</v>
      </c>
      <c r="R32" s="2">
        <v>0</v>
      </c>
      <c r="S32" s="2">
        <v>0</v>
      </c>
      <c r="T32" s="2">
        <v>0</v>
      </c>
      <c r="U32" s="2">
        <v>0</v>
      </c>
      <c r="V32" s="2">
        <v>0</v>
      </c>
      <c r="W32" s="2">
        <v>0</v>
      </c>
      <c r="X32" s="2">
        <v>4825</v>
      </c>
      <c r="Y32" s="2">
        <v>600</v>
      </c>
      <c r="Z32" s="2">
        <v>20</v>
      </c>
      <c r="AA32" s="2">
        <v>425</v>
      </c>
      <c r="AB32" s="2">
        <v>300</v>
      </c>
      <c r="AC32" s="2">
        <v>0</v>
      </c>
      <c r="AD32" s="2">
        <v>0</v>
      </c>
      <c r="AE32" s="2">
        <v>0</v>
      </c>
      <c r="AF32" s="2">
        <v>0</v>
      </c>
      <c r="AG32" s="2">
        <v>0</v>
      </c>
      <c r="AH32" s="2">
        <v>0</v>
      </c>
      <c r="AI32" s="2">
        <v>0</v>
      </c>
      <c r="AJ32" s="2">
        <v>0</v>
      </c>
      <c r="AK32" s="2">
        <v>0</v>
      </c>
      <c r="AL32" s="2">
        <v>0</v>
      </c>
      <c r="AM32" s="2">
        <v>1650</v>
      </c>
      <c r="AN32" s="2">
        <v>0</v>
      </c>
      <c r="AO32" s="2">
        <v>0</v>
      </c>
      <c r="AP32" s="2">
        <v>0</v>
      </c>
      <c r="AQ32" s="2">
        <v>0</v>
      </c>
      <c r="AR32" s="2">
        <v>0</v>
      </c>
      <c r="AS32" s="2">
        <v>0</v>
      </c>
      <c r="AT32" s="2">
        <v>0</v>
      </c>
      <c r="AU32" s="2">
        <v>0</v>
      </c>
      <c r="AV32" s="2">
        <v>0</v>
      </c>
      <c r="AW32" s="2">
        <v>0</v>
      </c>
      <c r="AX32" s="2">
        <v>0</v>
      </c>
      <c r="AY32" s="2">
        <v>0</v>
      </c>
      <c r="AZ32" s="2">
        <v>0</v>
      </c>
      <c r="BA32" s="2">
        <v>0</v>
      </c>
      <c r="BB32" s="2">
        <v>0</v>
      </c>
      <c r="BC32" s="2">
        <v>0</v>
      </c>
      <c r="BD32" s="2">
        <v>0</v>
      </c>
      <c r="BE32" s="2">
        <v>0</v>
      </c>
      <c r="BF32" s="2">
        <v>0</v>
      </c>
      <c r="BG32" s="2">
        <v>0</v>
      </c>
      <c r="BH32" s="2">
        <v>0</v>
      </c>
      <c r="BI32" s="2">
        <v>0</v>
      </c>
      <c r="BJ32" s="2">
        <v>0</v>
      </c>
      <c r="BK32" s="2">
        <v>0</v>
      </c>
      <c r="BL32" s="2">
        <v>450</v>
      </c>
      <c r="BM32" s="2">
        <v>450</v>
      </c>
      <c r="BN32" s="2">
        <v>0</v>
      </c>
      <c r="BO32" s="2">
        <v>0</v>
      </c>
      <c r="BP32" s="2">
        <v>0</v>
      </c>
      <c r="BQ32" s="2">
        <v>1700</v>
      </c>
      <c r="BR32" s="2">
        <v>0</v>
      </c>
      <c r="BS32" s="2">
        <v>0</v>
      </c>
      <c r="BT32" s="2">
        <v>0</v>
      </c>
      <c r="BU32" s="2">
        <v>0</v>
      </c>
      <c r="BV32" s="2">
        <v>0</v>
      </c>
      <c r="BW32" s="2">
        <v>0</v>
      </c>
      <c r="BX32" s="2">
        <v>0</v>
      </c>
      <c r="BY32" s="2">
        <v>0</v>
      </c>
      <c r="BZ32" s="2">
        <v>700</v>
      </c>
      <c r="CA32" s="2">
        <v>0</v>
      </c>
      <c r="CB32" s="2">
        <v>0</v>
      </c>
      <c r="CC32" s="2">
        <v>0</v>
      </c>
      <c r="CD32" s="2">
        <v>100</v>
      </c>
      <c r="CE32" s="2">
        <v>1800</v>
      </c>
      <c r="CF32" s="2">
        <v>50</v>
      </c>
      <c r="CG32" s="2">
        <v>0</v>
      </c>
      <c r="CH32" s="2">
        <v>0</v>
      </c>
      <c r="CI32" s="2">
        <v>325</v>
      </c>
      <c r="CJ32" s="2">
        <v>7320</v>
      </c>
      <c r="CK32" s="2">
        <v>0</v>
      </c>
      <c r="CL32" s="2">
        <v>0</v>
      </c>
      <c r="CM32" s="2">
        <v>0</v>
      </c>
      <c r="CN32" s="2">
        <v>425</v>
      </c>
      <c r="CO32" s="2">
        <v>0</v>
      </c>
      <c r="CP32" s="2">
        <v>365</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270</v>
      </c>
      <c r="DH32" s="2">
        <v>0</v>
      </c>
      <c r="DI32" s="2">
        <v>130</v>
      </c>
      <c r="DJ32" s="2">
        <v>270</v>
      </c>
      <c r="DK32" s="2">
        <v>0</v>
      </c>
      <c r="DL32" s="2">
        <v>0</v>
      </c>
      <c r="DM32" s="2">
        <v>740</v>
      </c>
      <c r="DN32" s="2">
        <v>0</v>
      </c>
      <c r="DO32" s="2">
        <v>0</v>
      </c>
      <c r="DP32" s="2">
        <v>0</v>
      </c>
      <c r="DQ32" s="2">
        <v>0</v>
      </c>
      <c r="DR32" s="2">
        <v>0</v>
      </c>
      <c r="DS32" s="2">
        <v>50</v>
      </c>
      <c r="DT32" s="2">
        <v>50</v>
      </c>
      <c r="DU32" s="2">
        <v>0</v>
      </c>
      <c r="DV32" s="2">
        <v>0</v>
      </c>
      <c r="DW32" s="2">
        <v>0</v>
      </c>
      <c r="DX32" s="2">
        <v>0</v>
      </c>
      <c r="DY32" s="2">
        <v>600</v>
      </c>
      <c r="DZ32" s="2">
        <v>150</v>
      </c>
      <c r="EA32" s="2">
        <v>240</v>
      </c>
      <c r="EB32" s="2">
        <v>0</v>
      </c>
      <c r="EC32" s="2">
        <v>0</v>
      </c>
      <c r="ED32" s="2">
        <v>0</v>
      </c>
      <c r="EE32" s="2">
        <v>0</v>
      </c>
      <c r="EF32" s="2">
        <v>0</v>
      </c>
      <c r="EG32" s="2">
        <v>0</v>
      </c>
      <c r="EH32" s="2">
        <v>0</v>
      </c>
      <c r="EI32" s="2">
        <v>0</v>
      </c>
      <c r="EJ32" s="2">
        <v>0</v>
      </c>
      <c r="EK32" s="2">
        <v>0</v>
      </c>
      <c r="EL32" s="2">
        <v>2780</v>
      </c>
      <c r="EM32" s="2">
        <v>0</v>
      </c>
      <c r="EN32" s="2">
        <v>0</v>
      </c>
      <c r="EO32" s="2">
        <v>425</v>
      </c>
      <c r="EP32" s="2">
        <v>0</v>
      </c>
      <c r="EQ32" s="2">
        <v>0</v>
      </c>
      <c r="ER32" s="2">
        <v>0</v>
      </c>
      <c r="ES32" s="2">
        <v>0</v>
      </c>
      <c r="ET32" s="2">
        <v>0</v>
      </c>
      <c r="EU32" s="2">
        <v>0</v>
      </c>
      <c r="EV32" s="2">
        <v>0</v>
      </c>
      <c r="EW32" s="2">
        <v>0</v>
      </c>
      <c r="EX32" s="2">
        <v>0</v>
      </c>
      <c r="EY32" s="2">
        <v>0</v>
      </c>
      <c r="EZ32" s="2">
        <v>0</v>
      </c>
      <c r="FA32" s="2">
        <v>940</v>
      </c>
      <c r="FB32" s="2">
        <v>520</v>
      </c>
      <c r="FC32" s="2">
        <v>940</v>
      </c>
      <c r="FD32" s="2">
        <v>0</v>
      </c>
      <c r="FE32" s="2">
        <v>0</v>
      </c>
      <c r="FF32" s="2">
        <v>0</v>
      </c>
      <c r="FG32" s="2">
        <v>0</v>
      </c>
      <c r="FH32" s="2">
        <v>0</v>
      </c>
      <c r="FI32" s="2">
        <v>1350</v>
      </c>
      <c r="FJ32" s="2">
        <v>0</v>
      </c>
      <c r="FK32" s="2">
        <v>0</v>
      </c>
      <c r="FL32" s="2">
        <v>0</v>
      </c>
      <c r="FM32" s="2">
        <v>0</v>
      </c>
      <c r="FN32" s="2">
        <v>0</v>
      </c>
      <c r="FO32" s="2">
        <v>0</v>
      </c>
      <c r="FP32" s="2">
        <v>0</v>
      </c>
      <c r="FQ32" s="2">
        <v>0</v>
      </c>
      <c r="FR32" s="2">
        <v>0</v>
      </c>
      <c r="FS32" s="2">
        <v>0</v>
      </c>
      <c r="FT32" s="2">
        <v>0</v>
      </c>
      <c r="FU32" s="2">
        <v>0</v>
      </c>
      <c r="FV32" s="2">
        <v>0</v>
      </c>
      <c r="FW32" s="2">
        <v>0</v>
      </c>
      <c r="FX32" s="2">
        <v>0</v>
      </c>
      <c r="FY32" s="2">
        <v>0</v>
      </c>
      <c r="FZ32" s="2">
        <v>0</v>
      </c>
      <c r="GA32" s="2">
        <v>0</v>
      </c>
      <c r="GB32" s="2">
        <v>0</v>
      </c>
      <c r="GC32" s="2">
        <v>1150</v>
      </c>
      <c r="GD32" s="2">
        <v>0</v>
      </c>
      <c r="GE32" s="2">
        <v>0</v>
      </c>
      <c r="GF32" s="2">
        <v>1650</v>
      </c>
      <c r="GG32" s="2">
        <v>0</v>
      </c>
      <c r="GH32" s="2">
        <v>0</v>
      </c>
      <c r="GI32" s="2">
        <v>0</v>
      </c>
      <c r="GJ32" s="2">
        <v>0</v>
      </c>
      <c r="GK32" s="2">
        <v>0</v>
      </c>
      <c r="GL32" s="2">
        <v>0</v>
      </c>
      <c r="GM32" s="2">
        <v>0</v>
      </c>
      <c r="GN32" s="2">
        <v>0</v>
      </c>
      <c r="GO32" s="2">
        <v>0</v>
      </c>
      <c r="GP32" s="2">
        <v>0</v>
      </c>
      <c r="GQ32" s="2">
        <v>0</v>
      </c>
      <c r="GR32" s="2">
        <v>0</v>
      </c>
      <c r="GS32" s="2">
        <v>0</v>
      </c>
      <c r="GT32" s="2">
        <v>0</v>
      </c>
      <c r="GU32" s="2">
        <v>0</v>
      </c>
      <c r="GV32" s="2">
        <v>690</v>
      </c>
      <c r="GW32" s="2">
        <v>0</v>
      </c>
      <c r="GX32" s="2">
        <v>0</v>
      </c>
      <c r="GY32" s="2">
        <v>1180</v>
      </c>
      <c r="GZ32" s="2">
        <v>345</v>
      </c>
      <c r="HA32" s="2">
        <v>350</v>
      </c>
      <c r="HB32" s="2">
        <v>1180</v>
      </c>
      <c r="HC32" s="2">
        <v>0</v>
      </c>
      <c r="HD32" s="2">
        <v>0</v>
      </c>
      <c r="HE32" s="2">
        <v>0</v>
      </c>
      <c r="HF32" s="2">
        <v>0</v>
      </c>
      <c r="HG32" s="2">
        <v>500</v>
      </c>
      <c r="HH32" s="2">
        <v>0</v>
      </c>
      <c r="HI32" s="2">
        <v>0</v>
      </c>
      <c r="HJ32" s="2">
        <v>0</v>
      </c>
      <c r="HK32" s="2">
        <v>0</v>
      </c>
      <c r="HL32" s="2">
        <v>0</v>
      </c>
      <c r="HM32" s="2">
        <v>0</v>
      </c>
      <c r="HN32" s="2">
        <v>0</v>
      </c>
      <c r="HO32" s="2">
        <v>0</v>
      </c>
      <c r="HP32" s="2">
        <v>0</v>
      </c>
      <c r="HQ32" s="2">
        <v>0</v>
      </c>
      <c r="HR32" s="2">
        <v>0</v>
      </c>
      <c r="HS32" s="2">
        <v>0</v>
      </c>
      <c r="HT32" s="2">
        <v>0</v>
      </c>
      <c r="HU32" s="2">
        <v>0</v>
      </c>
      <c r="HV32" s="2">
        <v>0</v>
      </c>
      <c r="HW32" s="11">
        <v>0</v>
      </c>
      <c r="HX32" s="177">
        <v>0</v>
      </c>
      <c r="HY32" s="29">
        <v>40150</v>
      </c>
      <c r="HZ32" s="6">
        <v>1535.1380162427565</v>
      </c>
      <c r="II32" t="s">
        <v>25</v>
      </c>
      <c r="JE32" t="s">
        <v>25</v>
      </c>
      <c r="JF32" s="142">
        <v>2145</v>
      </c>
      <c r="JG32" s="142">
        <v>7820</v>
      </c>
      <c r="JH32" s="142">
        <v>2600</v>
      </c>
      <c r="JI32" s="142">
        <v>11085</v>
      </c>
      <c r="JJ32" s="142">
        <v>2260</v>
      </c>
      <c r="JK32" s="142">
        <v>5845</v>
      </c>
      <c r="JL32" s="142">
        <v>4150</v>
      </c>
      <c r="JM32" s="142">
        <v>4245</v>
      </c>
    </row>
    <row r="33" spans="1:273" outlineLevel="1">
      <c r="A33" t="s">
        <v>70</v>
      </c>
      <c r="C33" t="s">
        <v>26</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0</v>
      </c>
      <c r="CM33" s="2">
        <v>0</v>
      </c>
      <c r="CN33" s="2">
        <v>0</v>
      </c>
      <c r="CO33" s="2">
        <v>0</v>
      </c>
      <c r="CP33" s="2">
        <v>0</v>
      </c>
      <c r="CQ33" s="2">
        <v>0</v>
      </c>
      <c r="CR33" s="2">
        <v>0</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0</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0</v>
      </c>
      <c r="EC33" s="2">
        <v>0</v>
      </c>
      <c r="ED33" s="2">
        <v>0</v>
      </c>
      <c r="EE33" s="2">
        <v>0</v>
      </c>
      <c r="EF33" s="2">
        <v>0</v>
      </c>
      <c r="EG33" s="2">
        <v>0</v>
      </c>
      <c r="EH33" s="2">
        <v>0</v>
      </c>
      <c r="EI33" s="2">
        <v>0</v>
      </c>
      <c r="EJ33" s="2">
        <v>0</v>
      </c>
      <c r="EK33" s="2">
        <v>0</v>
      </c>
      <c r="EL33" s="2">
        <v>0</v>
      </c>
      <c r="EM33" s="2">
        <v>0</v>
      </c>
      <c r="EN33" s="2">
        <v>0</v>
      </c>
      <c r="EO33" s="2">
        <v>0</v>
      </c>
      <c r="EP33" s="2">
        <v>0</v>
      </c>
      <c r="EQ33" s="2">
        <v>0</v>
      </c>
      <c r="ER33" s="2">
        <v>0</v>
      </c>
      <c r="ES33" s="2">
        <v>0</v>
      </c>
      <c r="ET33" s="2">
        <v>0</v>
      </c>
      <c r="EU33" s="2">
        <v>0</v>
      </c>
      <c r="EV33" s="2">
        <v>0</v>
      </c>
      <c r="EW33" s="2">
        <v>0</v>
      </c>
      <c r="EX33" s="2">
        <v>0</v>
      </c>
      <c r="EY33" s="2">
        <v>0</v>
      </c>
      <c r="EZ33" s="2">
        <v>0</v>
      </c>
      <c r="FA33" s="2">
        <v>0</v>
      </c>
      <c r="FB33" s="2">
        <v>0</v>
      </c>
      <c r="FC33" s="2">
        <v>0</v>
      </c>
      <c r="FD33" s="2">
        <v>0</v>
      </c>
      <c r="FE33" s="2">
        <v>0</v>
      </c>
      <c r="FF33" s="2">
        <v>0</v>
      </c>
      <c r="FG33" s="2">
        <v>0</v>
      </c>
      <c r="FH33" s="2">
        <v>0</v>
      </c>
      <c r="FI33" s="2">
        <v>0</v>
      </c>
      <c r="FJ33" s="2">
        <v>0</v>
      </c>
      <c r="FK33" s="2">
        <v>0</v>
      </c>
      <c r="FL33" s="2">
        <v>0</v>
      </c>
      <c r="FM33" s="2">
        <v>0</v>
      </c>
      <c r="FN33" s="2">
        <v>0</v>
      </c>
      <c r="FO33" s="2">
        <v>0</v>
      </c>
      <c r="FP33" s="2">
        <v>0</v>
      </c>
      <c r="FQ33" s="2">
        <v>0</v>
      </c>
      <c r="FR33" s="2">
        <v>0</v>
      </c>
      <c r="FS33" s="2">
        <v>0</v>
      </c>
      <c r="FT33" s="2">
        <v>0</v>
      </c>
      <c r="FU33" s="2">
        <v>0</v>
      </c>
      <c r="FV33" s="2">
        <v>0</v>
      </c>
      <c r="FW33" s="2">
        <v>0</v>
      </c>
      <c r="FX33" s="2">
        <v>0</v>
      </c>
      <c r="FY33" s="2">
        <v>0</v>
      </c>
      <c r="FZ33" s="2">
        <v>0</v>
      </c>
      <c r="GA33" s="2">
        <v>0</v>
      </c>
      <c r="GB33" s="2">
        <v>0</v>
      </c>
      <c r="GC33" s="2">
        <v>0</v>
      </c>
      <c r="GD33" s="2">
        <v>0</v>
      </c>
      <c r="GE33" s="2">
        <v>0</v>
      </c>
      <c r="GF33" s="2">
        <v>0</v>
      </c>
      <c r="GG33" s="2">
        <v>0</v>
      </c>
      <c r="GH33" s="2">
        <v>0</v>
      </c>
      <c r="GI33" s="2">
        <v>0</v>
      </c>
      <c r="GJ33" s="2">
        <v>0</v>
      </c>
      <c r="GK33" s="2">
        <v>0</v>
      </c>
      <c r="GL33" s="2">
        <v>0</v>
      </c>
      <c r="GM33" s="2">
        <v>0</v>
      </c>
      <c r="GN33" s="2">
        <v>0</v>
      </c>
      <c r="GO33" s="2">
        <v>0</v>
      </c>
      <c r="GP33" s="2">
        <v>0</v>
      </c>
      <c r="GQ33" s="2">
        <v>0</v>
      </c>
      <c r="GR33" s="2">
        <v>0</v>
      </c>
      <c r="GS33" s="2">
        <v>0</v>
      </c>
      <c r="GT33" s="2">
        <v>0</v>
      </c>
      <c r="GU33" s="2">
        <v>0</v>
      </c>
      <c r="GV33" s="2">
        <v>0</v>
      </c>
      <c r="GW33" s="2">
        <v>0</v>
      </c>
      <c r="GX33" s="2">
        <v>0</v>
      </c>
      <c r="GY33" s="2">
        <v>0</v>
      </c>
      <c r="GZ33" s="2">
        <v>0</v>
      </c>
      <c r="HA33" s="2">
        <v>0</v>
      </c>
      <c r="HB33" s="2">
        <v>0</v>
      </c>
      <c r="HC33" s="2">
        <v>0</v>
      </c>
      <c r="HD33" s="2">
        <v>0</v>
      </c>
      <c r="HE33" s="2">
        <v>0</v>
      </c>
      <c r="HF33" s="2">
        <v>0</v>
      </c>
      <c r="HG33" s="2">
        <v>0</v>
      </c>
      <c r="HH33" s="2">
        <v>0</v>
      </c>
      <c r="HI33" s="2">
        <v>0</v>
      </c>
      <c r="HJ33" s="2">
        <v>0</v>
      </c>
      <c r="HK33" s="2">
        <v>0</v>
      </c>
      <c r="HL33" s="2">
        <v>0</v>
      </c>
      <c r="HM33" s="2">
        <v>0</v>
      </c>
      <c r="HN33" s="2">
        <v>0</v>
      </c>
      <c r="HO33" s="2">
        <v>0</v>
      </c>
      <c r="HP33" s="2">
        <v>0</v>
      </c>
      <c r="HQ33" s="2">
        <v>0</v>
      </c>
      <c r="HR33" s="2">
        <v>0</v>
      </c>
      <c r="HS33" s="2">
        <v>0</v>
      </c>
      <c r="HT33" s="2">
        <v>0</v>
      </c>
      <c r="HU33" s="2">
        <v>0</v>
      </c>
      <c r="HV33" s="2">
        <v>0</v>
      </c>
      <c r="HW33" s="11">
        <v>0</v>
      </c>
      <c r="HX33" s="177">
        <v>0</v>
      </c>
      <c r="HY33" s="29">
        <v>0</v>
      </c>
      <c r="HZ33" s="6">
        <v>0</v>
      </c>
      <c r="II33" t="s">
        <v>26</v>
      </c>
      <c r="JE33" t="s">
        <v>26</v>
      </c>
      <c r="JF33" s="142">
        <v>0</v>
      </c>
      <c r="JG33" s="142">
        <v>0</v>
      </c>
      <c r="JH33" s="142">
        <v>0</v>
      </c>
      <c r="JI33" s="142">
        <v>0</v>
      </c>
      <c r="JJ33" s="142">
        <v>0</v>
      </c>
      <c r="JK33" s="142">
        <v>0</v>
      </c>
      <c r="JL33" s="142">
        <v>0</v>
      </c>
      <c r="JM33" s="142">
        <v>0</v>
      </c>
    </row>
    <row r="34" spans="1:273" outlineLevel="1">
      <c r="A34" t="s">
        <v>70</v>
      </c>
      <c r="C34" t="s">
        <v>24</v>
      </c>
      <c r="E34" s="2">
        <v>0</v>
      </c>
      <c r="F34" s="2">
        <v>0</v>
      </c>
      <c r="G34" s="2">
        <v>0</v>
      </c>
      <c r="H34" s="2">
        <v>0</v>
      </c>
      <c r="I34" s="2">
        <v>0</v>
      </c>
      <c r="J34" s="2">
        <v>0</v>
      </c>
      <c r="K34" s="2">
        <v>0</v>
      </c>
      <c r="L34" s="2">
        <v>650</v>
      </c>
      <c r="M34" s="2">
        <v>600</v>
      </c>
      <c r="N34" s="2">
        <v>0</v>
      </c>
      <c r="O34" s="2">
        <v>0</v>
      </c>
      <c r="P34" s="2">
        <v>0</v>
      </c>
      <c r="Q34" s="2">
        <v>0</v>
      </c>
      <c r="R34" s="2">
        <v>250</v>
      </c>
      <c r="S34" s="2">
        <v>0</v>
      </c>
      <c r="T34" s="2">
        <v>50</v>
      </c>
      <c r="U34" s="2">
        <v>50</v>
      </c>
      <c r="V34" s="2">
        <v>800</v>
      </c>
      <c r="W34" s="2">
        <v>0</v>
      </c>
      <c r="X34" s="2">
        <v>0</v>
      </c>
      <c r="Y34" s="2">
        <v>150</v>
      </c>
      <c r="Z34" s="2">
        <v>0</v>
      </c>
      <c r="AA34" s="2">
        <v>200</v>
      </c>
      <c r="AB34" s="2">
        <v>0</v>
      </c>
      <c r="AC34" s="2">
        <v>0</v>
      </c>
      <c r="AD34" s="2">
        <v>0</v>
      </c>
      <c r="AE34" s="2">
        <v>300</v>
      </c>
      <c r="AF34" s="2">
        <v>0</v>
      </c>
      <c r="AG34" s="2">
        <v>270</v>
      </c>
      <c r="AH34" s="2">
        <v>110</v>
      </c>
      <c r="AI34" s="2">
        <v>0</v>
      </c>
      <c r="AJ34" s="2">
        <v>0</v>
      </c>
      <c r="AK34" s="2">
        <v>0</v>
      </c>
      <c r="AL34" s="2">
        <v>0</v>
      </c>
      <c r="AM34" s="2">
        <v>0</v>
      </c>
      <c r="AN34" s="2">
        <v>0</v>
      </c>
      <c r="AO34" s="2">
        <v>0</v>
      </c>
      <c r="AP34" s="2">
        <v>120</v>
      </c>
      <c r="AQ34" s="2">
        <v>0</v>
      </c>
      <c r="AR34" s="2">
        <v>0</v>
      </c>
      <c r="AS34" s="2">
        <v>0</v>
      </c>
      <c r="AT34" s="2">
        <v>0</v>
      </c>
      <c r="AU34" s="2">
        <v>0</v>
      </c>
      <c r="AV34" s="2">
        <v>0</v>
      </c>
      <c r="AW34" s="2">
        <v>0</v>
      </c>
      <c r="AX34" s="2">
        <v>0</v>
      </c>
      <c r="AY34" s="2">
        <v>0</v>
      </c>
      <c r="AZ34" s="2">
        <v>0</v>
      </c>
      <c r="BA34" s="2">
        <v>0</v>
      </c>
      <c r="BB34" s="2">
        <v>0</v>
      </c>
      <c r="BC34" s="2">
        <v>0</v>
      </c>
      <c r="BD34" s="2">
        <v>0</v>
      </c>
      <c r="BE34" s="2">
        <v>0</v>
      </c>
      <c r="BF34" s="2">
        <v>0</v>
      </c>
      <c r="BG34" s="2">
        <v>0</v>
      </c>
      <c r="BH34" s="2">
        <v>0</v>
      </c>
      <c r="BI34" s="2">
        <v>200</v>
      </c>
      <c r="BJ34" s="2">
        <v>150</v>
      </c>
      <c r="BK34" s="2">
        <v>0</v>
      </c>
      <c r="BL34" s="2">
        <v>0</v>
      </c>
      <c r="BM34" s="2">
        <v>0</v>
      </c>
      <c r="BN34" s="2">
        <v>0</v>
      </c>
      <c r="BO34" s="2">
        <v>0</v>
      </c>
      <c r="BP34" s="2">
        <v>0</v>
      </c>
      <c r="BQ34" s="2">
        <v>0</v>
      </c>
      <c r="BR34" s="2">
        <v>0</v>
      </c>
      <c r="BS34" s="2">
        <v>0</v>
      </c>
      <c r="BT34" s="2">
        <v>0</v>
      </c>
      <c r="BU34" s="2">
        <v>0</v>
      </c>
      <c r="BV34" s="2">
        <v>0</v>
      </c>
      <c r="BW34" s="2">
        <v>0</v>
      </c>
      <c r="BX34" s="2">
        <v>0</v>
      </c>
      <c r="BY34" s="2">
        <v>0</v>
      </c>
      <c r="BZ34" s="2">
        <v>380</v>
      </c>
      <c r="CA34" s="2">
        <v>0</v>
      </c>
      <c r="CB34" s="2">
        <v>0</v>
      </c>
      <c r="CC34" s="2">
        <v>0</v>
      </c>
      <c r="CD34" s="2">
        <v>0</v>
      </c>
      <c r="CE34" s="2">
        <v>0</v>
      </c>
      <c r="CF34" s="2">
        <v>0</v>
      </c>
      <c r="CG34" s="2">
        <v>120</v>
      </c>
      <c r="CH34" s="2">
        <v>0</v>
      </c>
      <c r="CI34" s="2">
        <v>2800</v>
      </c>
      <c r="CJ34" s="2">
        <v>0</v>
      </c>
      <c r="CK34" s="2">
        <v>0</v>
      </c>
      <c r="CL34" s="2">
        <v>0</v>
      </c>
      <c r="CM34" s="2">
        <v>0</v>
      </c>
      <c r="CN34" s="2">
        <v>0</v>
      </c>
      <c r="CO34" s="2">
        <v>0</v>
      </c>
      <c r="CP34" s="2">
        <v>0</v>
      </c>
      <c r="CQ34" s="2">
        <v>0</v>
      </c>
      <c r="CR34" s="2">
        <v>0</v>
      </c>
      <c r="CS34" s="2">
        <v>0</v>
      </c>
      <c r="CT34" s="2">
        <v>0</v>
      </c>
      <c r="CU34" s="2">
        <v>0</v>
      </c>
      <c r="CV34" s="2">
        <v>0</v>
      </c>
      <c r="CW34" s="2">
        <v>0</v>
      </c>
      <c r="CX34" s="2">
        <v>0</v>
      </c>
      <c r="CY34" s="2">
        <v>0</v>
      </c>
      <c r="CZ34" s="2">
        <v>0</v>
      </c>
      <c r="DA34" s="2">
        <v>0</v>
      </c>
      <c r="DB34" s="2">
        <v>0</v>
      </c>
      <c r="DC34" s="2">
        <v>0</v>
      </c>
      <c r="DD34" s="2">
        <v>0</v>
      </c>
      <c r="DE34" s="2">
        <v>600</v>
      </c>
      <c r="DF34" s="2">
        <v>0</v>
      </c>
      <c r="DG34" s="2">
        <v>0</v>
      </c>
      <c r="DH34" s="2">
        <v>0</v>
      </c>
      <c r="DI34" s="2">
        <v>0</v>
      </c>
      <c r="DJ34" s="2">
        <v>0</v>
      </c>
      <c r="DK34" s="2">
        <v>0</v>
      </c>
      <c r="DL34" s="2">
        <v>0</v>
      </c>
      <c r="DM34" s="2">
        <v>0</v>
      </c>
      <c r="DN34" s="2">
        <v>650</v>
      </c>
      <c r="DO34" s="2">
        <v>0</v>
      </c>
      <c r="DP34" s="2">
        <v>0</v>
      </c>
      <c r="DQ34" s="2">
        <v>0</v>
      </c>
      <c r="DR34" s="2">
        <v>0</v>
      </c>
      <c r="DS34" s="2">
        <v>0</v>
      </c>
      <c r="DT34" s="2">
        <v>0</v>
      </c>
      <c r="DU34" s="2">
        <v>0</v>
      </c>
      <c r="DV34" s="2">
        <v>0</v>
      </c>
      <c r="DW34" s="2">
        <v>300</v>
      </c>
      <c r="DX34" s="2">
        <v>0</v>
      </c>
      <c r="DY34" s="2">
        <v>0</v>
      </c>
      <c r="DZ34" s="2">
        <v>0</v>
      </c>
      <c r="EA34" s="2">
        <v>0</v>
      </c>
      <c r="EB34" s="2">
        <v>0</v>
      </c>
      <c r="EC34" s="2">
        <v>0</v>
      </c>
      <c r="ED34" s="2">
        <v>0</v>
      </c>
      <c r="EE34" s="2">
        <v>0</v>
      </c>
      <c r="EF34" s="2">
        <v>0</v>
      </c>
      <c r="EG34" s="2">
        <v>0</v>
      </c>
      <c r="EH34" s="2">
        <v>0</v>
      </c>
      <c r="EI34" s="2">
        <v>0</v>
      </c>
      <c r="EJ34" s="2">
        <v>0</v>
      </c>
      <c r="EK34" s="2">
        <v>0</v>
      </c>
      <c r="EL34" s="2">
        <v>0</v>
      </c>
      <c r="EM34" s="2">
        <v>0</v>
      </c>
      <c r="EN34" s="2">
        <v>0</v>
      </c>
      <c r="EO34" s="2">
        <v>0</v>
      </c>
      <c r="EP34" s="2">
        <v>0</v>
      </c>
      <c r="EQ34" s="2">
        <v>0</v>
      </c>
      <c r="ER34" s="2">
        <v>0</v>
      </c>
      <c r="ES34" s="2">
        <v>0</v>
      </c>
      <c r="ET34" s="2">
        <v>2800</v>
      </c>
      <c r="EU34" s="2">
        <v>0</v>
      </c>
      <c r="EV34" s="2">
        <v>0</v>
      </c>
      <c r="EW34" s="2">
        <v>850</v>
      </c>
      <c r="EX34" s="2">
        <v>0</v>
      </c>
      <c r="EY34" s="2">
        <v>0</v>
      </c>
      <c r="EZ34" s="2">
        <v>0</v>
      </c>
      <c r="FA34" s="2">
        <v>0</v>
      </c>
      <c r="FB34" s="2">
        <v>0</v>
      </c>
      <c r="FC34" s="2">
        <v>0</v>
      </c>
      <c r="FD34" s="2">
        <v>0</v>
      </c>
      <c r="FE34" s="2">
        <v>1800</v>
      </c>
      <c r="FF34" s="2">
        <v>0</v>
      </c>
      <c r="FG34" s="2">
        <v>0</v>
      </c>
      <c r="FH34" s="2">
        <v>0</v>
      </c>
      <c r="FI34" s="2">
        <v>0</v>
      </c>
      <c r="FJ34" s="2">
        <v>0</v>
      </c>
      <c r="FK34" s="2">
        <v>685</v>
      </c>
      <c r="FL34" s="2">
        <v>0</v>
      </c>
      <c r="FM34" s="2">
        <v>990</v>
      </c>
      <c r="FN34" s="2">
        <v>0</v>
      </c>
      <c r="FO34" s="2">
        <v>600</v>
      </c>
      <c r="FP34" s="2">
        <v>0</v>
      </c>
      <c r="FQ34" s="2">
        <v>0</v>
      </c>
      <c r="FR34" s="2">
        <v>0</v>
      </c>
      <c r="FS34" s="2">
        <v>0</v>
      </c>
      <c r="FT34" s="2">
        <v>0</v>
      </c>
      <c r="FU34" s="2">
        <v>0</v>
      </c>
      <c r="FV34" s="2">
        <v>0</v>
      </c>
      <c r="FW34" s="2">
        <v>0</v>
      </c>
      <c r="FX34" s="2">
        <v>0</v>
      </c>
      <c r="FY34" s="2">
        <v>0</v>
      </c>
      <c r="FZ34" s="2">
        <v>500</v>
      </c>
      <c r="GA34" s="2">
        <v>0</v>
      </c>
      <c r="GB34" s="2">
        <v>0</v>
      </c>
      <c r="GC34" s="2">
        <v>0</v>
      </c>
      <c r="GD34" s="2">
        <v>0</v>
      </c>
      <c r="GE34" s="2">
        <v>0</v>
      </c>
      <c r="GF34" s="2">
        <v>0</v>
      </c>
      <c r="GG34" s="2">
        <v>0</v>
      </c>
      <c r="GH34" s="2">
        <v>0</v>
      </c>
      <c r="GI34" s="2">
        <v>0</v>
      </c>
      <c r="GJ34" s="2">
        <v>0</v>
      </c>
      <c r="GK34" s="2">
        <v>0</v>
      </c>
      <c r="GL34" s="2">
        <v>0</v>
      </c>
      <c r="GM34" s="2">
        <v>0</v>
      </c>
      <c r="GN34" s="2">
        <v>2500</v>
      </c>
      <c r="GO34" s="2">
        <v>0</v>
      </c>
      <c r="GP34" s="2">
        <v>0</v>
      </c>
      <c r="GQ34" s="2">
        <v>0</v>
      </c>
      <c r="GR34" s="2">
        <v>0</v>
      </c>
      <c r="GS34" s="2">
        <v>0</v>
      </c>
      <c r="GT34" s="2">
        <v>0</v>
      </c>
      <c r="GU34" s="2">
        <v>0</v>
      </c>
      <c r="GV34" s="2">
        <v>500</v>
      </c>
      <c r="GW34" s="2">
        <v>0</v>
      </c>
      <c r="GX34" s="2">
        <v>0</v>
      </c>
      <c r="GY34" s="2">
        <v>0</v>
      </c>
      <c r="GZ34" s="2">
        <v>0</v>
      </c>
      <c r="HA34" s="2">
        <v>0</v>
      </c>
      <c r="HB34" s="2">
        <v>160</v>
      </c>
      <c r="HC34" s="2">
        <v>0</v>
      </c>
      <c r="HD34" s="2">
        <v>0</v>
      </c>
      <c r="HE34" s="2">
        <v>1885</v>
      </c>
      <c r="HF34" s="2">
        <v>1252</v>
      </c>
      <c r="HG34" s="2">
        <v>600</v>
      </c>
      <c r="HH34" s="2">
        <v>0</v>
      </c>
      <c r="HI34" s="2">
        <v>0</v>
      </c>
      <c r="HJ34" s="2">
        <v>0</v>
      </c>
      <c r="HK34" s="2">
        <v>0</v>
      </c>
      <c r="HL34" s="2">
        <v>0</v>
      </c>
      <c r="HM34" s="2">
        <v>0</v>
      </c>
      <c r="HN34" s="2">
        <v>0</v>
      </c>
      <c r="HO34" s="2">
        <v>0</v>
      </c>
      <c r="HP34" s="2">
        <v>0</v>
      </c>
      <c r="HQ34" s="2">
        <v>0</v>
      </c>
      <c r="HR34" s="2">
        <v>0</v>
      </c>
      <c r="HS34" s="2">
        <v>0</v>
      </c>
      <c r="HT34" s="2">
        <v>0</v>
      </c>
      <c r="HU34" s="2">
        <v>0</v>
      </c>
      <c r="HV34" s="2">
        <v>0</v>
      </c>
      <c r="HW34" s="11">
        <v>0</v>
      </c>
      <c r="HX34" s="177">
        <v>0</v>
      </c>
      <c r="HY34" s="29">
        <v>23872</v>
      </c>
      <c r="HZ34" s="6">
        <v>912.7475647259547</v>
      </c>
      <c r="II34" t="s">
        <v>24</v>
      </c>
      <c r="JE34" t="s">
        <v>24</v>
      </c>
      <c r="JF34" s="142">
        <v>0</v>
      </c>
      <c r="JG34" s="142">
        <v>3430</v>
      </c>
      <c r="JH34" s="142">
        <v>470</v>
      </c>
      <c r="JI34" s="142">
        <v>3300</v>
      </c>
      <c r="JJ34" s="142">
        <v>1550</v>
      </c>
      <c r="JK34" s="142">
        <v>5450</v>
      </c>
      <c r="JL34" s="142">
        <v>2775</v>
      </c>
      <c r="JM34" s="142">
        <v>6897</v>
      </c>
    </row>
    <row r="35" spans="1:273" outlineLevel="1">
      <c r="C35" s="9" t="s">
        <v>14</v>
      </c>
      <c r="E35" s="4">
        <v>1950</v>
      </c>
      <c r="F35" s="4">
        <v>2141</v>
      </c>
      <c r="G35" s="4">
        <v>891</v>
      </c>
      <c r="H35" s="4">
        <v>806</v>
      </c>
      <c r="I35" s="4">
        <v>776</v>
      </c>
      <c r="J35" s="4">
        <v>931</v>
      </c>
      <c r="K35" s="4">
        <v>1286</v>
      </c>
      <c r="L35" s="4">
        <v>1646</v>
      </c>
      <c r="M35" s="4">
        <v>1403</v>
      </c>
      <c r="N35" s="4">
        <v>806</v>
      </c>
      <c r="O35" s="4">
        <v>716</v>
      </c>
      <c r="P35" s="4">
        <v>1379</v>
      </c>
      <c r="Q35" s="4">
        <v>2991</v>
      </c>
      <c r="R35" s="4">
        <v>1065</v>
      </c>
      <c r="S35" s="4">
        <v>1531</v>
      </c>
      <c r="T35" s="4">
        <v>1151</v>
      </c>
      <c r="U35" s="4">
        <v>1336</v>
      </c>
      <c r="V35" s="4">
        <v>1431</v>
      </c>
      <c r="W35" s="4">
        <v>425</v>
      </c>
      <c r="X35" s="4">
        <v>5645</v>
      </c>
      <c r="Y35" s="4">
        <v>1295</v>
      </c>
      <c r="Z35" s="4">
        <v>780</v>
      </c>
      <c r="AA35" s="4">
        <v>1725</v>
      </c>
      <c r="AB35" s="4">
        <v>2390</v>
      </c>
      <c r="AC35" s="4">
        <v>735</v>
      </c>
      <c r="AD35" s="4">
        <v>1415</v>
      </c>
      <c r="AE35" s="4">
        <v>1130</v>
      </c>
      <c r="AF35" s="4">
        <v>2165</v>
      </c>
      <c r="AG35" s="4">
        <v>1405</v>
      </c>
      <c r="AH35" s="4">
        <v>1265</v>
      </c>
      <c r="AI35" s="4">
        <v>840</v>
      </c>
      <c r="AJ35" s="4">
        <v>1280</v>
      </c>
      <c r="AK35" s="4">
        <v>1120</v>
      </c>
      <c r="AL35" s="4">
        <v>1230</v>
      </c>
      <c r="AM35" s="4">
        <v>3110</v>
      </c>
      <c r="AN35" s="4">
        <v>780</v>
      </c>
      <c r="AO35" s="4">
        <v>1275</v>
      </c>
      <c r="AP35" s="4">
        <v>710</v>
      </c>
      <c r="AQ35" s="4">
        <v>1600</v>
      </c>
      <c r="AR35" s="4">
        <v>830</v>
      </c>
      <c r="AS35" s="4">
        <v>1417</v>
      </c>
      <c r="AT35" s="4">
        <v>1120</v>
      </c>
      <c r="AU35" s="4">
        <v>1390</v>
      </c>
      <c r="AV35" s="4">
        <v>1230</v>
      </c>
      <c r="AW35" s="4">
        <v>882.5</v>
      </c>
      <c r="AX35" s="4">
        <v>1132.5</v>
      </c>
      <c r="AY35" s="4">
        <v>997.5</v>
      </c>
      <c r="AZ35" s="4">
        <v>992.5</v>
      </c>
      <c r="BA35" s="4">
        <v>777.5</v>
      </c>
      <c r="BB35" s="4">
        <v>1092.5</v>
      </c>
      <c r="BC35" s="4">
        <v>877.5</v>
      </c>
      <c r="BD35" s="4">
        <v>802.5</v>
      </c>
      <c r="BE35" s="4">
        <v>1052.5</v>
      </c>
      <c r="BF35" s="4">
        <v>917.5</v>
      </c>
      <c r="BG35" s="4">
        <v>515.5</v>
      </c>
      <c r="BH35" s="4">
        <v>1157.5</v>
      </c>
      <c r="BI35" s="4">
        <v>932.5</v>
      </c>
      <c r="BJ35" s="4">
        <v>1437.5</v>
      </c>
      <c r="BK35" s="4">
        <v>1007.5</v>
      </c>
      <c r="BL35" s="4">
        <v>1377.5</v>
      </c>
      <c r="BM35" s="4">
        <v>1121.33</v>
      </c>
      <c r="BN35" s="4">
        <v>2300.33</v>
      </c>
      <c r="BO35" s="4">
        <v>1118.33</v>
      </c>
      <c r="BP35" s="4">
        <v>1508.33</v>
      </c>
      <c r="BQ35" s="4">
        <v>3320.33</v>
      </c>
      <c r="BR35" s="4">
        <v>933.33</v>
      </c>
      <c r="BS35" s="4">
        <v>883.33</v>
      </c>
      <c r="BT35" s="4">
        <v>1183.33</v>
      </c>
      <c r="BU35" s="4">
        <v>878.33</v>
      </c>
      <c r="BV35" s="4">
        <v>793.33</v>
      </c>
      <c r="BW35" s="4">
        <v>803.33</v>
      </c>
      <c r="BX35" s="4">
        <v>903.33</v>
      </c>
      <c r="BY35" s="4">
        <v>713.33</v>
      </c>
      <c r="BZ35" s="4">
        <v>2063.33</v>
      </c>
      <c r="CA35" s="4">
        <v>1458.33</v>
      </c>
      <c r="CB35" s="4">
        <v>1076.6667</v>
      </c>
      <c r="CC35" s="4">
        <v>761.66669999999999</v>
      </c>
      <c r="CD35" s="4">
        <v>1956.6667</v>
      </c>
      <c r="CE35" s="4">
        <v>3671.6666999999998</v>
      </c>
      <c r="CF35" s="4">
        <v>1351.6667</v>
      </c>
      <c r="CG35" s="4">
        <v>1381.6667</v>
      </c>
      <c r="CH35" s="4">
        <v>1136.6667</v>
      </c>
      <c r="CI35" s="4">
        <v>3741.6666999999998</v>
      </c>
      <c r="CJ35" s="4">
        <v>8271.6666999999998</v>
      </c>
      <c r="CK35" s="4">
        <v>911.66669999999999</v>
      </c>
      <c r="CL35" s="4">
        <v>1171.6667</v>
      </c>
      <c r="CM35" s="4">
        <v>1226.6667</v>
      </c>
      <c r="CN35" s="4">
        <v>1651.6667</v>
      </c>
      <c r="CO35" s="4">
        <v>1411.6667</v>
      </c>
      <c r="CP35" s="4">
        <v>1382.5</v>
      </c>
      <c r="CQ35" s="4">
        <v>1392.5</v>
      </c>
      <c r="CR35" s="4">
        <v>1337.5</v>
      </c>
      <c r="CS35" s="4">
        <v>892.5</v>
      </c>
      <c r="CT35" s="4">
        <v>987.5</v>
      </c>
      <c r="CU35" s="4">
        <v>1857.5</v>
      </c>
      <c r="CV35" s="4">
        <v>877.5</v>
      </c>
      <c r="CW35" s="4">
        <v>1312.5</v>
      </c>
      <c r="CX35" s="4">
        <v>772.5</v>
      </c>
      <c r="CY35" s="4">
        <v>1732.5</v>
      </c>
      <c r="CZ35" s="4">
        <v>1392.5</v>
      </c>
      <c r="DA35" s="4">
        <v>1527.5</v>
      </c>
      <c r="DB35" s="4">
        <v>1467.5</v>
      </c>
      <c r="DC35" s="4">
        <v>1222.5</v>
      </c>
      <c r="DD35" s="4">
        <v>1102.5</v>
      </c>
      <c r="DE35" s="4">
        <v>1922.5</v>
      </c>
      <c r="DF35" s="4">
        <v>711.66669999999999</v>
      </c>
      <c r="DG35" s="4">
        <v>1655.6667</v>
      </c>
      <c r="DH35" s="4">
        <v>1470.6667</v>
      </c>
      <c r="DI35" s="4">
        <v>1875.6667</v>
      </c>
      <c r="DJ35" s="4">
        <v>1161.6667</v>
      </c>
      <c r="DK35" s="4">
        <v>946.66669999999999</v>
      </c>
      <c r="DL35" s="4">
        <v>996.66669999999999</v>
      </c>
      <c r="DM35" s="4">
        <v>2816.6666999999998</v>
      </c>
      <c r="DN35" s="4">
        <v>1581.6667</v>
      </c>
      <c r="DO35" s="4">
        <v>1136.6667</v>
      </c>
      <c r="DP35" s="4">
        <v>1306.6667</v>
      </c>
      <c r="DQ35" s="4">
        <v>1081.6667</v>
      </c>
      <c r="DR35" s="4">
        <v>916.66669999999999</v>
      </c>
      <c r="DS35" s="4">
        <v>5856.6666999999998</v>
      </c>
      <c r="DT35" s="4">
        <v>1281.6667</v>
      </c>
      <c r="DU35" s="4">
        <v>676.66669999999999</v>
      </c>
      <c r="DV35" s="4">
        <v>1346.6667</v>
      </c>
      <c r="DW35" s="4">
        <v>1281.6667</v>
      </c>
      <c r="DX35" s="4">
        <v>926.66669999999999</v>
      </c>
      <c r="DY35" s="4">
        <v>2666.6666999999998</v>
      </c>
      <c r="DZ35" s="4">
        <v>1586.6667</v>
      </c>
      <c r="EA35" s="4">
        <v>1096.6667</v>
      </c>
      <c r="EB35" s="4">
        <v>1248.6667</v>
      </c>
      <c r="EC35" s="4">
        <v>1081.6667</v>
      </c>
      <c r="ED35" s="4">
        <v>1031.6667</v>
      </c>
      <c r="EE35" s="4">
        <v>1106.6667</v>
      </c>
      <c r="EF35" s="4">
        <v>1621.6667</v>
      </c>
      <c r="EG35" s="4">
        <v>991.66669999999999</v>
      </c>
      <c r="EH35" s="4">
        <v>746.66669999999999</v>
      </c>
      <c r="EI35" s="4">
        <v>869.66669999999999</v>
      </c>
      <c r="EJ35" s="4">
        <v>941.61290000000008</v>
      </c>
      <c r="EK35" s="4">
        <v>997.61290000000008</v>
      </c>
      <c r="EL35" s="4">
        <v>4571.6129000000001</v>
      </c>
      <c r="EM35" s="4">
        <v>1701.6129000000001</v>
      </c>
      <c r="EN35" s="4">
        <v>2796.6129000000001</v>
      </c>
      <c r="EO35" s="4">
        <v>1216.6129000000001</v>
      </c>
      <c r="EP35" s="4">
        <v>1131.6129000000001</v>
      </c>
      <c r="EQ35" s="4">
        <v>2001.6129000000001</v>
      </c>
      <c r="ER35" s="4">
        <v>1236.6129000000001</v>
      </c>
      <c r="ES35" s="4">
        <v>1036.6129000000001</v>
      </c>
      <c r="ET35" s="4">
        <v>3746.6129000000001</v>
      </c>
      <c r="EU35" s="4">
        <v>1096.6129000000001</v>
      </c>
      <c r="EV35" s="4">
        <v>991.61290000000008</v>
      </c>
      <c r="EW35" s="4">
        <v>1791.6129000000001</v>
      </c>
      <c r="EX35" s="4">
        <v>950.61290000000008</v>
      </c>
      <c r="EY35" s="4">
        <v>1066.6129000000001</v>
      </c>
      <c r="EZ35" s="4">
        <v>936.61290000000008</v>
      </c>
      <c r="FA35" s="4">
        <v>3741.6129000000001</v>
      </c>
      <c r="FB35" s="4">
        <v>2851.6129000000001</v>
      </c>
      <c r="FC35" s="4">
        <v>2296.6129000000001</v>
      </c>
      <c r="FD35" s="4">
        <v>821.61290000000008</v>
      </c>
      <c r="FE35" s="4">
        <v>3216.6129000000001</v>
      </c>
      <c r="FF35" s="4">
        <v>881.61290000000008</v>
      </c>
      <c r="FG35" s="4">
        <v>1281.6129000000001</v>
      </c>
      <c r="FH35" s="4">
        <v>1501.6129000000001</v>
      </c>
      <c r="FI35" s="4">
        <v>2426.6129000000001</v>
      </c>
      <c r="FJ35" s="4">
        <v>771.61290000000008</v>
      </c>
      <c r="FK35" s="4">
        <v>1638.6129000000001</v>
      </c>
      <c r="FL35" s="4">
        <v>1382.6129000000001</v>
      </c>
      <c r="FM35" s="4">
        <v>3156.6129000000001</v>
      </c>
      <c r="FN35" s="4">
        <v>986.61290000000008</v>
      </c>
      <c r="FO35" s="4">
        <v>1444.0967700000001</v>
      </c>
      <c r="FP35" s="4">
        <v>992.09676999999999</v>
      </c>
      <c r="FQ35" s="4">
        <v>1307.0967700000001</v>
      </c>
      <c r="FR35" s="4">
        <v>827.09676999999999</v>
      </c>
      <c r="FS35" s="4">
        <v>1007.09677</v>
      </c>
      <c r="FT35" s="4">
        <v>965.09676999999999</v>
      </c>
      <c r="FU35" s="4">
        <v>1132.0967700000001</v>
      </c>
      <c r="FV35" s="4">
        <v>947.09676999999999</v>
      </c>
      <c r="FW35" s="4">
        <v>962.09676999999999</v>
      </c>
      <c r="FX35" s="4">
        <v>1137.0967700000001</v>
      </c>
      <c r="FY35" s="4">
        <v>706.09676999999999</v>
      </c>
      <c r="FZ35" s="4">
        <v>1452.0967700000001</v>
      </c>
      <c r="GA35" s="4">
        <v>902.09676999999999</v>
      </c>
      <c r="GB35" s="4">
        <v>702.09676999999999</v>
      </c>
      <c r="GC35" s="4">
        <v>3802.0967700000001</v>
      </c>
      <c r="GD35" s="4">
        <v>1213.0967700000001</v>
      </c>
      <c r="GE35" s="4">
        <v>922.09676999999999</v>
      </c>
      <c r="GF35" s="4">
        <v>2479.0967700000001</v>
      </c>
      <c r="GG35" s="4">
        <v>757.09676999999999</v>
      </c>
      <c r="GH35" s="4">
        <v>961.09676999999999</v>
      </c>
      <c r="GI35" s="4">
        <v>1371.0967700000001</v>
      </c>
      <c r="GJ35" s="4">
        <v>907.09676999999999</v>
      </c>
      <c r="GK35" s="4">
        <v>845.09676999999999</v>
      </c>
      <c r="GL35" s="4">
        <v>1327.0967700000001</v>
      </c>
      <c r="GM35" s="4">
        <v>842.09676999999999</v>
      </c>
      <c r="GN35" s="4">
        <v>3277.0967700000001</v>
      </c>
      <c r="GO35" s="4">
        <v>1052.0967700000001</v>
      </c>
      <c r="GP35" s="4">
        <v>942.09676999999999</v>
      </c>
      <c r="GQ35" s="4">
        <v>972.09676999999999</v>
      </c>
      <c r="GR35" s="4">
        <v>920.09676999999999</v>
      </c>
      <c r="GS35" s="4">
        <v>1027.0967700000001</v>
      </c>
      <c r="GT35" s="4">
        <v>1410</v>
      </c>
      <c r="GU35" s="4">
        <v>1270</v>
      </c>
      <c r="GV35" s="4">
        <v>1590</v>
      </c>
      <c r="GW35" s="4">
        <v>400</v>
      </c>
      <c r="GX35" s="4">
        <v>1320</v>
      </c>
      <c r="GY35" s="4">
        <v>3080</v>
      </c>
      <c r="GZ35" s="4">
        <v>2030</v>
      </c>
      <c r="HA35" s="4">
        <v>2510</v>
      </c>
      <c r="HB35" s="4">
        <v>2925</v>
      </c>
      <c r="HC35" s="4">
        <v>850</v>
      </c>
      <c r="HD35" s="4">
        <v>695</v>
      </c>
      <c r="HE35" s="4">
        <v>3280</v>
      </c>
      <c r="HF35" s="4">
        <v>3952</v>
      </c>
      <c r="HG35" s="4">
        <v>1680</v>
      </c>
      <c r="HH35" s="4">
        <v>0</v>
      </c>
      <c r="HI35" s="4">
        <v>0</v>
      </c>
      <c r="HJ35" s="4">
        <v>0</v>
      </c>
      <c r="HK35" s="4">
        <v>0</v>
      </c>
      <c r="HL35" s="4">
        <v>0</v>
      </c>
      <c r="HM35" s="4">
        <v>0</v>
      </c>
      <c r="HN35" s="4">
        <v>0</v>
      </c>
      <c r="HO35" s="4">
        <v>0</v>
      </c>
      <c r="HP35" s="4">
        <v>0</v>
      </c>
      <c r="HQ35" s="4">
        <v>0</v>
      </c>
      <c r="HR35" s="4">
        <v>0</v>
      </c>
      <c r="HS35" s="4">
        <v>0</v>
      </c>
      <c r="HT35" s="4">
        <v>0</v>
      </c>
      <c r="HU35" s="4">
        <v>0</v>
      </c>
      <c r="HV35" s="4">
        <v>0</v>
      </c>
      <c r="HW35" s="196">
        <v>0</v>
      </c>
      <c r="HX35" s="182">
        <v>0</v>
      </c>
      <c r="HY35" s="29">
        <v>312719.28457000043</v>
      </c>
      <c r="HZ35" s="6">
        <v>11956.843391174209</v>
      </c>
      <c r="II35" s="9" t="s">
        <v>14</v>
      </c>
      <c r="JE35" s="9" t="s">
        <v>96</v>
      </c>
      <c r="JF35" s="161">
        <v>5788</v>
      </c>
      <c r="JG35" s="161">
        <v>46403</v>
      </c>
      <c r="JH35" s="161">
        <v>35673.650000000009</v>
      </c>
      <c r="JI35" s="161">
        <v>48186.633800000011</v>
      </c>
      <c r="JJ35" s="161">
        <v>46612.000700000026</v>
      </c>
      <c r="JK35" s="161">
        <v>50935.484100000001</v>
      </c>
      <c r="JL35" s="161">
        <v>40923.645039999996</v>
      </c>
      <c r="JM35" s="161">
        <v>38196.870930000005</v>
      </c>
    </row>
    <row r="36" spans="1:273" ht="15" thickBot="1">
      <c r="A36" s="9" t="s">
        <v>96</v>
      </c>
      <c r="C36" s="9"/>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HZ36" s="14"/>
      <c r="II36" s="9">
        <v>0</v>
      </c>
      <c r="IN36" s="4" t="s">
        <v>253</v>
      </c>
      <c r="IO36" s="4"/>
      <c r="IP36" s="4" t="s">
        <v>254</v>
      </c>
      <c r="IR36" s="4" t="s">
        <v>249</v>
      </c>
      <c r="IS36" s="4" t="s">
        <v>256</v>
      </c>
      <c r="IT36" s="4" t="s">
        <v>257</v>
      </c>
      <c r="JE36" s="9">
        <v>0</v>
      </c>
    </row>
    <row r="37" spans="1:273">
      <c r="A37" s="9"/>
      <c r="C37" s="9"/>
      <c r="F37" s="4"/>
      <c r="G37" s="4"/>
      <c r="H37" s="4"/>
      <c r="I37" s="4"/>
      <c r="J37" s="4"/>
      <c r="K37" s="4"/>
      <c r="L37" s="4"/>
      <c r="M37" s="4"/>
      <c r="N37" s="4"/>
      <c r="O37" s="4"/>
      <c r="P37" s="4"/>
      <c r="Q37" s="4"/>
      <c r="R37" s="4"/>
      <c r="S37" s="4"/>
      <c r="T37" s="4"/>
      <c r="U37" s="4"/>
      <c r="V37" s="4"/>
      <c r="W37" s="4"/>
      <c r="X37" s="4"/>
      <c r="HZ37" s="14"/>
      <c r="II37" s="9">
        <v>0</v>
      </c>
      <c r="IO37" s="2" t="s">
        <v>251</v>
      </c>
      <c r="IP37" t="s">
        <v>259</v>
      </c>
      <c r="IQ37" s="114">
        <v>14460.562897227672</v>
      </c>
      <c r="IR37" s="147">
        <v>3235.83</v>
      </c>
      <c r="IS37" s="4">
        <v>580</v>
      </c>
      <c r="IT37" s="2">
        <v>202003</v>
      </c>
      <c r="JE37" s="9">
        <v>0</v>
      </c>
    </row>
    <row r="38" spans="1:273" outlineLevel="1">
      <c r="A38" s="9"/>
      <c r="C38" s="9"/>
      <c r="F38" s="2" t="s">
        <v>87</v>
      </c>
      <c r="G38" s="2" t="s">
        <v>88</v>
      </c>
      <c r="H38" s="2" t="s">
        <v>89</v>
      </c>
      <c r="I38" s="2" t="s">
        <v>90</v>
      </c>
      <c r="J38" s="2" t="s">
        <v>289</v>
      </c>
      <c r="K38" s="2" t="s">
        <v>85</v>
      </c>
      <c r="L38" s="2" t="s">
        <v>86</v>
      </c>
      <c r="M38" s="2" t="s">
        <v>87</v>
      </c>
      <c r="N38" s="2" t="s">
        <v>88</v>
      </c>
      <c r="O38" s="2" t="s">
        <v>89</v>
      </c>
      <c r="P38" s="2" t="s">
        <v>90</v>
      </c>
      <c r="Q38" s="2" t="s">
        <v>289</v>
      </c>
      <c r="R38" s="2" t="s">
        <v>85</v>
      </c>
      <c r="S38" s="2" t="s">
        <v>86</v>
      </c>
      <c r="T38" s="2" t="s">
        <v>87</v>
      </c>
      <c r="U38" s="2" t="s">
        <v>88</v>
      </c>
      <c r="V38" s="2" t="s">
        <v>89</v>
      </c>
      <c r="W38" s="2" t="s">
        <v>90</v>
      </c>
      <c r="X38" s="2" t="s">
        <v>289</v>
      </c>
      <c r="Y38" s="2" t="s">
        <v>85</v>
      </c>
      <c r="Z38" s="2" t="s">
        <v>86</v>
      </c>
      <c r="AA38" s="2" t="s">
        <v>87</v>
      </c>
      <c r="AB38" s="2" t="s">
        <v>88</v>
      </c>
      <c r="AC38" s="2" t="s">
        <v>89</v>
      </c>
      <c r="AD38" s="2" t="s">
        <v>90</v>
      </c>
      <c r="AE38" s="2" t="s">
        <v>289</v>
      </c>
      <c r="AF38" s="2" t="s">
        <v>85</v>
      </c>
      <c r="AG38" s="2" t="s">
        <v>86</v>
      </c>
      <c r="AH38" s="2" t="s">
        <v>87</v>
      </c>
      <c r="AI38" s="2" t="s">
        <v>88</v>
      </c>
      <c r="AJ38" s="2" t="s">
        <v>89</v>
      </c>
      <c r="AK38" s="2" t="s">
        <v>90</v>
      </c>
      <c r="AL38" s="2" t="s">
        <v>289</v>
      </c>
      <c r="AM38" s="2" t="s">
        <v>85</v>
      </c>
      <c r="AN38" s="2" t="s">
        <v>86</v>
      </c>
      <c r="AO38" s="2" t="s">
        <v>87</v>
      </c>
      <c r="AP38" s="2" t="s">
        <v>88</v>
      </c>
      <c r="AQ38" s="2" t="s">
        <v>89</v>
      </c>
      <c r="AR38" s="2" t="s">
        <v>90</v>
      </c>
      <c r="AS38" s="2" t="s">
        <v>289</v>
      </c>
      <c r="AT38" s="2" t="s">
        <v>85</v>
      </c>
      <c r="AU38" s="2" t="s">
        <v>86</v>
      </c>
      <c r="AV38" s="2" t="s">
        <v>87</v>
      </c>
      <c r="AW38" s="2" t="s">
        <v>88</v>
      </c>
      <c r="AX38" s="2" t="s">
        <v>89</v>
      </c>
      <c r="AY38" s="2" t="s">
        <v>90</v>
      </c>
      <c r="AZ38" s="2" t="s">
        <v>289</v>
      </c>
      <c r="BA38" s="2" t="s">
        <v>85</v>
      </c>
      <c r="BB38" s="2" t="s">
        <v>86</v>
      </c>
      <c r="BC38" s="2" t="s">
        <v>87</v>
      </c>
      <c r="HY38" s="4" t="s">
        <v>9</v>
      </c>
      <c r="HZ38" s="14"/>
      <c r="II38" s="9">
        <v>0</v>
      </c>
      <c r="IN38" s="2">
        <v>3</v>
      </c>
      <c r="IO38" s="2" t="s">
        <v>275</v>
      </c>
      <c r="IP38" s="2" t="s">
        <v>61</v>
      </c>
      <c r="IQ38" s="22">
        <v>-979.02298091103023</v>
      </c>
      <c r="IR38" s="148">
        <v>-325.74</v>
      </c>
      <c r="IS38" s="4">
        <v>580</v>
      </c>
      <c r="IT38" s="2">
        <v>201910</v>
      </c>
      <c r="JE38" s="9">
        <v>0</v>
      </c>
    </row>
    <row r="39" spans="1:273" outlineLevel="1">
      <c r="C39" s="9"/>
      <c r="E39" s="39"/>
      <c r="F39" s="39">
        <v>43888</v>
      </c>
      <c r="G39" s="39">
        <v>43889</v>
      </c>
      <c r="H39" s="39">
        <v>43890</v>
      </c>
      <c r="I39" s="39">
        <v>43891</v>
      </c>
      <c r="J39" s="39">
        <v>43892</v>
      </c>
      <c r="K39" s="39">
        <v>43893</v>
      </c>
      <c r="L39" s="39">
        <v>43894</v>
      </c>
      <c r="M39" s="39">
        <v>43895</v>
      </c>
      <c r="N39" s="39">
        <v>43896</v>
      </c>
      <c r="O39" s="39">
        <v>43897</v>
      </c>
      <c r="P39" s="39">
        <v>43898</v>
      </c>
      <c r="Q39" s="39">
        <v>43899</v>
      </c>
      <c r="R39" s="39">
        <v>43900</v>
      </c>
      <c r="S39" s="39">
        <v>43901</v>
      </c>
      <c r="T39" s="39">
        <v>43902</v>
      </c>
      <c r="U39" s="39">
        <v>43903</v>
      </c>
      <c r="V39" s="39">
        <v>43904</v>
      </c>
      <c r="W39" s="39">
        <v>43905</v>
      </c>
      <c r="X39" s="39">
        <v>43906</v>
      </c>
      <c r="Y39" s="39">
        <v>43907</v>
      </c>
      <c r="Z39" s="39">
        <v>43908</v>
      </c>
      <c r="AA39" s="39">
        <v>43909</v>
      </c>
      <c r="AB39" s="39">
        <v>43910</v>
      </c>
      <c r="AC39" s="39">
        <v>43911</v>
      </c>
      <c r="AD39" s="39">
        <v>43912</v>
      </c>
      <c r="AE39" s="39">
        <v>43913</v>
      </c>
      <c r="AF39" s="39">
        <v>43914</v>
      </c>
      <c r="AG39" s="39">
        <v>43915</v>
      </c>
      <c r="AH39" s="39">
        <v>43916</v>
      </c>
      <c r="AI39" s="39">
        <v>43917</v>
      </c>
      <c r="AJ39" s="39">
        <v>43918</v>
      </c>
      <c r="AK39" s="39">
        <v>43919</v>
      </c>
      <c r="AL39" s="39">
        <v>43920</v>
      </c>
      <c r="AM39" s="39">
        <v>43921</v>
      </c>
      <c r="AN39" s="39">
        <v>43922</v>
      </c>
      <c r="AO39" s="39">
        <v>43923</v>
      </c>
      <c r="AP39" s="39">
        <v>43924</v>
      </c>
      <c r="AQ39" s="39">
        <v>43925</v>
      </c>
      <c r="AR39" s="39">
        <v>43926</v>
      </c>
      <c r="AS39" s="39">
        <v>43927</v>
      </c>
      <c r="AT39" s="39">
        <v>43928</v>
      </c>
      <c r="AU39" s="39">
        <v>43929</v>
      </c>
      <c r="AV39" s="39">
        <v>43930</v>
      </c>
      <c r="AW39" s="39">
        <v>43931</v>
      </c>
      <c r="AX39" s="39">
        <v>43932</v>
      </c>
      <c r="AY39" s="39">
        <v>43933</v>
      </c>
      <c r="AZ39" s="39">
        <v>43934</v>
      </c>
      <c r="BA39" s="39">
        <v>43935</v>
      </c>
      <c r="BB39" s="39">
        <v>43936</v>
      </c>
      <c r="BC39" s="39">
        <v>43937</v>
      </c>
      <c r="BD39" s="2" t="s">
        <v>88</v>
      </c>
      <c r="BE39" s="2" t="s">
        <v>89</v>
      </c>
      <c r="BF39" s="2" t="s">
        <v>90</v>
      </c>
      <c r="BG39" s="2" t="s">
        <v>289</v>
      </c>
      <c r="BH39" s="2" t="s">
        <v>85</v>
      </c>
      <c r="BI39" s="2" t="s">
        <v>86</v>
      </c>
      <c r="BJ39" s="2" t="s">
        <v>87</v>
      </c>
      <c r="BK39" s="2" t="s">
        <v>88</v>
      </c>
      <c r="BL39" s="2" t="s">
        <v>89</v>
      </c>
      <c r="BM39" s="2" t="s">
        <v>90</v>
      </c>
      <c r="BN39" s="2" t="s">
        <v>289</v>
      </c>
      <c r="BO39" s="2" t="s">
        <v>85</v>
      </c>
      <c r="BP39" s="2" t="s">
        <v>86</v>
      </c>
      <c r="BQ39" s="2" t="s">
        <v>87</v>
      </c>
      <c r="BR39" s="2" t="s">
        <v>88</v>
      </c>
      <c r="BS39" s="2" t="s">
        <v>89</v>
      </c>
      <c r="BT39" s="2" t="s">
        <v>90</v>
      </c>
      <c r="BU39" s="2" t="s">
        <v>289</v>
      </c>
      <c r="BV39" s="2" t="s">
        <v>85</v>
      </c>
      <c r="BW39" s="2" t="s">
        <v>86</v>
      </c>
      <c r="BX39" s="2" t="s">
        <v>87</v>
      </c>
      <c r="BY39" s="2" t="s">
        <v>88</v>
      </c>
      <c r="BZ39" s="2" t="s">
        <v>89</v>
      </c>
      <c r="CA39" s="2" t="s">
        <v>90</v>
      </c>
      <c r="CB39" s="2" t="s">
        <v>289</v>
      </c>
      <c r="CC39" s="2" t="s">
        <v>85</v>
      </c>
      <c r="CD39" s="2" t="s">
        <v>86</v>
      </c>
      <c r="CE39" s="2" t="s">
        <v>87</v>
      </c>
      <c r="CF39" s="2" t="s">
        <v>88</v>
      </c>
      <c r="CG39" s="2" t="s">
        <v>89</v>
      </c>
      <c r="CH39" s="2" t="s">
        <v>90</v>
      </c>
      <c r="CI39" s="2" t="s">
        <v>289</v>
      </c>
      <c r="CJ39" s="2" t="s">
        <v>85</v>
      </c>
      <c r="CK39" s="2" t="s">
        <v>86</v>
      </c>
      <c r="CL39" s="2" t="s">
        <v>87</v>
      </c>
      <c r="CM39" s="2" t="s">
        <v>88</v>
      </c>
      <c r="CN39" s="2" t="s">
        <v>89</v>
      </c>
      <c r="CO39" s="2" t="s">
        <v>90</v>
      </c>
      <c r="CP39" s="2" t="s">
        <v>289</v>
      </c>
      <c r="CQ39" s="2" t="s">
        <v>85</v>
      </c>
      <c r="CR39" s="2" t="s">
        <v>86</v>
      </c>
      <c r="CS39" s="2" t="s">
        <v>87</v>
      </c>
      <c r="CT39" s="2" t="s">
        <v>88</v>
      </c>
      <c r="CU39" s="2" t="s">
        <v>89</v>
      </c>
      <c r="CV39" s="2" t="s">
        <v>90</v>
      </c>
      <c r="CW39" s="2" t="s">
        <v>289</v>
      </c>
      <c r="CX39" s="2" t="s">
        <v>85</v>
      </c>
      <c r="CY39" s="2" t="s">
        <v>86</v>
      </c>
      <c r="CZ39" s="2" t="s">
        <v>87</v>
      </c>
      <c r="DA39" s="2" t="s">
        <v>88</v>
      </c>
      <c r="DB39" s="2" t="s">
        <v>89</v>
      </c>
      <c r="DC39" s="2" t="s">
        <v>90</v>
      </c>
      <c r="DD39" s="2" t="s">
        <v>289</v>
      </c>
      <c r="DE39" s="2" t="s">
        <v>85</v>
      </c>
      <c r="DF39" s="2" t="s">
        <v>86</v>
      </c>
      <c r="DG39" s="2" t="s">
        <v>87</v>
      </c>
      <c r="DH39" s="2" t="s">
        <v>88</v>
      </c>
      <c r="DI39" s="2" t="s">
        <v>89</v>
      </c>
      <c r="DJ39" s="2" t="s">
        <v>90</v>
      </c>
      <c r="DK39" s="2" t="s">
        <v>289</v>
      </c>
      <c r="DL39" s="2" t="s">
        <v>85</v>
      </c>
      <c r="DM39" s="2" t="s">
        <v>86</v>
      </c>
      <c r="DN39" s="2" t="s">
        <v>87</v>
      </c>
      <c r="DO39" s="2" t="s">
        <v>88</v>
      </c>
      <c r="DP39" s="2" t="s">
        <v>89</v>
      </c>
      <c r="DQ39" s="2" t="s">
        <v>90</v>
      </c>
      <c r="DR39" s="2" t="s">
        <v>289</v>
      </c>
      <c r="DS39" s="2" t="s">
        <v>85</v>
      </c>
      <c r="DT39" s="2" t="s">
        <v>86</v>
      </c>
      <c r="DU39" s="2" t="s">
        <v>87</v>
      </c>
      <c r="DV39" s="2" t="s">
        <v>88</v>
      </c>
      <c r="DW39" s="2" t="s">
        <v>89</v>
      </c>
      <c r="DX39" s="2" t="s">
        <v>90</v>
      </c>
      <c r="DY39" s="2" t="s">
        <v>289</v>
      </c>
      <c r="DZ39" s="2" t="s">
        <v>85</v>
      </c>
      <c r="EA39" s="2" t="s">
        <v>86</v>
      </c>
      <c r="EB39" s="2" t="s">
        <v>87</v>
      </c>
      <c r="EC39" s="2" t="s">
        <v>88</v>
      </c>
      <c r="ED39" s="2" t="s">
        <v>89</v>
      </c>
      <c r="EE39" s="2" t="s">
        <v>90</v>
      </c>
      <c r="EF39" s="2" t="s">
        <v>289</v>
      </c>
      <c r="EG39" s="2" t="s">
        <v>85</v>
      </c>
      <c r="EH39" s="2" t="s">
        <v>86</v>
      </c>
      <c r="EI39" s="2" t="s">
        <v>87</v>
      </c>
      <c r="EJ39" s="2" t="s">
        <v>88</v>
      </c>
      <c r="EK39" s="2" t="s">
        <v>89</v>
      </c>
      <c r="EL39" s="2" t="s">
        <v>90</v>
      </c>
      <c r="EM39" s="2" t="s">
        <v>289</v>
      </c>
      <c r="EN39" s="2" t="s">
        <v>85</v>
      </c>
      <c r="EO39" s="2" t="s">
        <v>86</v>
      </c>
      <c r="EP39" s="2" t="s">
        <v>87</v>
      </c>
      <c r="EQ39" s="2" t="s">
        <v>88</v>
      </c>
      <c r="ER39" s="2" t="s">
        <v>89</v>
      </c>
      <c r="ES39" s="2" t="s">
        <v>90</v>
      </c>
      <c r="ET39" s="2" t="s">
        <v>289</v>
      </c>
      <c r="EU39" s="2" t="s">
        <v>85</v>
      </c>
      <c r="EV39" s="2" t="s">
        <v>86</v>
      </c>
      <c r="EW39" s="2" t="s">
        <v>87</v>
      </c>
      <c r="EX39" s="2" t="s">
        <v>88</v>
      </c>
      <c r="EY39" s="2" t="s">
        <v>89</v>
      </c>
      <c r="EZ39" s="2" t="s">
        <v>90</v>
      </c>
      <c r="FA39" s="2" t="s">
        <v>289</v>
      </c>
      <c r="FB39" s="2" t="s">
        <v>85</v>
      </c>
      <c r="FC39" s="2" t="s">
        <v>86</v>
      </c>
      <c r="FD39" s="2" t="s">
        <v>87</v>
      </c>
      <c r="FE39" s="2" t="s">
        <v>88</v>
      </c>
      <c r="FF39" s="2" t="s">
        <v>89</v>
      </c>
      <c r="FG39" s="2" t="s">
        <v>90</v>
      </c>
      <c r="FH39" s="2" t="s">
        <v>289</v>
      </c>
      <c r="FI39" s="2" t="s">
        <v>85</v>
      </c>
      <c r="FJ39" s="2" t="s">
        <v>86</v>
      </c>
      <c r="FK39" s="2" t="s">
        <v>87</v>
      </c>
      <c r="FL39" s="2" t="s">
        <v>88</v>
      </c>
      <c r="FM39" s="2" t="s">
        <v>89</v>
      </c>
      <c r="FN39" s="2" t="s">
        <v>90</v>
      </c>
      <c r="FO39" s="2" t="s">
        <v>289</v>
      </c>
      <c r="FP39" s="2" t="s">
        <v>85</v>
      </c>
      <c r="FQ39" s="2" t="s">
        <v>86</v>
      </c>
      <c r="FR39" s="2" t="s">
        <v>87</v>
      </c>
      <c r="FS39" s="2" t="s">
        <v>88</v>
      </c>
      <c r="FT39" s="2" t="s">
        <v>89</v>
      </c>
      <c r="FU39" s="2" t="s">
        <v>90</v>
      </c>
      <c r="FV39" s="2" t="s">
        <v>289</v>
      </c>
      <c r="FW39" s="2" t="s">
        <v>85</v>
      </c>
      <c r="FX39" s="2" t="s">
        <v>86</v>
      </c>
      <c r="FY39" s="2" t="s">
        <v>87</v>
      </c>
      <c r="FZ39" s="2" t="s">
        <v>88</v>
      </c>
      <c r="GA39" s="2" t="s">
        <v>89</v>
      </c>
      <c r="GB39" s="2" t="s">
        <v>90</v>
      </c>
      <c r="GC39" s="2" t="s">
        <v>289</v>
      </c>
      <c r="GD39" s="2" t="s">
        <v>85</v>
      </c>
      <c r="GE39" s="2" t="s">
        <v>86</v>
      </c>
      <c r="GF39" s="2" t="s">
        <v>87</v>
      </c>
      <c r="GG39" s="2" t="s">
        <v>88</v>
      </c>
      <c r="GH39" s="2" t="s">
        <v>89</v>
      </c>
      <c r="GI39" s="2" t="s">
        <v>90</v>
      </c>
      <c r="GJ39" s="2" t="s">
        <v>289</v>
      </c>
      <c r="GK39" s="2" t="s">
        <v>85</v>
      </c>
      <c r="GL39" s="2" t="s">
        <v>86</v>
      </c>
      <c r="GM39" s="2" t="s">
        <v>87</v>
      </c>
      <c r="GN39" s="2" t="s">
        <v>88</v>
      </c>
      <c r="GO39" s="2" t="s">
        <v>89</v>
      </c>
      <c r="GP39" s="2" t="s">
        <v>90</v>
      </c>
      <c r="GQ39" s="2" t="s">
        <v>289</v>
      </c>
      <c r="GR39" s="2" t="s">
        <v>85</v>
      </c>
      <c r="GS39" s="2" t="s">
        <v>86</v>
      </c>
      <c r="GT39" s="2" t="s">
        <v>87</v>
      </c>
      <c r="GU39" s="2" t="s">
        <v>88</v>
      </c>
      <c r="GV39" s="2" t="s">
        <v>89</v>
      </c>
      <c r="GW39" s="2" t="s">
        <v>90</v>
      </c>
      <c r="GX39" s="2" t="s">
        <v>289</v>
      </c>
      <c r="GY39" s="2" t="s">
        <v>85</v>
      </c>
      <c r="GZ39" s="2" t="s">
        <v>86</v>
      </c>
      <c r="HA39" s="2" t="s">
        <v>87</v>
      </c>
      <c r="HB39" s="2" t="s">
        <v>88</v>
      </c>
      <c r="HC39" s="2" t="s">
        <v>89</v>
      </c>
      <c r="HD39" s="2" t="s">
        <v>90</v>
      </c>
      <c r="HE39" s="2" t="s">
        <v>289</v>
      </c>
      <c r="HF39" s="2" t="s">
        <v>85</v>
      </c>
      <c r="HG39" s="2" t="s">
        <v>86</v>
      </c>
      <c r="HH39" s="2" t="s">
        <v>87</v>
      </c>
      <c r="HI39" s="2" t="s">
        <v>88</v>
      </c>
      <c r="HJ39" s="2" t="s">
        <v>89</v>
      </c>
      <c r="HK39" s="2" t="s">
        <v>90</v>
      </c>
      <c r="HL39" s="2" t="s">
        <v>289</v>
      </c>
      <c r="HM39" s="2" t="s">
        <v>85</v>
      </c>
      <c r="HN39" s="2" t="s">
        <v>86</v>
      </c>
      <c r="HO39" s="2" t="s">
        <v>87</v>
      </c>
      <c r="HP39" s="2" t="s">
        <v>88</v>
      </c>
      <c r="HQ39" s="2" t="s">
        <v>89</v>
      </c>
      <c r="HR39" s="2" t="s">
        <v>90</v>
      </c>
      <c r="HS39" s="2" t="s">
        <v>289</v>
      </c>
      <c r="HT39" s="2" t="s">
        <v>85</v>
      </c>
      <c r="HU39" s="2" t="s">
        <v>86</v>
      </c>
      <c r="HV39" s="2" t="s">
        <v>87</v>
      </c>
      <c r="HW39" s="11" t="s">
        <v>88</v>
      </c>
      <c r="HX39" s="177">
        <v>0</v>
      </c>
      <c r="HZ39" s="14"/>
      <c r="II39" s="9">
        <v>0</v>
      </c>
      <c r="IN39" s="2">
        <v>31</v>
      </c>
      <c r="IO39" s="2" t="s">
        <v>276</v>
      </c>
      <c r="IP39" s="2" t="s">
        <v>61</v>
      </c>
      <c r="IQ39" s="22">
        <v>-10116.570802747312</v>
      </c>
      <c r="IR39" s="148">
        <v>-1954.44</v>
      </c>
      <c r="IS39" s="4">
        <v>580</v>
      </c>
      <c r="IT39" s="2">
        <v>202003</v>
      </c>
      <c r="JE39" s="9">
        <v>0</v>
      </c>
    </row>
    <row r="40" spans="1:273" ht="15" outlineLevel="1" thickBot="1">
      <c r="F40" s="2" t="s">
        <v>52</v>
      </c>
      <c r="G40" s="2" t="s">
        <v>52</v>
      </c>
      <c r="H40" s="2" t="s">
        <v>52</v>
      </c>
      <c r="I40" s="2" t="s">
        <v>52</v>
      </c>
      <c r="J40" s="2" t="s">
        <v>52</v>
      </c>
      <c r="K40" s="2" t="s">
        <v>52</v>
      </c>
      <c r="L40" s="2" t="s">
        <v>52</v>
      </c>
      <c r="M40" s="2" t="s">
        <v>52</v>
      </c>
      <c r="N40" s="2" t="s">
        <v>52</v>
      </c>
      <c r="O40" s="2" t="s">
        <v>52</v>
      </c>
      <c r="P40" s="2" t="s">
        <v>52</v>
      </c>
      <c r="Q40" s="2" t="s">
        <v>267</v>
      </c>
      <c r="R40" s="2" t="s">
        <v>52</v>
      </c>
      <c r="S40" s="2" t="s">
        <v>52</v>
      </c>
      <c r="T40" s="2" t="s">
        <v>52</v>
      </c>
      <c r="U40" s="2" t="s">
        <v>52</v>
      </c>
      <c r="V40" s="2" t="s">
        <v>52</v>
      </c>
      <c r="W40" s="2" t="s">
        <v>52</v>
      </c>
      <c r="X40" s="2" t="s">
        <v>271</v>
      </c>
      <c r="Y40" s="2" t="s">
        <v>271</v>
      </c>
      <c r="Z40" s="2" t="s">
        <v>271</v>
      </c>
      <c r="AA40" s="2" t="s">
        <v>271</v>
      </c>
      <c r="AB40" s="2" t="s">
        <v>52</v>
      </c>
      <c r="AC40" s="2" t="s">
        <v>52</v>
      </c>
      <c r="AD40" s="2" t="s">
        <v>52</v>
      </c>
      <c r="AE40" s="2" t="s">
        <v>52</v>
      </c>
      <c r="AF40" s="2" t="s">
        <v>52</v>
      </c>
      <c r="AG40" s="2" t="s">
        <v>52</v>
      </c>
      <c r="AH40" s="2" t="s">
        <v>52</v>
      </c>
      <c r="AI40" s="2" t="s">
        <v>52</v>
      </c>
      <c r="AJ40" s="2" t="s">
        <v>52</v>
      </c>
      <c r="AK40" s="2" t="s">
        <v>52</v>
      </c>
      <c r="AL40" s="2" t="s">
        <v>52</v>
      </c>
      <c r="AM40" s="2" t="s">
        <v>52</v>
      </c>
      <c r="AN40" s="2" t="s">
        <v>52</v>
      </c>
      <c r="AO40" s="2" t="s">
        <v>52</v>
      </c>
      <c r="AP40" s="2" t="s">
        <v>52</v>
      </c>
      <c r="AQ40" s="2" t="s">
        <v>52</v>
      </c>
      <c r="AR40" s="2" t="s">
        <v>52</v>
      </c>
      <c r="AS40" s="2" t="s">
        <v>52</v>
      </c>
      <c r="AT40" s="2" t="s">
        <v>52</v>
      </c>
      <c r="AU40" s="2" t="s">
        <v>52</v>
      </c>
      <c r="AV40" s="2" t="s">
        <v>52</v>
      </c>
      <c r="AW40" s="2" t="s">
        <v>52</v>
      </c>
      <c r="AX40" s="2" t="s">
        <v>52</v>
      </c>
      <c r="AY40" s="2" t="s">
        <v>52</v>
      </c>
      <c r="AZ40" s="2" t="s">
        <v>52</v>
      </c>
      <c r="BA40" s="2" t="s">
        <v>52</v>
      </c>
      <c r="BB40" s="2" t="s">
        <v>52</v>
      </c>
      <c r="BC40" s="2" t="s">
        <v>52</v>
      </c>
      <c r="BD40" s="39">
        <v>43938</v>
      </c>
      <c r="BE40" s="39">
        <v>43939</v>
      </c>
      <c r="BF40" s="39">
        <v>43940</v>
      </c>
      <c r="BG40" s="39">
        <v>43941</v>
      </c>
      <c r="BH40" s="39">
        <v>43942</v>
      </c>
      <c r="BI40" s="39">
        <v>43943</v>
      </c>
      <c r="BJ40" s="39">
        <v>43944</v>
      </c>
      <c r="BK40" s="39">
        <v>43945</v>
      </c>
      <c r="BL40" s="39">
        <v>43946</v>
      </c>
      <c r="BM40" s="39">
        <v>43947</v>
      </c>
      <c r="BN40" s="39">
        <v>43948</v>
      </c>
      <c r="BO40" s="39">
        <v>43949</v>
      </c>
      <c r="BP40" s="39">
        <v>43950</v>
      </c>
      <c r="BQ40" s="39">
        <v>43951</v>
      </c>
      <c r="BR40" s="39">
        <v>43952</v>
      </c>
      <c r="BS40" s="39">
        <v>43953</v>
      </c>
      <c r="BT40" s="39">
        <v>43954</v>
      </c>
      <c r="BU40" s="39">
        <v>43955</v>
      </c>
      <c r="BV40" s="39">
        <v>43956</v>
      </c>
      <c r="BW40" s="39">
        <v>43957</v>
      </c>
      <c r="BX40" s="39">
        <v>43958</v>
      </c>
      <c r="BY40" s="39">
        <v>43959</v>
      </c>
      <c r="BZ40" s="39">
        <v>43960</v>
      </c>
      <c r="CA40" s="39">
        <v>43961</v>
      </c>
      <c r="CB40" s="39">
        <v>43962</v>
      </c>
      <c r="CC40" s="39">
        <v>43963</v>
      </c>
      <c r="CD40" s="39">
        <v>43964</v>
      </c>
      <c r="CE40" s="39">
        <v>43965</v>
      </c>
      <c r="CF40" s="39">
        <v>43966</v>
      </c>
      <c r="CG40" s="39">
        <v>43967</v>
      </c>
      <c r="CH40" s="39">
        <v>43968</v>
      </c>
      <c r="CI40" s="39">
        <v>43969</v>
      </c>
      <c r="CJ40" s="39">
        <v>43970</v>
      </c>
      <c r="CK40" s="39">
        <v>43971</v>
      </c>
      <c r="CL40" s="39">
        <v>43972</v>
      </c>
      <c r="CM40" s="39">
        <v>43973</v>
      </c>
      <c r="CN40" s="39">
        <v>43974</v>
      </c>
      <c r="CO40" s="39">
        <v>43975</v>
      </c>
      <c r="CP40" s="39">
        <v>43976</v>
      </c>
      <c r="CQ40" s="39">
        <v>43977</v>
      </c>
      <c r="CR40" s="39">
        <v>43978</v>
      </c>
      <c r="CS40" s="39">
        <v>43979</v>
      </c>
      <c r="CT40" s="39">
        <v>43980</v>
      </c>
      <c r="CU40" s="39">
        <v>43981</v>
      </c>
      <c r="CV40" s="39">
        <v>43982</v>
      </c>
      <c r="CW40" s="39">
        <v>43983</v>
      </c>
      <c r="CX40" s="39">
        <v>43984</v>
      </c>
      <c r="CY40" s="39">
        <v>43985</v>
      </c>
      <c r="CZ40" s="39">
        <v>43986</v>
      </c>
      <c r="DA40" s="39">
        <v>43987</v>
      </c>
      <c r="DB40" s="39">
        <v>43988</v>
      </c>
      <c r="DC40" s="39">
        <v>43989</v>
      </c>
      <c r="DD40" s="39">
        <v>43990</v>
      </c>
      <c r="DE40" s="39">
        <v>43991</v>
      </c>
      <c r="DF40" s="39">
        <v>43992</v>
      </c>
      <c r="DG40" s="39">
        <v>43993</v>
      </c>
      <c r="DH40" s="39">
        <v>43994</v>
      </c>
      <c r="DI40" s="39">
        <v>43995</v>
      </c>
      <c r="DJ40" s="39">
        <v>43996</v>
      </c>
      <c r="DK40" s="39">
        <v>43997</v>
      </c>
      <c r="DL40" s="39">
        <v>43998</v>
      </c>
      <c r="DM40" s="39">
        <v>43999</v>
      </c>
      <c r="DN40" s="39">
        <v>44000</v>
      </c>
      <c r="DO40" s="39">
        <v>44001</v>
      </c>
      <c r="DP40" s="39">
        <v>44002</v>
      </c>
      <c r="DQ40" s="39">
        <v>44003</v>
      </c>
      <c r="DR40" s="39">
        <v>44004</v>
      </c>
      <c r="DS40" s="39">
        <v>44005</v>
      </c>
      <c r="DT40" s="39">
        <v>44006</v>
      </c>
      <c r="DU40" s="39">
        <v>44007</v>
      </c>
      <c r="DV40" s="39">
        <v>44008</v>
      </c>
      <c r="DW40" s="39">
        <v>44009</v>
      </c>
      <c r="DX40" s="39">
        <v>44010</v>
      </c>
      <c r="DY40" s="39">
        <v>44011</v>
      </c>
      <c r="DZ40" s="39">
        <v>44012</v>
      </c>
      <c r="EA40" s="39">
        <v>44013</v>
      </c>
      <c r="EB40" s="39">
        <v>44014</v>
      </c>
      <c r="EC40" s="39">
        <v>44015</v>
      </c>
      <c r="ED40" s="39">
        <v>44016</v>
      </c>
      <c r="EE40" s="39">
        <v>44017</v>
      </c>
      <c r="EF40" s="39">
        <v>44018</v>
      </c>
      <c r="EG40" s="39">
        <v>44019</v>
      </c>
      <c r="EH40" s="39">
        <v>44020</v>
      </c>
      <c r="EI40" s="39">
        <v>44021</v>
      </c>
      <c r="EJ40" s="39">
        <v>44022</v>
      </c>
      <c r="EK40" s="39">
        <v>44023</v>
      </c>
      <c r="EL40" s="39">
        <v>44024</v>
      </c>
      <c r="EM40" s="39">
        <v>44025</v>
      </c>
      <c r="EN40" s="39">
        <v>44026</v>
      </c>
      <c r="EO40" s="39">
        <v>44027</v>
      </c>
      <c r="EP40" s="39">
        <v>44028</v>
      </c>
      <c r="EQ40" s="39">
        <v>44029</v>
      </c>
      <c r="ER40" s="39">
        <v>44030</v>
      </c>
      <c r="ES40" s="39">
        <v>44031</v>
      </c>
      <c r="ET40" s="39">
        <v>44032</v>
      </c>
      <c r="EU40" s="39">
        <v>44033</v>
      </c>
      <c r="EV40" s="39">
        <v>44034</v>
      </c>
      <c r="EW40" s="39">
        <v>44035</v>
      </c>
      <c r="EX40" s="39">
        <v>44036</v>
      </c>
      <c r="EY40" s="39">
        <v>44037</v>
      </c>
      <c r="EZ40" s="39">
        <v>44038</v>
      </c>
      <c r="FA40" s="39">
        <v>44039</v>
      </c>
      <c r="FB40" s="39">
        <v>44040</v>
      </c>
      <c r="FC40" s="39">
        <v>44041</v>
      </c>
      <c r="FD40" s="39">
        <v>44042</v>
      </c>
      <c r="FE40" s="39">
        <v>44043</v>
      </c>
      <c r="FF40" s="39">
        <v>44044</v>
      </c>
      <c r="FG40" s="39">
        <v>44045</v>
      </c>
      <c r="FH40" s="39">
        <v>44046</v>
      </c>
      <c r="FI40" s="39">
        <v>44047</v>
      </c>
      <c r="FJ40" s="39">
        <v>44048</v>
      </c>
      <c r="FK40" s="39">
        <v>44049</v>
      </c>
      <c r="FL40" s="39">
        <v>44050</v>
      </c>
      <c r="FM40" s="39">
        <v>44051</v>
      </c>
      <c r="FN40" s="39">
        <v>44052</v>
      </c>
      <c r="FO40" s="39">
        <v>44053</v>
      </c>
      <c r="FP40" s="39">
        <v>44054</v>
      </c>
      <c r="FQ40" s="39">
        <v>44055</v>
      </c>
      <c r="FR40" s="39">
        <v>44056</v>
      </c>
      <c r="FS40" s="39">
        <v>44057</v>
      </c>
      <c r="FT40" s="39">
        <v>44058</v>
      </c>
      <c r="FU40" s="39">
        <v>44059</v>
      </c>
      <c r="FV40" s="39">
        <v>44060</v>
      </c>
      <c r="FW40" s="39">
        <v>44061</v>
      </c>
      <c r="FX40" s="39">
        <v>44062</v>
      </c>
      <c r="FY40" s="39">
        <v>44063</v>
      </c>
      <c r="FZ40" s="39">
        <v>44064</v>
      </c>
      <c r="GA40" s="39">
        <v>44065</v>
      </c>
      <c r="GB40" s="39">
        <v>44066</v>
      </c>
      <c r="GC40" s="39">
        <v>44067</v>
      </c>
      <c r="GD40" s="39">
        <v>44068</v>
      </c>
      <c r="GE40" s="39">
        <v>44069</v>
      </c>
      <c r="GF40" s="39">
        <v>44070</v>
      </c>
      <c r="GG40" s="39">
        <v>44071</v>
      </c>
      <c r="GH40" s="39">
        <v>44072</v>
      </c>
      <c r="GI40" s="39">
        <v>44073</v>
      </c>
      <c r="GJ40" s="39">
        <v>44074</v>
      </c>
      <c r="GK40" s="39">
        <v>44075</v>
      </c>
      <c r="GL40" s="39">
        <v>44076</v>
      </c>
      <c r="GM40" s="39">
        <v>44077</v>
      </c>
      <c r="GN40" s="39">
        <v>44078</v>
      </c>
      <c r="GO40" s="39">
        <v>44079</v>
      </c>
      <c r="GP40" s="39">
        <v>44080</v>
      </c>
      <c r="GQ40" s="39">
        <v>44081</v>
      </c>
      <c r="GR40" s="39">
        <v>44082</v>
      </c>
      <c r="GS40" s="39">
        <v>44083</v>
      </c>
      <c r="GT40" s="39">
        <v>44084</v>
      </c>
      <c r="GU40" s="39">
        <v>44085</v>
      </c>
      <c r="GV40" s="39">
        <v>44086</v>
      </c>
      <c r="GW40" s="39">
        <v>44087</v>
      </c>
      <c r="GX40" s="39">
        <v>44088</v>
      </c>
      <c r="GY40" s="39">
        <v>44089</v>
      </c>
      <c r="GZ40" s="39">
        <v>44090</v>
      </c>
      <c r="HA40" s="39">
        <v>44091</v>
      </c>
      <c r="HB40" s="39">
        <v>44092</v>
      </c>
      <c r="HC40" s="39">
        <v>44093</v>
      </c>
      <c r="HD40" s="39">
        <v>44094</v>
      </c>
      <c r="HE40" s="39">
        <v>44095</v>
      </c>
      <c r="HF40" s="39">
        <v>44096</v>
      </c>
      <c r="HG40" s="39">
        <v>44097</v>
      </c>
      <c r="HH40" s="39">
        <v>44098</v>
      </c>
      <c r="HI40" s="39">
        <v>44099</v>
      </c>
      <c r="HJ40" s="39">
        <v>44100</v>
      </c>
      <c r="HK40" s="39">
        <v>44101</v>
      </c>
      <c r="HL40" s="39">
        <v>44102</v>
      </c>
      <c r="HM40" s="39">
        <v>44103</v>
      </c>
      <c r="HN40" s="39">
        <v>44104</v>
      </c>
      <c r="HO40" s="39">
        <v>44105</v>
      </c>
      <c r="HP40" s="39">
        <v>44106</v>
      </c>
      <c r="HQ40" s="39">
        <v>44107</v>
      </c>
      <c r="HR40" s="39">
        <v>44108</v>
      </c>
      <c r="HS40" s="39">
        <v>44109</v>
      </c>
      <c r="HT40" s="39">
        <v>44110</v>
      </c>
      <c r="HU40" s="39">
        <v>44111</v>
      </c>
      <c r="HV40" s="39">
        <v>44112</v>
      </c>
      <c r="HW40" s="197">
        <v>44008</v>
      </c>
      <c r="HX40" s="183">
        <v>0</v>
      </c>
      <c r="II40">
        <v>0</v>
      </c>
      <c r="IN40" s="2">
        <v>1</v>
      </c>
      <c r="IO40" s="2" t="s">
        <v>277</v>
      </c>
      <c r="IP40" s="2" t="s">
        <v>61</v>
      </c>
      <c r="IQ40" s="22">
        <v>-326.34099363701006</v>
      </c>
      <c r="IR40" s="148">
        <v>-260.60000000000002</v>
      </c>
      <c r="IS40" s="4">
        <v>580</v>
      </c>
      <c r="IT40" s="2">
        <v>202004</v>
      </c>
      <c r="JE40">
        <v>0</v>
      </c>
    </row>
    <row r="41" spans="1:273" ht="15" outlineLevel="1" thickBot="1">
      <c r="C41" s="9" t="s">
        <v>33</v>
      </c>
      <c r="D41" s="2">
        <v>0</v>
      </c>
      <c r="F41" s="2">
        <v>1</v>
      </c>
      <c r="G41" s="2">
        <v>2</v>
      </c>
      <c r="H41" s="2">
        <v>3</v>
      </c>
      <c r="I41" s="2">
        <v>4</v>
      </c>
      <c r="J41" s="2">
        <v>5</v>
      </c>
      <c r="K41" s="2">
        <v>6</v>
      </c>
      <c r="L41" s="2">
        <v>7</v>
      </c>
      <c r="M41" s="2">
        <v>8</v>
      </c>
      <c r="N41" s="2">
        <v>9</v>
      </c>
      <c r="O41" s="2">
        <v>10</v>
      </c>
      <c r="P41" s="2">
        <v>11</v>
      </c>
      <c r="Q41" s="2">
        <v>12</v>
      </c>
      <c r="R41" s="2">
        <v>13</v>
      </c>
      <c r="S41" s="2">
        <v>14</v>
      </c>
      <c r="T41" s="2">
        <v>15</v>
      </c>
      <c r="U41" s="2">
        <v>16</v>
      </c>
      <c r="V41" s="2">
        <v>17</v>
      </c>
      <c r="W41" s="2">
        <v>18</v>
      </c>
      <c r="X41" s="2">
        <v>19</v>
      </c>
      <c r="Y41" s="2">
        <v>20</v>
      </c>
      <c r="Z41" s="2">
        <v>21</v>
      </c>
      <c r="AA41" s="2">
        <v>22</v>
      </c>
      <c r="AB41" s="2">
        <v>23</v>
      </c>
      <c r="AC41" s="2">
        <v>24</v>
      </c>
      <c r="AD41" s="2">
        <v>25</v>
      </c>
      <c r="AE41" s="2">
        <v>26</v>
      </c>
      <c r="AF41" s="2">
        <v>27</v>
      </c>
      <c r="AG41" s="2">
        <v>28</v>
      </c>
      <c r="AH41" s="2">
        <v>29</v>
      </c>
      <c r="AI41" s="2">
        <v>30</v>
      </c>
      <c r="AJ41" s="2">
        <v>31</v>
      </c>
      <c r="AK41" s="2">
        <v>32</v>
      </c>
      <c r="AL41" s="2">
        <v>33</v>
      </c>
      <c r="AM41" s="2">
        <v>34</v>
      </c>
      <c r="AN41" s="2">
        <v>35</v>
      </c>
      <c r="AO41" s="2">
        <v>36</v>
      </c>
      <c r="AP41" s="2">
        <v>37</v>
      </c>
      <c r="AQ41" s="2">
        <v>38</v>
      </c>
      <c r="AR41" s="2">
        <v>39</v>
      </c>
      <c r="AS41" s="2">
        <v>40</v>
      </c>
      <c r="AT41" s="2">
        <v>41</v>
      </c>
      <c r="AU41" s="2">
        <v>42</v>
      </c>
      <c r="AV41" s="2">
        <v>43</v>
      </c>
      <c r="AW41" s="2">
        <v>44</v>
      </c>
      <c r="AX41" s="2">
        <v>45</v>
      </c>
      <c r="AY41" s="2">
        <v>46</v>
      </c>
      <c r="AZ41" s="2">
        <v>47</v>
      </c>
      <c r="BA41" s="2">
        <v>48</v>
      </c>
      <c r="BB41" s="2">
        <v>49</v>
      </c>
      <c r="BC41" s="2">
        <v>50</v>
      </c>
      <c r="BD41" s="2">
        <v>51</v>
      </c>
      <c r="BE41" s="2">
        <v>52</v>
      </c>
      <c r="BF41" s="2">
        <v>53</v>
      </c>
      <c r="BG41" s="2">
        <v>54</v>
      </c>
      <c r="BH41" s="2">
        <v>55</v>
      </c>
      <c r="BI41" s="2">
        <v>56</v>
      </c>
      <c r="BJ41" s="2">
        <v>57</v>
      </c>
      <c r="BK41" s="2">
        <v>58</v>
      </c>
      <c r="BL41" s="2">
        <v>59</v>
      </c>
      <c r="BM41" s="2">
        <v>60</v>
      </c>
      <c r="BN41" s="2">
        <v>61</v>
      </c>
      <c r="BO41" s="2">
        <v>62</v>
      </c>
      <c r="BP41" s="2">
        <v>63</v>
      </c>
      <c r="BQ41" s="2">
        <v>64</v>
      </c>
      <c r="BR41" s="2">
        <v>65</v>
      </c>
      <c r="BS41" s="2">
        <v>66</v>
      </c>
      <c r="BT41" s="2">
        <v>67</v>
      </c>
      <c r="BU41" s="2">
        <v>68</v>
      </c>
      <c r="BV41" s="2">
        <v>69</v>
      </c>
      <c r="BW41" s="2">
        <v>70</v>
      </c>
      <c r="BX41" s="2">
        <v>71</v>
      </c>
      <c r="BY41" s="2">
        <v>72</v>
      </c>
      <c r="BZ41" s="2">
        <v>73</v>
      </c>
      <c r="CA41" s="2">
        <v>74</v>
      </c>
      <c r="CB41" s="2">
        <v>75</v>
      </c>
      <c r="CC41" s="2">
        <v>76</v>
      </c>
      <c r="CD41" s="2">
        <v>77</v>
      </c>
      <c r="CE41" s="2">
        <v>78</v>
      </c>
      <c r="CF41" s="2">
        <v>79</v>
      </c>
      <c r="CG41" s="2">
        <v>80</v>
      </c>
      <c r="CH41" s="2">
        <v>81</v>
      </c>
      <c r="CI41" s="2">
        <v>82</v>
      </c>
      <c r="CJ41" s="2">
        <v>83</v>
      </c>
      <c r="CK41" s="2">
        <v>84</v>
      </c>
      <c r="CL41" s="2">
        <v>85</v>
      </c>
      <c r="CM41" s="2">
        <v>86</v>
      </c>
      <c r="CN41" s="2">
        <v>87</v>
      </c>
      <c r="CO41" s="2">
        <v>88</v>
      </c>
      <c r="CP41" s="2">
        <v>89</v>
      </c>
      <c r="CQ41" s="2">
        <v>90</v>
      </c>
      <c r="CR41" s="2">
        <v>91</v>
      </c>
      <c r="CS41" s="2">
        <v>92</v>
      </c>
      <c r="CT41" s="2">
        <v>93</v>
      </c>
      <c r="CU41" s="2">
        <v>94</v>
      </c>
      <c r="CV41" s="2">
        <v>95</v>
      </c>
      <c r="CW41" s="2">
        <v>96</v>
      </c>
      <c r="CX41" s="2">
        <v>97</v>
      </c>
      <c r="CY41" s="2">
        <v>98</v>
      </c>
      <c r="CZ41" s="2">
        <v>99</v>
      </c>
      <c r="DA41" s="2">
        <v>100</v>
      </c>
      <c r="DB41" s="2">
        <v>101</v>
      </c>
      <c r="DC41" s="2">
        <v>102</v>
      </c>
      <c r="DD41" s="2">
        <v>103</v>
      </c>
      <c r="DE41" s="2">
        <v>104</v>
      </c>
      <c r="DF41" s="2">
        <v>104</v>
      </c>
      <c r="DG41" s="2">
        <v>105</v>
      </c>
      <c r="DH41" s="2">
        <v>106</v>
      </c>
      <c r="DI41" s="2">
        <v>107</v>
      </c>
      <c r="DJ41" s="2">
        <v>108</v>
      </c>
      <c r="DK41" s="2">
        <v>109</v>
      </c>
      <c r="DL41" s="2">
        <v>110</v>
      </c>
      <c r="DM41" s="2">
        <v>111</v>
      </c>
      <c r="DN41" s="2">
        <v>112</v>
      </c>
      <c r="DO41" s="2">
        <v>113</v>
      </c>
      <c r="DP41" s="2">
        <v>114</v>
      </c>
      <c r="DQ41" s="2">
        <v>115</v>
      </c>
      <c r="DR41" s="2">
        <v>116</v>
      </c>
      <c r="DS41" s="2">
        <v>117</v>
      </c>
      <c r="DT41" s="2">
        <v>118</v>
      </c>
      <c r="DU41" s="2">
        <v>119</v>
      </c>
      <c r="DV41" s="2">
        <v>120</v>
      </c>
      <c r="DW41" s="2">
        <v>121</v>
      </c>
      <c r="DX41" s="2">
        <v>122</v>
      </c>
      <c r="DY41" s="2">
        <v>123</v>
      </c>
      <c r="DZ41" s="2">
        <v>124</v>
      </c>
      <c r="EA41" s="2">
        <v>125</v>
      </c>
      <c r="EB41" s="2">
        <v>126</v>
      </c>
      <c r="EC41" s="2">
        <v>127</v>
      </c>
      <c r="ED41" s="2">
        <v>128</v>
      </c>
      <c r="EE41" s="2">
        <v>129</v>
      </c>
      <c r="EF41" s="2">
        <v>130</v>
      </c>
      <c r="EG41" s="2">
        <v>131</v>
      </c>
      <c r="EH41" s="2">
        <v>132</v>
      </c>
      <c r="EI41" s="2">
        <v>133</v>
      </c>
      <c r="EJ41" s="2">
        <v>134</v>
      </c>
      <c r="EK41" s="2">
        <v>135</v>
      </c>
      <c r="EL41" s="2">
        <v>136</v>
      </c>
      <c r="EM41" s="2">
        <v>137</v>
      </c>
      <c r="EN41" s="2">
        <v>138</v>
      </c>
      <c r="EO41" s="2">
        <v>139</v>
      </c>
      <c r="EP41" s="2">
        <v>140</v>
      </c>
      <c r="EQ41" s="2">
        <v>141</v>
      </c>
      <c r="ER41" s="2">
        <v>142</v>
      </c>
      <c r="ES41" s="2">
        <v>143</v>
      </c>
      <c r="ET41" s="2">
        <v>144</v>
      </c>
      <c r="EU41" s="2">
        <v>145</v>
      </c>
      <c r="EV41" s="2">
        <v>146</v>
      </c>
      <c r="EW41" s="2">
        <v>147</v>
      </c>
      <c r="EX41" s="2">
        <v>148</v>
      </c>
      <c r="EY41" s="2">
        <v>149</v>
      </c>
      <c r="EZ41" s="2">
        <v>150</v>
      </c>
      <c r="FA41" s="2">
        <v>151</v>
      </c>
      <c r="FB41" s="2">
        <v>152</v>
      </c>
      <c r="FC41" s="2">
        <v>153</v>
      </c>
      <c r="FD41" s="2">
        <v>154</v>
      </c>
      <c r="FE41" s="2">
        <v>155</v>
      </c>
      <c r="FF41" s="2">
        <v>156</v>
      </c>
      <c r="FG41" s="2">
        <v>157</v>
      </c>
      <c r="FH41" s="2">
        <v>158</v>
      </c>
      <c r="FI41" s="2">
        <v>159</v>
      </c>
      <c r="FJ41" s="2">
        <v>160</v>
      </c>
      <c r="FK41" s="2">
        <v>161</v>
      </c>
      <c r="FL41" s="2">
        <v>162</v>
      </c>
      <c r="FM41" s="2">
        <v>163</v>
      </c>
      <c r="FN41" s="2">
        <v>164</v>
      </c>
      <c r="FO41" s="2">
        <v>165</v>
      </c>
      <c r="FP41" s="2">
        <v>166</v>
      </c>
      <c r="FQ41" s="2">
        <v>167</v>
      </c>
      <c r="FR41" s="2">
        <v>168</v>
      </c>
      <c r="FS41" s="2">
        <v>169</v>
      </c>
      <c r="FT41" s="2">
        <v>170</v>
      </c>
      <c r="FU41" s="2">
        <v>171</v>
      </c>
      <c r="FV41" s="2">
        <v>172</v>
      </c>
      <c r="FW41" s="2">
        <v>173</v>
      </c>
      <c r="FX41" s="2">
        <v>174</v>
      </c>
      <c r="FY41" s="2">
        <v>175</v>
      </c>
      <c r="FZ41" s="2">
        <v>176</v>
      </c>
      <c r="GA41" s="2">
        <v>177</v>
      </c>
      <c r="GB41" s="2">
        <v>178</v>
      </c>
      <c r="GC41" s="2">
        <v>179</v>
      </c>
      <c r="GD41" s="2">
        <v>180</v>
      </c>
      <c r="GE41" s="2">
        <v>181</v>
      </c>
      <c r="GF41" s="2">
        <v>182</v>
      </c>
      <c r="GG41" s="2">
        <v>183</v>
      </c>
      <c r="GH41" s="2">
        <v>184</v>
      </c>
      <c r="GI41" s="2">
        <v>185</v>
      </c>
      <c r="GJ41" s="2">
        <v>186</v>
      </c>
      <c r="GK41" s="2">
        <v>187</v>
      </c>
      <c r="GL41" s="2">
        <v>188</v>
      </c>
      <c r="GM41" s="2">
        <v>189</v>
      </c>
      <c r="GN41" s="2">
        <v>190</v>
      </c>
      <c r="GO41" s="2">
        <v>191</v>
      </c>
      <c r="GP41" s="2">
        <v>192</v>
      </c>
      <c r="GQ41" s="2">
        <v>193</v>
      </c>
      <c r="GR41" s="2">
        <v>194</v>
      </c>
      <c r="GS41" s="2">
        <v>195</v>
      </c>
      <c r="GT41" s="2">
        <v>196</v>
      </c>
      <c r="GU41" s="2">
        <v>197</v>
      </c>
      <c r="GV41" s="2">
        <v>198</v>
      </c>
      <c r="GW41" s="2">
        <v>199</v>
      </c>
      <c r="GX41" s="2">
        <v>200</v>
      </c>
      <c r="GY41" s="2">
        <v>201</v>
      </c>
      <c r="GZ41" s="2">
        <v>202</v>
      </c>
      <c r="HA41" s="2">
        <v>203</v>
      </c>
      <c r="HB41" s="2">
        <v>204</v>
      </c>
      <c r="HC41" s="2">
        <v>205</v>
      </c>
      <c r="HD41" s="2">
        <v>206</v>
      </c>
      <c r="HE41" s="2">
        <v>207</v>
      </c>
      <c r="HF41" s="2">
        <v>208</v>
      </c>
      <c r="HG41" s="2">
        <v>209</v>
      </c>
      <c r="HH41" s="2">
        <v>210</v>
      </c>
      <c r="HI41" s="2">
        <v>211</v>
      </c>
      <c r="HJ41" s="2">
        <v>212</v>
      </c>
      <c r="HK41" s="2">
        <v>213</v>
      </c>
      <c r="HL41" s="2">
        <v>214</v>
      </c>
      <c r="HM41" s="2">
        <v>215</v>
      </c>
      <c r="HN41" s="2">
        <v>216</v>
      </c>
      <c r="HO41" s="2">
        <v>217</v>
      </c>
      <c r="HP41" s="2">
        <v>218</v>
      </c>
      <c r="HQ41" s="2">
        <v>219</v>
      </c>
      <c r="HR41" s="2">
        <v>220</v>
      </c>
      <c r="HS41" s="2">
        <v>221</v>
      </c>
      <c r="HT41" s="2">
        <v>222</v>
      </c>
      <c r="HU41" s="2">
        <v>223</v>
      </c>
      <c r="HV41" s="2">
        <v>224</v>
      </c>
      <c r="HW41" s="11">
        <v>120</v>
      </c>
      <c r="HX41" s="177">
        <v>0</v>
      </c>
      <c r="II41" s="9" t="s">
        <v>33</v>
      </c>
      <c r="IJ41" s="102"/>
      <c r="IN41" s="146">
        <v>35</v>
      </c>
      <c r="IO41" s="2" t="s">
        <v>276</v>
      </c>
      <c r="IP41" s="2" t="s">
        <v>145</v>
      </c>
      <c r="IQ41" s="22">
        <v>-306.64525255957426</v>
      </c>
      <c r="IR41" s="148">
        <v>-177.06</v>
      </c>
      <c r="IS41" s="4">
        <v>890</v>
      </c>
      <c r="IT41" s="2">
        <v>202003</v>
      </c>
      <c r="JE41" s="9" t="s">
        <v>33</v>
      </c>
      <c r="JF41" s="118" t="s">
        <v>285</v>
      </c>
      <c r="JG41" s="118" t="s">
        <v>284</v>
      </c>
      <c r="JH41" s="118" t="s">
        <v>287</v>
      </c>
      <c r="JI41" s="118" t="s">
        <v>294</v>
      </c>
      <c r="JJ41" s="118" t="s">
        <v>312</v>
      </c>
      <c r="JK41" s="118" t="s">
        <v>320</v>
      </c>
      <c r="JL41" s="118" t="s">
        <v>516</v>
      </c>
      <c r="JM41" s="118" t="s">
        <v>517</v>
      </c>
    </row>
    <row r="42" spans="1:273" outlineLevel="1">
      <c r="A42" t="s">
        <v>9</v>
      </c>
      <c r="B42" t="s">
        <v>21</v>
      </c>
      <c r="C42" s="72" t="s">
        <v>142</v>
      </c>
      <c r="E42" s="6"/>
      <c r="F42" s="6"/>
      <c r="G42" s="6"/>
      <c r="H42" s="6"/>
      <c r="I42" s="6"/>
      <c r="J42" s="6"/>
      <c r="K42" s="6"/>
      <c r="L42"/>
      <c r="M42"/>
      <c r="N42"/>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198"/>
      <c r="HX42" s="63"/>
      <c r="HY42" s="29">
        <v>0</v>
      </c>
      <c r="II42" s="72" t="s">
        <v>142</v>
      </c>
      <c r="IK42" s="9" t="s">
        <v>134</v>
      </c>
      <c r="IL42" s="102"/>
      <c r="IO42" s="2" t="s">
        <v>276</v>
      </c>
      <c r="IP42" s="2" t="s">
        <v>137</v>
      </c>
      <c r="IQ42" s="22">
        <v>-228.26336131928409</v>
      </c>
      <c r="IR42" s="148">
        <v>-187.82</v>
      </c>
      <c r="IS42" s="4">
        <v>140</v>
      </c>
      <c r="IT42" s="2">
        <v>202003</v>
      </c>
      <c r="JE42" s="72" t="s">
        <v>142</v>
      </c>
      <c r="JF42" s="28">
        <v>0</v>
      </c>
      <c r="JG42" s="28">
        <v>0</v>
      </c>
      <c r="JH42" s="28">
        <v>0</v>
      </c>
      <c r="JI42" s="28">
        <v>0</v>
      </c>
      <c r="JJ42" s="28">
        <v>0</v>
      </c>
      <c r="JK42" s="28">
        <v>0</v>
      </c>
      <c r="JL42" s="28">
        <v>0</v>
      </c>
      <c r="JM42" s="28">
        <v>0</v>
      </c>
    </row>
    <row r="43" spans="1:273" ht="15" outlineLevel="1" thickBot="1">
      <c r="A43" t="s">
        <v>9</v>
      </c>
      <c r="B43" t="s">
        <v>21</v>
      </c>
      <c r="C43" s="73" t="s">
        <v>203</v>
      </c>
      <c r="E43" s="6"/>
      <c r="F43" s="6"/>
      <c r="G43" s="6"/>
      <c r="H43" s="6"/>
      <c r="I43" s="6"/>
      <c r="J43" s="6"/>
      <c r="K43" s="6"/>
      <c r="L43"/>
      <c r="M43"/>
      <c r="N43"/>
      <c r="O43" s="6"/>
      <c r="P43" s="6"/>
      <c r="Q43" s="6"/>
      <c r="R43" s="6"/>
      <c r="S43" s="6"/>
      <c r="T43" s="6"/>
      <c r="U43" s="6"/>
      <c r="V43" s="6"/>
      <c r="W43" s="6"/>
      <c r="X43" s="6"/>
      <c r="Y43" s="6"/>
      <c r="Z43" s="6"/>
      <c r="AA43" s="6"/>
      <c r="AB43" s="6"/>
      <c r="AC43" s="6"/>
      <c r="AD43" s="6"/>
      <c r="AE43" s="6"/>
      <c r="AF43" s="6"/>
      <c r="AG43" s="93"/>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198"/>
      <c r="HX43" s="63"/>
      <c r="HY43" s="29">
        <v>0</v>
      </c>
      <c r="II43" s="73" t="s">
        <v>203</v>
      </c>
      <c r="IK43" s="101">
        <v>-834.93</v>
      </c>
      <c r="IL43" s="103" t="s">
        <v>261</v>
      </c>
      <c r="IO43" s="2" t="s">
        <v>277</v>
      </c>
      <c r="IP43" s="2" t="s">
        <v>258</v>
      </c>
      <c r="IQ43" s="22">
        <v>-2503.7195060534605</v>
      </c>
      <c r="IR43" s="149">
        <v>-330.17</v>
      </c>
      <c r="IS43" s="4">
        <v>40</v>
      </c>
      <c r="IT43" s="2">
        <v>202004</v>
      </c>
      <c r="JE43" s="73" t="s">
        <v>203</v>
      </c>
      <c r="JF43" s="28">
        <v>0</v>
      </c>
      <c r="JG43" s="28">
        <v>0</v>
      </c>
      <c r="JH43" s="28">
        <v>0</v>
      </c>
      <c r="JI43" s="28">
        <v>0</v>
      </c>
      <c r="JJ43" s="28">
        <v>0</v>
      </c>
      <c r="JK43" s="28">
        <v>0</v>
      </c>
      <c r="JL43" s="28">
        <v>0</v>
      </c>
      <c r="JM43" s="28">
        <v>0</v>
      </c>
    </row>
    <row r="44" spans="1:273" ht="15" outlineLevel="1" thickBot="1">
      <c r="A44" t="s">
        <v>9</v>
      </c>
      <c r="B44" t="s">
        <v>21</v>
      </c>
      <c r="C44" s="73" t="s">
        <v>204</v>
      </c>
      <c r="E44" s="6"/>
      <c r="F44" s="6"/>
      <c r="G44" s="6"/>
      <c r="H44" s="6"/>
      <c r="I44" s="6"/>
      <c r="J44" s="6"/>
      <c r="K44" s="6"/>
      <c r="L44"/>
      <c r="M44"/>
      <c r="N44"/>
      <c r="O44" s="6"/>
      <c r="P44" s="6"/>
      <c r="Q44" s="6"/>
      <c r="R44" s="6"/>
      <c r="S44" s="6"/>
      <c r="T44" s="6"/>
      <c r="U44" s="6"/>
      <c r="V44" s="6"/>
      <c r="W44" s="6"/>
      <c r="X44" s="6"/>
      <c r="Y44" s="6"/>
      <c r="Z44" s="6"/>
      <c r="AA44" s="6"/>
      <c r="AB44" s="6"/>
      <c r="AC44" s="6"/>
      <c r="AD44" s="6"/>
      <c r="AE44" s="6"/>
      <c r="AF44" s="6"/>
      <c r="AG44" s="93"/>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198"/>
      <c r="HX44" s="63"/>
      <c r="HY44" s="29">
        <v>0</v>
      </c>
      <c r="II44" s="73" t="s">
        <v>204</v>
      </c>
      <c r="IK44" s="151">
        <v>-69.8</v>
      </c>
      <c r="IL44" s="103" t="s">
        <v>217</v>
      </c>
      <c r="JE44" s="73" t="s">
        <v>204</v>
      </c>
      <c r="JF44" s="28">
        <v>0</v>
      </c>
      <c r="JG44" s="28">
        <v>0</v>
      </c>
      <c r="JH44" s="28">
        <v>0</v>
      </c>
      <c r="JI44" s="28">
        <v>0</v>
      </c>
      <c r="JJ44" s="28">
        <v>0</v>
      </c>
      <c r="JK44" s="28">
        <v>0</v>
      </c>
      <c r="JL44" s="28">
        <v>0</v>
      </c>
      <c r="JM44" s="28">
        <v>0</v>
      </c>
    </row>
    <row r="45" spans="1:273" ht="15" outlineLevel="1" thickBot="1">
      <c r="A45" t="s">
        <v>9</v>
      </c>
      <c r="B45" t="s">
        <v>21</v>
      </c>
      <c r="C45" s="73" t="s">
        <v>147</v>
      </c>
      <c r="E45" s="6"/>
      <c r="F45" s="6"/>
      <c r="G45" s="6"/>
      <c r="H45" s="6"/>
      <c r="I45" s="6"/>
      <c r="J45" s="6"/>
      <c r="K45" s="6"/>
      <c r="L45"/>
      <c r="M45"/>
      <c r="N45"/>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198"/>
      <c r="HX45" s="63"/>
      <c r="HY45" s="29">
        <v>0</v>
      </c>
      <c r="II45" s="73" t="s">
        <v>147</v>
      </c>
      <c r="IK45" s="151">
        <v>-82.85</v>
      </c>
      <c r="IL45" s="103" t="s">
        <v>264</v>
      </c>
      <c r="IQ45" s="2" t="s">
        <v>255</v>
      </c>
      <c r="IR45" s="150">
        <v>0</v>
      </c>
      <c r="JE45" s="73" t="s">
        <v>147</v>
      </c>
      <c r="JF45" s="28">
        <v>0</v>
      </c>
      <c r="JG45" s="28">
        <v>0</v>
      </c>
      <c r="JH45" s="28">
        <v>0</v>
      </c>
      <c r="JI45" s="28">
        <v>0</v>
      </c>
      <c r="JJ45" s="28">
        <v>0</v>
      </c>
      <c r="JK45" s="28">
        <v>0</v>
      </c>
      <c r="JL45" s="28">
        <v>0</v>
      </c>
      <c r="JM45" s="28">
        <v>0</v>
      </c>
    </row>
    <row r="46" spans="1:273" outlineLevel="1">
      <c r="A46" t="s">
        <v>9</v>
      </c>
      <c r="B46" t="s">
        <v>21</v>
      </c>
      <c r="C46" s="73" t="s">
        <v>205</v>
      </c>
      <c r="E46" s="6"/>
      <c r="F46" s="6"/>
      <c r="G46" s="6"/>
      <c r="H46" s="6"/>
      <c r="I46" s="6"/>
      <c r="J46" s="6"/>
      <c r="K46" s="6"/>
      <c r="L46"/>
      <c r="M46"/>
      <c r="N4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198"/>
      <c r="HX46" s="63"/>
      <c r="HY46" s="29">
        <v>0</v>
      </c>
      <c r="II46" s="73" t="s">
        <v>205</v>
      </c>
      <c r="IK46" s="152">
        <v>-69.900000000000006</v>
      </c>
      <c r="IL46" t="s">
        <v>217</v>
      </c>
      <c r="JE46" s="73" t="s">
        <v>205</v>
      </c>
      <c r="JF46" s="28">
        <v>0</v>
      </c>
      <c r="JG46" s="28">
        <v>0</v>
      </c>
      <c r="JH46" s="28">
        <v>0</v>
      </c>
      <c r="JI46" s="28">
        <v>0</v>
      </c>
      <c r="JJ46" s="28">
        <v>0</v>
      </c>
      <c r="JK46" s="28">
        <v>0</v>
      </c>
      <c r="JL46" s="28">
        <v>0</v>
      </c>
      <c r="JM46" s="28">
        <v>0</v>
      </c>
    </row>
    <row r="47" spans="1:273" outlineLevel="1">
      <c r="A47" t="s">
        <v>9</v>
      </c>
      <c r="B47" t="s">
        <v>21</v>
      </c>
      <c r="C47" s="73" t="s">
        <v>146</v>
      </c>
      <c r="E47" s="6"/>
      <c r="F47" s="6"/>
      <c r="G47" s="6"/>
      <c r="H47" s="6"/>
      <c r="I47" s="6"/>
      <c r="J47" s="6"/>
      <c r="K47" s="6"/>
      <c r="L47"/>
      <c r="M47"/>
      <c r="N47"/>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198"/>
      <c r="HX47" s="63"/>
      <c r="HY47" s="29">
        <v>0</v>
      </c>
      <c r="II47" s="73" t="s">
        <v>146</v>
      </c>
      <c r="IK47" s="152">
        <v>-49.99</v>
      </c>
      <c r="IL47" t="s">
        <v>265</v>
      </c>
      <c r="JE47" s="73" t="s">
        <v>146</v>
      </c>
      <c r="JF47" s="28">
        <v>0</v>
      </c>
      <c r="JG47" s="28">
        <v>0</v>
      </c>
      <c r="JH47" s="28">
        <v>0</v>
      </c>
      <c r="JI47" s="28">
        <v>0</v>
      </c>
      <c r="JJ47" s="28">
        <v>0</v>
      </c>
      <c r="JK47" s="28">
        <v>0</v>
      </c>
      <c r="JL47" s="28">
        <v>0</v>
      </c>
      <c r="JM47" s="28">
        <v>0</v>
      </c>
    </row>
    <row r="48" spans="1:273" ht="15" outlineLevel="1" thickBot="1">
      <c r="A48" t="s">
        <v>9</v>
      </c>
      <c r="B48" t="s">
        <v>21</v>
      </c>
      <c r="C48" s="74" t="s">
        <v>148</v>
      </c>
      <c r="E48" s="6"/>
      <c r="F48" s="6"/>
      <c r="G48" s="6"/>
      <c r="H48" s="6"/>
      <c r="I48" s="6"/>
      <c r="J48" s="6"/>
      <c r="K48" s="6"/>
      <c r="L48"/>
      <c r="M48"/>
      <c r="N48"/>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198"/>
      <c r="HX48" s="63"/>
      <c r="HY48" s="29">
        <v>0</v>
      </c>
      <c r="II48" s="74" t="s">
        <v>148</v>
      </c>
      <c r="IK48" s="152">
        <v>-30</v>
      </c>
      <c r="IL48" s="103" t="s">
        <v>266</v>
      </c>
      <c r="JE48" s="74" t="s">
        <v>148</v>
      </c>
      <c r="JF48" s="28">
        <v>0</v>
      </c>
      <c r="JG48" s="28">
        <v>0</v>
      </c>
      <c r="JH48" s="28">
        <v>0</v>
      </c>
      <c r="JI48" s="28">
        <v>0</v>
      </c>
      <c r="JJ48" s="28">
        <v>0</v>
      </c>
      <c r="JK48" s="28">
        <v>0</v>
      </c>
      <c r="JL48" s="28">
        <v>0</v>
      </c>
      <c r="JM48" s="28">
        <v>0</v>
      </c>
    </row>
    <row r="49" spans="1:274" outlineLevel="1">
      <c r="A49" t="s">
        <v>9</v>
      </c>
      <c r="B49" t="s">
        <v>21</v>
      </c>
      <c r="C49" s="72" t="s">
        <v>153</v>
      </c>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198"/>
      <c r="HX49" s="63"/>
      <c r="HY49" s="28">
        <v>0</v>
      </c>
      <c r="II49" s="72" t="s">
        <v>153</v>
      </c>
      <c r="IK49" s="84"/>
      <c r="JE49" s="72" t="s">
        <v>153</v>
      </c>
      <c r="JF49" s="28">
        <v>0</v>
      </c>
      <c r="JG49" s="28">
        <v>0</v>
      </c>
      <c r="JH49" s="28">
        <v>0</v>
      </c>
      <c r="JI49" s="28">
        <v>0</v>
      </c>
      <c r="JJ49" s="28">
        <v>0</v>
      </c>
      <c r="JK49" s="28">
        <v>0</v>
      </c>
      <c r="JL49" s="28">
        <v>0</v>
      </c>
      <c r="JM49" s="28">
        <v>0</v>
      </c>
    </row>
    <row r="50" spans="1:274" outlineLevel="1">
      <c r="A50" t="s">
        <v>9</v>
      </c>
      <c r="B50" t="s">
        <v>21</v>
      </c>
      <c r="C50" s="73" t="s">
        <v>233</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198"/>
      <c r="HX50" s="63"/>
      <c r="HY50" s="28">
        <v>0</v>
      </c>
      <c r="II50" s="73" t="s">
        <v>233</v>
      </c>
      <c r="IK50" s="104">
        <v>-1137.47</v>
      </c>
      <c r="JE50" s="73" t="s">
        <v>233</v>
      </c>
      <c r="JF50" s="28">
        <v>0</v>
      </c>
      <c r="JG50" s="28">
        <v>0</v>
      </c>
      <c r="JH50" s="28">
        <v>0</v>
      </c>
      <c r="JI50" s="28">
        <v>0</v>
      </c>
      <c r="JJ50" s="28">
        <v>0</v>
      </c>
      <c r="JK50" s="28">
        <v>0</v>
      </c>
      <c r="JL50" s="28">
        <v>0</v>
      </c>
      <c r="JM50" s="28">
        <v>0</v>
      </c>
    </row>
    <row r="51" spans="1:274" ht="15" outlineLevel="1" thickBot="1">
      <c r="A51" t="s">
        <v>9</v>
      </c>
      <c r="B51" t="s">
        <v>21</v>
      </c>
      <c r="C51" s="74" t="s">
        <v>149</v>
      </c>
      <c r="E51" s="6"/>
      <c r="F51" s="6"/>
      <c r="G51" s="6"/>
      <c r="H51" s="6"/>
      <c r="I51" s="6"/>
      <c r="J51" s="6"/>
      <c r="K51" s="6"/>
      <c r="L51"/>
      <c r="M51"/>
      <c r="N51"/>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198"/>
      <c r="HX51" s="63"/>
      <c r="HY51" s="28">
        <v>0</v>
      </c>
      <c r="II51" s="74" t="s">
        <v>149</v>
      </c>
      <c r="JE51" s="74" t="s">
        <v>149</v>
      </c>
      <c r="JF51" s="28">
        <v>0</v>
      </c>
      <c r="JG51" s="28">
        <v>0</v>
      </c>
      <c r="JH51" s="28">
        <v>0</v>
      </c>
      <c r="JI51" s="28">
        <v>0</v>
      </c>
      <c r="JJ51" s="28">
        <v>0</v>
      </c>
      <c r="JK51" s="28">
        <v>0</v>
      </c>
      <c r="JL51" s="28">
        <v>0</v>
      </c>
      <c r="JM51" s="28">
        <v>0</v>
      </c>
    </row>
    <row r="52" spans="1:274" outlineLevel="1">
      <c r="A52" t="s">
        <v>9</v>
      </c>
      <c r="B52" t="s">
        <v>23</v>
      </c>
      <c r="C52" s="72" t="s">
        <v>23</v>
      </c>
      <c r="E52" s="6"/>
      <c r="F52" s="6"/>
      <c r="G52" s="6"/>
      <c r="H52" s="6"/>
      <c r="I52" s="6"/>
      <c r="J52" s="6"/>
      <c r="K52" s="6"/>
      <c r="L52"/>
      <c r="M52"/>
      <c r="N52"/>
      <c r="O52" s="6"/>
      <c r="P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198"/>
      <c r="HX52" s="63"/>
      <c r="HY52" s="28">
        <v>0</v>
      </c>
      <c r="II52" s="72" t="s">
        <v>23</v>
      </c>
      <c r="JE52" s="72" t="s">
        <v>23</v>
      </c>
      <c r="JF52" s="28">
        <v>0</v>
      </c>
      <c r="JG52" s="28">
        <v>0</v>
      </c>
      <c r="JH52" s="28">
        <v>0</v>
      </c>
      <c r="JI52" s="28">
        <v>0</v>
      </c>
      <c r="JJ52" s="28">
        <v>0</v>
      </c>
      <c r="JK52" s="28">
        <v>0</v>
      </c>
      <c r="JL52" s="28">
        <v>0</v>
      </c>
      <c r="JM52" s="28">
        <v>0</v>
      </c>
    </row>
    <row r="53" spans="1:274" outlineLevel="1">
      <c r="A53" t="s">
        <v>9</v>
      </c>
      <c r="B53" t="s">
        <v>23</v>
      </c>
      <c r="C53" s="73" t="s">
        <v>151</v>
      </c>
      <c r="E53" s="6"/>
      <c r="F53" s="6"/>
      <c r="G53" s="6"/>
      <c r="H53" s="6"/>
      <c r="I53" s="6"/>
      <c r="J53" s="6"/>
      <c r="K53" s="6"/>
      <c r="L53"/>
      <c r="M53"/>
      <c r="N53"/>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198"/>
      <c r="HX53" s="63"/>
      <c r="HY53" s="28">
        <v>0</v>
      </c>
      <c r="II53" s="73" t="s">
        <v>151</v>
      </c>
      <c r="JE53" s="73" t="s">
        <v>151</v>
      </c>
      <c r="JF53" s="28">
        <v>0</v>
      </c>
      <c r="JG53" s="28">
        <v>0</v>
      </c>
      <c r="JH53" s="28">
        <v>0</v>
      </c>
      <c r="JI53" s="28">
        <v>0</v>
      </c>
      <c r="JJ53" s="28">
        <v>0</v>
      </c>
      <c r="JK53" s="28">
        <v>0</v>
      </c>
      <c r="JL53" s="28">
        <v>0</v>
      </c>
      <c r="JM53" s="28">
        <v>0</v>
      </c>
    </row>
    <row r="54" spans="1:274" ht="15" outlineLevel="1" thickBot="1">
      <c r="A54" t="s">
        <v>9</v>
      </c>
      <c r="B54" t="s">
        <v>23</v>
      </c>
      <c r="C54" s="74" t="s">
        <v>8</v>
      </c>
      <c r="E54" s="6"/>
      <c r="F54" s="6"/>
      <c r="G54" s="6"/>
      <c r="H54" s="6"/>
      <c r="I54" s="6"/>
      <c r="J54" s="6"/>
      <c r="K54" s="6"/>
      <c r="L54"/>
      <c r="M54"/>
      <c r="N54"/>
      <c r="Q54" s="6"/>
      <c r="R54" s="6"/>
      <c r="S54" s="6"/>
      <c r="T54" s="6"/>
      <c r="U54" s="6"/>
      <c r="V54" s="6"/>
      <c r="W54" s="6"/>
      <c r="X54" s="168">
        <v>72.89</v>
      </c>
      <c r="Y54" s="168">
        <v>72.89</v>
      </c>
      <c r="Z54" s="168">
        <v>72.89</v>
      </c>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198"/>
      <c r="HX54" s="63"/>
      <c r="HY54" s="28">
        <v>218.67000000000002</v>
      </c>
      <c r="II54" s="74" t="s">
        <v>8</v>
      </c>
      <c r="JE54" s="74" t="s">
        <v>8</v>
      </c>
      <c r="JF54" s="28">
        <v>0</v>
      </c>
      <c r="JG54" s="28">
        <v>218.67000000000002</v>
      </c>
      <c r="JH54" s="28">
        <v>0</v>
      </c>
      <c r="JI54" s="28">
        <v>0</v>
      </c>
      <c r="JJ54" s="28">
        <v>0</v>
      </c>
      <c r="JK54" s="28">
        <v>0</v>
      </c>
      <c r="JL54" s="28">
        <v>0</v>
      </c>
      <c r="JM54" s="28">
        <v>0</v>
      </c>
    </row>
    <row r="55" spans="1:274" outlineLevel="1">
      <c r="A55" t="s">
        <v>9</v>
      </c>
      <c r="B55" t="s">
        <v>25</v>
      </c>
      <c r="C55" s="72" t="s">
        <v>150</v>
      </c>
      <c r="E55" s="6">
        <v>30</v>
      </c>
      <c r="F55" s="6"/>
      <c r="G55" s="6"/>
      <c r="H55" s="6"/>
      <c r="I55" s="6"/>
      <c r="J55" s="6"/>
      <c r="K55" s="6"/>
      <c r="L55"/>
      <c r="M55"/>
      <c r="N55"/>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v>33</v>
      </c>
      <c r="HI55" s="6"/>
      <c r="HJ55" s="6"/>
      <c r="HK55" s="6"/>
      <c r="HL55" s="6"/>
      <c r="HM55" s="6"/>
      <c r="HN55" s="6"/>
      <c r="HO55" s="6"/>
      <c r="HP55" s="6"/>
      <c r="HQ55" s="6"/>
      <c r="HR55" s="6"/>
      <c r="HS55" s="6"/>
      <c r="HT55" s="6"/>
      <c r="HU55" s="6"/>
      <c r="HV55" s="6"/>
      <c r="HW55" s="198"/>
      <c r="HX55" s="63"/>
      <c r="HY55" s="28">
        <v>63</v>
      </c>
      <c r="IE55" s="2">
        <v>-2000</v>
      </c>
      <c r="IF55" s="2" t="s">
        <v>540</v>
      </c>
      <c r="II55" s="72" t="s">
        <v>150</v>
      </c>
      <c r="IK55" s="105">
        <v>-300</v>
      </c>
      <c r="IL55" s="103" t="s">
        <v>262</v>
      </c>
      <c r="JE55" s="72" t="s">
        <v>150</v>
      </c>
      <c r="JF55" s="28">
        <v>30</v>
      </c>
      <c r="JG55" s="28">
        <v>0</v>
      </c>
      <c r="JH55" s="28">
        <v>0</v>
      </c>
      <c r="JI55" s="28">
        <v>0</v>
      </c>
      <c r="JJ55" s="28">
        <v>0</v>
      </c>
      <c r="JK55" s="28">
        <v>0</v>
      </c>
      <c r="JL55" s="28">
        <v>0</v>
      </c>
      <c r="JM55" s="28">
        <v>33</v>
      </c>
    </row>
    <row r="56" spans="1:274" ht="15" outlineLevel="1" thickBot="1">
      <c r="A56" t="s">
        <v>9</v>
      </c>
      <c r="B56" t="s">
        <v>25</v>
      </c>
      <c r="C56" s="74" t="s">
        <v>144</v>
      </c>
      <c r="E56" s="6">
        <v>834.93</v>
      </c>
      <c r="F56" s="6"/>
      <c r="G56" s="6"/>
      <c r="H56" s="6"/>
      <c r="I56" s="6"/>
      <c r="J56" s="6"/>
      <c r="K56" s="6"/>
      <c r="L56"/>
      <c r="M56"/>
      <c r="N5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v>618.77</v>
      </c>
      <c r="EU56" s="6">
        <v>43.37</v>
      </c>
      <c r="EV56" s="6">
        <v>-525.69000000000005</v>
      </c>
      <c r="EW56" s="6"/>
      <c r="EX56" s="6"/>
      <c r="EY56" s="6"/>
      <c r="EZ56" s="6"/>
      <c r="FA56" s="6"/>
      <c r="FB56" s="6"/>
      <c r="FC56" s="6"/>
      <c r="FD56" s="6"/>
      <c r="FE56" s="6"/>
      <c r="FF56" s="6"/>
      <c r="FG56" s="6"/>
      <c r="FH56" s="6"/>
      <c r="FI56" s="6">
        <v>45</v>
      </c>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198"/>
      <c r="HX56" s="63"/>
      <c r="HY56" s="28">
        <v>1016.3799999999997</v>
      </c>
      <c r="IE56" s="2">
        <v>-1500</v>
      </c>
      <c r="IF56" s="2" t="s">
        <v>541</v>
      </c>
      <c r="II56" s="74" t="s">
        <v>144</v>
      </c>
      <c r="IK56" s="106">
        <v>-100</v>
      </c>
      <c r="IL56" s="102" t="s">
        <v>262</v>
      </c>
      <c r="JE56" s="74" t="s">
        <v>144</v>
      </c>
      <c r="JF56" s="28">
        <v>834.93</v>
      </c>
      <c r="JG56" s="28">
        <v>0</v>
      </c>
      <c r="JH56" s="28">
        <v>0</v>
      </c>
      <c r="JI56" s="28">
        <v>0</v>
      </c>
      <c r="JJ56" s="28">
        <v>0</v>
      </c>
      <c r="JK56" s="28">
        <v>136.44999999999993</v>
      </c>
      <c r="JL56" s="28">
        <v>45</v>
      </c>
      <c r="JM56" s="28">
        <v>0</v>
      </c>
    </row>
    <row r="57" spans="1:274" outlineLevel="1">
      <c r="A57" t="s">
        <v>9</v>
      </c>
      <c r="B57" t="s">
        <v>24</v>
      </c>
      <c r="C57" s="72" t="s">
        <v>145</v>
      </c>
      <c r="E57" s="6"/>
      <c r="F57" s="6"/>
      <c r="G57" s="6"/>
      <c r="H57" s="6"/>
      <c r="I57" s="6"/>
      <c r="J57" s="6"/>
      <c r="K57" s="6"/>
      <c r="L57"/>
      <c r="M57"/>
      <c r="N57"/>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198"/>
      <c r="HX57" s="63"/>
      <c r="HY57" s="28">
        <v>0</v>
      </c>
      <c r="IE57" s="2">
        <v>-25.14</v>
      </c>
      <c r="IF57" s="2" t="s">
        <v>542</v>
      </c>
      <c r="II57" s="72" t="s">
        <v>145</v>
      </c>
      <c r="IK57" s="107">
        <v>-300</v>
      </c>
      <c r="IL57" s="103" t="s">
        <v>263</v>
      </c>
      <c r="JE57" s="72" t="s">
        <v>145</v>
      </c>
      <c r="JF57" s="28">
        <v>0</v>
      </c>
      <c r="JG57" s="28">
        <v>0</v>
      </c>
      <c r="JH57" s="28">
        <v>0</v>
      </c>
      <c r="JI57" s="28">
        <v>0</v>
      </c>
      <c r="JJ57" s="28">
        <v>0</v>
      </c>
      <c r="JK57" s="28">
        <v>0</v>
      </c>
      <c r="JL57" s="28">
        <v>0</v>
      </c>
      <c r="JM57" s="28">
        <v>0</v>
      </c>
    </row>
    <row r="58" spans="1:274" outlineLevel="1">
      <c r="A58" t="s">
        <v>9</v>
      </c>
      <c r="B58" t="s">
        <v>24</v>
      </c>
      <c r="C58" s="73" t="s">
        <v>206</v>
      </c>
      <c r="E58" s="6"/>
      <c r="F58" s="6"/>
      <c r="G58" s="6"/>
      <c r="H58" s="6"/>
      <c r="I58" s="6"/>
      <c r="J58" s="6"/>
      <c r="K58" s="6"/>
      <c r="L58"/>
      <c r="M58"/>
      <c r="N58"/>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198"/>
      <c r="HX58" s="63"/>
      <c r="HY58" s="28">
        <v>0</v>
      </c>
      <c r="IE58" s="2">
        <v>-2100</v>
      </c>
      <c r="IF58" s="2" t="s">
        <v>543</v>
      </c>
      <c r="II58" s="73" t="s">
        <v>206</v>
      </c>
      <c r="JE58" s="73" t="s">
        <v>206</v>
      </c>
      <c r="JF58" s="28">
        <v>0</v>
      </c>
      <c r="JG58" s="28">
        <v>0</v>
      </c>
      <c r="JH58" s="28">
        <v>0</v>
      </c>
      <c r="JI58" s="28">
        <v>0</v>
      </c>
      <c r="JJ58" s="28">
        <v>0</v>
      </c>
      <c r="JK58" s="28">
        <v>0</v>
      </c>
      <c r="JL58" s="28">
        <v>0</v>
      </c>
      <c r="JM58" s="28">
        <v>0</v>
      </c>
    </row>
    <row r="59" spans="1:274" ht="15" outlineLevel="1" thickBot="1">
      <c r="A59" t="s">
        <v>9</v>
      </c>
      <c r="B59" t="s">
        <v>24</v>
      </c>
      <c r="C59" s="74" t="s">
        <v>136</v>
      </c>
      <c r="E59" s="6">
        <v>337.34</v>
      </c>
      <c r="F59" s="6"/>
      <c r="G59" s="6"/>
      <c r="H59" s="6"/>
      <c r="I59" s="6"/>
      <c r="J59" s="6"/>
      <c r="K59" s="6"/>
      <c r="L59"/>
      <c r="M59"/>
      <c r="N59"/>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198"/>
      <c r="HX59" s="63"/>
      <c r="HY59" s="28">
        <v>337.34</v>
      </c>
      <c r="IE59" s="2">
        <v>-600</v>
      </c>
      <c r="IF59" s="2" t="s">
        <v>544</v>
      </c>
      <c r="II59" s="74" t="s">
        <v>136</v>
      </c>
      <c r="JE59" s="74" t="s">
        <v>136</v>
      </c>
      <c r="JF59" s="28">
        <v>337.34</v>
      </c>
      <c r="JG59" s="28">
        <v>0</v>
      </c>
      <c r="JH59" s="28">
        <v>0</v>
      </c>
      <c r="JI59" s="28">
        <v>0</v>
      </c>
      <c r="JJ59" s="28">
        <v>0</v>
      </c>
      <c r="JK59" s="28">
        <v>0</v>
      </c>
      <c r="JL59" s="28">
        <v>0</v>
      </c>
      <c r="JM59" s="28">
        <v>0</v>
      </c>
    </row>
    <row r="60" spans="1:274" outlineLevel="2">
      <c r="E60" s="6"/>
      <c r="F60" s="6"/>
      <c r="G60" s="6"/>
      <c r="H60" s="6"/>
      <c r="I60" s="6"/>
      <c r="J60" s="6"/>
      <c r="K60" s="6"/>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s="199"/>
      <c r="HX60" s="179"/>
      <c r="HY60" s="28">
        <v>0</v>
      </c>
      <c r="II60">
        <v>0</v>
      </c>
      <c r="JE60">
        <v>0</v>
      </c>
      <c r="JF60" s="28"/>
      <c r="JG60" s="28"/>
      <c r="JH60" s="28"/>
      <c r="JI60" s="28"/>
      <c r="JJ60" s="28"/>
      <c r="JK60" s="28"/>
      <c r="JL60" s="28"/>
      <c r="JM60" s="28"/>
    </row>
    <row r="61" spans="1:274" outlineLevel="1">
      <c r="C61" s="9" t="s">
        <v>32</v>
      </c>
      <c r="D61" s="28">
        <v>0</v>
      </c>
      <c r="E61" s="28">
        <v>1202.27</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72.89</v>
      </c>
      <c r="Y61" s="28">
        <v>72.89</v>
      </c>
      <c r="Z61" s="28">
        <v>72.89</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v>0</v>
      </c>
      <c r="BO61" s="28">
        <v>0</v>
      </c>
      <c r="BP61" s="28">
        <v>0</v>
      </c>
      <c r="BQ61" s="28">
        <v>0</v>
      </c>
      <c r="BR61" s="28">
        <v>0</v>
      </c>
      <c r="BS61" s="28">
        <v>0</v>
      </c>
      <c r="BT61" s="28">
        <v>0</v>
      </c>
      <c r="BU61" s="28">
        <v>0</v>
      </c>
      <c r="BV61" s="28">
        <v>0</v>
      </c>
      <c r="BW61" s="28">
        <v>0</v>
      </c>
      <c r="BX61" s="28">
        <v>0</v>
      </c>
      <c r="BY61" s="28">
        <v>0</v>
      </c>
      <c r="BZ61" s="28">
        <v>0</v>
      </c>
      <c r="CA61" s="28">
        <v>0</v>
      </c>
      <c r="CB61" s="28">
        <v>0</v>
      </c>
      <c r="CC61" s="28">
        <v>0</v>
      </c>
      <c r="CD61" s="28">
        <v>0</v>
      </c>
      <c r="CE61" s="28">
        <v>0</v>
      </c>
      <c r="CF61" s="28">
        <v>0</v>
      </c>
      <c r="CG61" s="28">
        <v>0</v>
      </c>
      <c r="CH61" s="28">
        <v>0</v>
      </c>
      <c r="CI61" s="28">
        <v>0</v>
      </c>
      <c r="CJ61" s="28">
        <v>0</v>
      </c>
      <c r="CK61" s="28">
        <v>0</v>
      </c>
      <c r="CL61" s="28">
        <v>0</v>
      </c>
      <c r="CM61" s="28">
        <v>0</v>
      </c>
      <c r="CN61" s="28">
        <v>0</v>
      </c>
      <c r="CO61" s="28">
        <v>0</v>
      </c>
      <c r="CP61" s="28">
        <v>0</v>
      </c>
      <c r="CQ61" s="28">
        <v>0</v>
      </c>
      <c r="CR61" s="28">
        <v>0</v>
      </c>
      <c r="CS61" s="28">
        <v>0</v>
      </c>
      <c r="CT61" s="28">
        <v>0</v>
      </c>
      <c r="CU61" s="28">
        <v>0</v>
      </c>
      <c r="CV61" s="28">
        <v>0</v>
      </c>
      <c r="CW61" s="28">
        <v>0</v>
      </c>
      <c r="CX61" s="28">
        <v>0</v>
      </c>
      <c r="CY61" s="28">
        <v>0</v>
      </c>
      <c r="CZ61" s="28">
        <v>0</v>
      </c>
      <c r="DA61" s="28">
        <v>0</v>
      </c>
      <c r="DB61" s="28">
        <v>0</v>
      </c>
      <c r="DC61" s="28">
        <v>0</v>
      </c>
      <c r="DD61" s="28">
        <v>0</v>
      </c>
      <c r="DE61" s="28">
        <v>0</v>
      </c>
      <c r="DF61" s="28">
        <v>0</v>
      </c>
      <c r="DG61" s="28">
        <v>0</v>
      </c>
      <c r="DH61" s="28">
        <v>0</v>
      </c>
      <c r="DI61" s="28">
        <v>0</v>
      </c>
      <c r="DJ61" s="28">
        <v>0</v>
      </c>
      <c r="DK61" s="28">
        <v>0</v>
      </c>
      <c r="DL61" s="28">
        <v>0</v>
      </c>
      <c r="DM61" s="28">
        <v>0</v>
      </c>
      <c r="DN61" s="28">
        <v>0</v>
      </c>
      <c r="DO61" s="28">
        <v>0</v>
      </c>
      <c r="DP61" s="28">
        <v>0</v>
      </c>
      <c r="DQ61" s="28">
        <v>0</v>
      </c>
      <c r="DR61" s="28">
        <v>0</v>
      </c>
      <c r="DS61" s="28">
        <v>0</v>
      </c>
      <c r="DT61" s="28">
        <v>0</v>
      </c>
      <c r="DU61" s="28">
        <v>0</v>
      </c>
      <c r="DV61" s="28">
        <v>0</v>
      </c>
      <c r="DW61" s="28">
        <v>0</v>
      </c>
      <c r="DX61" s="28">
        <v>0</v>
      </c>
      <c r="DY61" s="28">
        <v>0</v>
      </c>
      <c r="DZ61" s="28">
        <v>0</v>
      </c>
      <c r="EA61" s="28">
        <v>0</v>
      </c>
      <c r="EB61" s="28">
        <v>0</v>
      </c>
      <c r="EC61" s="28">
        <v>0</v>
      </c>
      <c r="ED61" s="28">
        <v>0</v>
      </c>
      <c r="EE61" s="28">
        <v>0</v>
      </c>
      <c r="EF61" s="28">
        <v>0</v>
      </c>
      <c r="EG61" s="28">
        <v>0</v>
      </c>
      <c r="EH61" s="28">
        <v>0</v>
      </c>
      <c r="EI61" s="28">
        <v>0</v>
      </c>
      <c r="EJ61" s="28">
        <v>0</v>
      </c>
      <c r="EK61" s="28">
        <v>0</v>
      </c>
      <c r="EL61" s="28">
        <v>0</v>
      </c>
      <c r="EM61" s="28">
        <v>0</v>
      </c>
      <c r="EN61" s="28">
        <v>0</v>
      </c>
      <c r="EO61" s="28">
        <v>0</v>
      </c>
      <c r="EP61" s="28">
        <v>0</v>
      </c>
      <c r="EQ61" s="28">
        <v>0</v>
      </c>
      <c r="ER61" s="28">
        <v>0</v>
      </c>
      <c r="ES61" s="28">
        <v>0</v>
      </c>
      <c r="ET61" s="28">
        <v>618.77</v>
      </c>
      <c r="EU61" s="28">
        <v>43.37</v>
      </c>
      <c r="EV61" s="28">
        <v>-525.69000000000005</v>
      </c>
      <c r="EW61" s="28">
        <v>0</v>
      </c>
      <c r="EX61" s="28">
        <v>0</v>
      </c>
      <c r="EY61" s="28">
        <v>0</v>
      </c>
      <c r="EZ61" s="28">
        <v>0</v>
      </c>
      <c r="FA61" s="28">
        <v>0</v>
      </c>
      <c r="FB61" s="28">
        <v>0</v>
      </c>
      <c r="FC61" s="28">
        <v>0</v>
      </c>
      <c r="FD61" s="28">
        <v>0</v>
      </c>
      <c r="FE61" s="28">
        <v>0</v>
      </c>
      <c r="FF61" s="28">
        <v>0</v>
      </c>
      <c r="FG61" s="28">
        <v>0</v>
      </c>
      <c r="FH61" s="28">
        <v>0</v>
      </c>
      <c r="FI61" s="28">
        <v>45</v>
      </c>
      <c r="FJ61" s="28">
        <v>0</v>
      </c>
      <c r="FK61" s="28">
        <v>0</v>
      </c>
      <c r="FL61" s="28">
        <v>0</v>
      </c>
      <c r="FM61" s="28">
        <v>0</v>
      </c>
      <c r="FN61" s="28">
        <v>0</v>
      </c>
      <c r="FO61" s="28">
        <v>0</v>
      </c>
      <c r="FP61" s="28">
        <v>0</v>
      </c>
      <c r="FQ61" s="28">
        <v>0</v>
      </c>
      <c r="FR61" s="28">
        <v>0</v>
      </c>
      <c r="FS61" s="28">
        <v>0</v>
      </c>
      <c r="FT61" s="28">
        <v>0</v>
      </c>
      <c r="FU61" s="28">
        <v>0</v>
      </c>
      <c r="FV61" s="28">
        <v>0</v>
      </c>
      <c r="FW61" s="28">
        <v>0</v>
      </c>
      <c r="FX61" s="28">
        <v>0</v>
      </c>
      <c r="FY61" s="28">
        <v>0</v>
      </c>
      <c r="FZ61" s="28">
        <v>0</v>
      </c>
      <c r="GA61" s="28">
        <v>0</v>
      </c>
      <c r="GB61" s="28">
        <v>0</v>
      </c>
      <c r="GC61" s="28">
        <v>0</v>
      </c>
      <c r="GD61" s="28">
        <v>0</v>
      </c>
      <c r="GE61" s="28">
        <v>0</v>
      </c>
      <c r="GF61" s="28">
        <v>0</v>
      </c>
      <c r="GG61" s="28">
        <v>0</v>
      </c>
      <c r="GH61" s="28">
        <v>0</v>
      </c>
      <c r="GI61" s="28">
        <v>0</v>
      </c>
      <c r="GJ61" s="28">
        <v>0</v>
      </c>
      <c r="GK61" s="28">
        <v>0</v>
      </c>
      <c r="GL61" s="28">
        <v>0</v>
      </c>
      <c r="GM61" s="28">
        <v>0</v>
      </c>
      <c r="GN61" s="28">
        <v>0</v>
      </c>
      <c r="GO61" s="28">
        <v>0</v>
      </c>
      <c r="GP61" s="28">
        <v>0</v>
      </c>
      <c r="GQ61" s="28">
        <v>0</v>
      </c>
      <c r="GR61" s="28">
        <v>0</v>
      </c>
      <c r="GS61" s="28">
        <v>0</v>
      </c>
      <c r="GT61" s="28">
        <v>0</v>
      </c>
      <c r="GU61" s="28">
        <v>0</v>
      </c>
      <c r="GV61" s="28">
        <v>0</v>
      </c>
      <c r="GW61" s="28">
        <v>0</v>
      </c>
      <c r="GX61" s="28">
        <v>0</v>
      </c>
      <c r="GY61" s="28">
        <v>0</v>
      </c>
      <c r="GZ61" s="28">
        <v>0</v>
      </c>
      <c r="HA61" s="28">
        <v>0</v>
      </c>
      <c r="HB61" s="28">
        <v>0</v>
      </c>
      <c r="HC61" s="28">
        <v>0</v>
      </c>
      <c r="HD61" s="28">
        <v>0</v>
      </c>
      <c r="HE61" s="28">
        <v>0</v>
      </c>
      <c r="HF61" s="28">
        <v>0</v>
      </c>
      <c r="HG61" s="28">
        <v>0</v>
      </c>
      <c r="HH61" s="28">
        <v>33</v>
      </c>
      <c r="HI61" s="28">
        <v>0</v>
      </c>
      <c r="HJ61" s="28">
        <v>0</v>
      </c>
      <c r="HK61" s="28">
        <v>0</v>
      </c>
      <c r="HL61" s="28">
        <v>0</v>
      </c>
      <c r="HM61" s="28">
        <v>0</v>
      </c>
      <c r="HN61" s="28">
        <v>0</v>
      </c>
      <c r="HO61" s="28">
        <v>0</v>
      </c>
      <c r="HP61" s="28">
        <v>0</v>
      </c>
      <c r="HQ61" s="28">
        <v>0</v>
      </c>
      <c r="HR61" s="28">
        <v>0</v>
      </c>
      <c r="HS61" s="28">
        <v>0</v>
      </c>
      <c r="HT61" s="28">
        <v>0</v>
      </c>
      <c r="HU61" s="28">
        <v>0</v>
      </c>
      <c r="HV61" s="28">
        <v>0</v>
      </c>
      <c r="HW61" s="200"/>
      <c r="HX61" s="184"/>
      <c r="HY61" s="28">
        <v>1635.3900000000003</v>
      </c>
      <c r="IE61" s="2">
        <v>-3720</v>
      </c>
      <c r="IF61" s="2" t="s">
        <v>545</v>
      </c>
      <c r="II61" s="9" t="s">
        <v>32</v>
      </c>
      <c r="JE61" s="4" t="s">
        <v>75</v>
      </c>
      <c r="JF61" s="28">
        <v>1202.27</v>
      </c>
      <c r="JG61" s="28">
        <v>218.67000000000002</v>
      </c>
      <c r="JH61" s="28">
        <v>0</v>
      </c>
      <c r="JI61" s="28">
        <v>0</v>
      </c>
      <c r="JJ61" s="28">
        <v>0</v>
      </c>
      <c r="JK61" s="28">
        <v>136.44999999999993</v>
      </c>
      <c r="JL61" s="28">
        <v>45</v>
      </c>
      <c r="JM61" s="28">
        <v>33</v>
      </c>
      <c r="JN61" s="61">
        <v>1635.3899999999999</v>
      </c>
    </row>
    <row r="62" spans="1:274">
      <c r="A62" s="9" t="s">
        <v>75</v>
      </c>
      <c r="IE62" s="2">
        <v>-45</v>
      </c>
      <c r="IF62" s="2" t="s">
        <v>546</v>
      </c>
      <c r="II62">
        <v>0</v>
      </c>
      <c r="JE62">
        <v>0</v>
      </c>
      <c r="JF62" s="28"/>
      <c r="JG62" s="28"/>
      <c r="JH62" s="28"/>
      <c r="JI62" s="28"/>
      <c r="JJ62" s="28"/>
      <c r="JK62" s="28"/>
      <c r="JL62" s="28"/>
      <c r="JM62" s="28"/>
    </row>
    <row r="63" spans="1:274">
      <c r="IE63" s="2">
        <v>1500</v>
      </c>
      <c r="IF63" s="2" t="s">
        <v>547</v>
      </c>
      <c r="II63">
        <v>0</v>
      </c>
      <c r="JE63">
        <v>0</v>
      </c>
    </row>
    <row r="64" spans="1:274" outlineLevel="1">
      <c r="E64" s="2" t="s">
        <v>86</v>
      </c>
      <c r="F64" s="2" t="s">
        <v>87</v>
      </c>
      <c r="G64" s="2" t="s">
        <v>88</v>
      </c>
      <c r="H64" s="2" t="s">
        <v>89</v>
      </c>
      <c r="I64" s="2" t="s">
        <v>90</v>
      </c>
      <c r="J64" s="2" t="s">
        <v>289</v>
      </c>
      <c r="K64" s="2" t="s">
        <v>85</v>
      </c>
      <c r="L64" s="2" t="s">
        <v>86</v>
      </c>
      <c r="M64" s="2" t="s">
        <v>87</v>
      </c>
      <c r="N64" s="2" t="s">
        <v>88</v>
      </c>
      <c r="O64" s="2" t="s">
        <v>89</v>
      </c>
      <c r="P64" s="2" t="s">
        <v>90</v>
      </c>
      <c r="Q64" s="2" t="s">
        <v>289</v>
      </c>
      <c r="R64" s="2" t="s">
        <v>85</v>
      </c>
      <c r="S64" s="2" t="s">
        <v>86</v>
      </c>
      <c r="T64" s="2" t="s">
        <v>87</v>
      </c>
      <c r="U64" s="2" t="s">
        <v>88</v>
      </c>
      <c r="V64" s="2" t="s">
        <v>89</v>
      </c>
      <c r="W64" s="2" t="s">
        <v>90</v>
      </c>
      <c r="X64" s="2" t="s">
        <v>289</v>
      </c>
      <c r="Y64" s="2" t="s">
        <v>85</v>
      </c>
      <c r="Z64" s="2" t="s">
        <v>86</v>
      </c>
      <c r="AA64" s="2" t="s">
        <v>87</v>
      </c>
      <c r="AB64" s="2" t="s">
        <v>88</v>
      </c>
      <c r="AC64" s="2" t="s">
        <v>89</v>
      </c>
      <c r="AD64" s="2" t="s">
        <v>90</v>
      </c>
      <c r="AE64" s="2" t="s">
        <v>289</v>
      </c>
      <c r="AF64" s="2" t="s">
        <v>85</v>
      </c>
      <c r="AG64" s="2" t="s">
        <v>86</v>
      </c>
      <c r="AH64" s="2" t="s">
        <v>87</v>
      </c>
      <c r="AI64" s="2" t="s">
        <v>88</v>
      </c>
      <c r="AJ64" s="2" t="s">
        <v>89</v>
      </c>
      <c r="AK64" s="2" t="s">
        <v>90</v>
      </c>
      <c r="AL64" s="2" t="s">
        <v>289</v>
      </c>
      <c r="AM64" s="2" t="s">
        <v>85</v>
      </c>
      <c r="AN64" s="2" t="s">
        <v>86</v>
      </c>
      <c r="AO64" s="2" t="s">
        <v>87</v>
      </c>
      <c r="AP64" s="2" t="s">
        <v>88</v>
      </c>
      <c r="AQ64" s="2" t="s">
        <v>89</v>
      </c>
      <c r="AR64" s="2" t="s">
        <v>90</v>
      </c>
      <c r="AS64" s="2" t="s">
        <v>289</v>
      </c>
      <c r="AT64" s="2" t="s">
        <v>85</v>
      </c>
      <c r="AU64" s="2" t="s">
        <v>86</v>
      </c>
      <c r="AV64" s="2" t="s">
        <v>87</v>
      </c>
      <c r="AW64" s="2" t="s">
        <v>88</v>
      </c>
      <c r="AX64" s="2" t="s">
        <v>89</v>
      </c>
      <c r="AY64" s="2" t="s">
        <v>90</v>
      </c>
      <c r="AZ64" s="2" t="s">
        <v>289</v>
      </c>
      <c r="BA64" s="2" t="s">
        <v>85</v>
      </c>
      <c r="BB64" s="2" t="s">
        <v>86</v>
      </c>
      <c r="BC64" s="2" t="s">
        <v>87</v>
      </c>
      <c r="BD64" s="2" t="s">
        <v>88</v>
      </c>
      <c r="BE64" s="2" t="s">
        <v>89</v>
      </c>
      <c r="BF64" s="2" t="s">
        <v>90</v>
      </c>
      <c r="BG64" s="2" t="s">
        <v>289</v>
      </c>
      <c r="BH64" s="2" t="s">
        <v>85</v>
      </c>
      <c r="BI64" s="2" t="s">
        <v>86</v>
      </c>
      <c r="BJ64" s="2" t="s">
        <v>87</v>
      </c>
      <c r="BK64" s="2" t="s">
        <v>88</v>
      </c>
      <c r="BL64" s="2" t="s">
        <v>89</v>
      </c>
      <c r="BM64" s="2" t="s">
        <v>90</v>
      </c>
      <c r="BN64" s="2" t="s">
        <v>289</v>
      </c>
      <c r="BO64" s="2" t="s">
        <v>85</v>
      </c>
      <c r="BP64" s="2" t="s">
        <v>86</v>
      </c>
      <c r="BQ64" s="2" t="s">
        <v>87</v>
      </c>
      <c r="BR64" s="2" t="s">
        <v>88</v>
      </c>
      <c r="BS64" s="2" t="s">
        <v>89</v>
      </c>
      <c r="BT64" s="2" t="s">
        <v>90</v>
      </c>
      <c r="BU64" s="2" t="s">
        <v>289</v>
      </c>
      <c r="BV64" s="2" t="s">
        <v>85</v>
      </c>
      <c r="BW64" s="2" t="s">
        <v>86</v>
      </c>
      <c r="BX64" s="2" t="s">
        <v>87</v>
      </c>
      <c r="BY64" s="2" t="s">
        <v>88</v>
      </c>
      <c r="BZ64" s="2" t="s">
        <v>89</v>
      </c>
      <c r="CA64" s="2" t="s">
        <v>90</v>
      </c>
      <c r="CB64" s="2" t="s">
        <v>289</v>
      </c>
      <c r="CC64" s="2" t="s">
        <v>85</v>
      </c>
      <c r="CD64" s="2" t="s">
        <v>86</v>
      </c>
      <c r="CE64" s="2" t="s">
        <v>87</v>
      </c>
      <c r="CF64" s="2" t="s">
        <v>88</v>
      </c>
      <c r="CG64" s="2" t="s">
        <v>89</v>
      </c>
      <c r="CH64" s="2" t="s">
        <v>90</v>
      </c>
      <c r="CI64" s="2" t="s">
        <v>289</v>
      </c>
      <c r="CJ64" s="2" t="s">
        <v>85</v>
      </c>
      <c r="CK64" s="2" t="s">
        <v>86</v>
      </c>
      <c r="CL64" s="2" t="s">
        <v>87</v>
      </c>
      <c r="CM64" s="2" t="s">
        <v>88</v>
      </c>
      <c r="CN64" s="2" t="s">
        <v>89</v>
      </c>
      <c r="CO64" s="2" t="s">
        <v>90</v>
      </c>
      <c r="CP64" s="2" t="s">
        <v>289</v>
      </c>
      <c r="CQ64" s="2" t="s">
        <v>85</v>
      </c>
      <c r="CR64" s="2" t="s">
        <v>86</v>
      </c>
      <c r="CS64" s="2" t="s">
        <v>87</v>
      </c>
      <c r="CT64" s="2" t="s">
        <v>88</v>
      </c>
      <c r="CU64" s="2" t="s">
        <v>89</v>
      </c>
      <c r="CV64" s="2" t="s">
        <v>90</v>
      </c>
      <c r="CW64" s="2" t="s">
        <v>289</v>
      </c>
      <c r="CX64" s="2" t="s">
        <v>85</v>
      </c>
      <c r="CY64" s="2" t="s">
        <v>86</v>
      </c>
      <c r="CZ64" s="2" t="s">
        <v>87</v>
      </c>
      <c r="DA64" s="2" t="s">
        <v>88</v>
      </c>
      <c r="DB64" s="2" t="s">
        <v>89</v>
      </c>
      <c r="DC64" s="2" t="s">
        <v>90</v>
      </c>
      <c r="DD64" s="2" t="s">
        <v>289</v>
      </c>
      <c r="DE64" s="2" t="s">
        <v>85</v>
      </c>
      <c r="DF64" s="2" t="s">
        <v>86</v>
      </c>
      <c r="DG64" s="2" t="s">
        <v>87</v>
      </c>
      <c r="DH64" s="2" t="s">
        <v>88</v>
      </c>
      <c r="DI64" s="2" t="s">
        <v>89</v>
      </c>
      <c r="DJ64" s="2" t="s">
        <v>90</v>
      </c>
      <c r="DK64" s="2" t="s">
        <v>289</v>
      </c>
      <c r="DL64" s="2" t="s">
        <v>85</v>
      </c>
      <c r="DM64" s="2" t="s">
        <v>86</v>
      </c>
      <c r="DN64" s="2" t="s">
        <v>87</v>
      </c>
      <c r="DO64" s="2" t="s">
        <v>88</v>
      </c>
      <c r="DP64" s="2" t="s">
        <v>89</v>
      </c>
      <c r="DQ64" s="2" t="s">
        <v>90</v>
      </c>
      <c r="DR64" s="2" t="s">
        <v>289</v>
      </c>
      <c r="DS64" s="2" t="s">
        <v>85</v>
      </c>
      <c r="DT64" s="2" t="s">
        <v>86</v>
      </c>
      <c r="DU64" s="2" t="s">
        <v>87</v>
      </c>
      <c r="DV64" s="2" t="s">
        <v>88</v>
      </c>
      <c r="DW64" s="2" t="s">
        <v>89</v>
      </c>
      <c r="DX64" s="2" t="s">
        <v>90</v>
      </c>
      <c r="DY64" s="2" t="s">
        <v>289</v>
      </c>
      <c r="DZ64" s="2" t="s">
        <v>85</v>
      </c>
      <c r="EA64" s="2" t="s">
        <v>86</v>
      </c>
      <c r="EB64" s="2" t="s">
        <v>87</v>
      </c>
      <c r="EC64" s="2" t="s">
        <v>88</v>
      </c>
      <c r="ED64" s="2" t="s">
        <v>89</v>
      </c>
      <c r="EE64" s="2" t="s">
        <v>90</v>
      </c>
      <c r="EF64" s="2" t="s">
        <v>289</v>
      </c>
      <c r="EG64" s="2" t="s">
        <v>85</v>
      </c>
      <c r="EH64" s="2" t="s">
        <v>86</v>
      </c>
      <c r="EI64" s="2" t="s">
        <v>87</v>
      </c>
      <c r="EJ64" s="2" t="s">
        <v>88</v>
      </c>
      <c r="EK64" s="2" t="s">
        <v>89</v>
      </c>
      <c r="EL64" s="2" t="s">
        <v>90</v>
      </c>
      <c r="EM64" s="2" t="s">
        <v>289</v>
      </c>
      <c r="EN64" s="2" t="s">
        <v>85</v>
      </c>
      <c r="EO64" s="2" t="s">
        <v>86</v>
      </c>
      <c r="EP64" s="2" t="s">
        <v>87</v>
      </c>
      <c r="EQ64" s="2" t="s">
        <v>88</v>
      </c>
      <c r="ER64" s="2" t="s">
        <v>89</v>
      </c>
      <c r="ES64" s="2" t="s">
        <v>90</v>
      </c>
      <c r="ET64" s="2" t="s">
        <v>289</v>
      </c>
      <c r="EU64" s="2" t="s">
        <v>85</v>
      </c>
      <c r="EV64" s="2" t="s">
        <v>86</v>
      </c>
      <c r="EW64" s="2" t="s">
        <v>87</v>
      </c>
      <c r="EX64" s="2" t="s">
        <v>88</v>
      </c>
      <c r="EY64" s="2" t="s">
        <v>89</v>
      </c>
      <c r="EZ64" s="2" t="s">
        <v>90</v>
      </c>
      <c r="FA64" s="2" t="s">
        <v>289</v>
      </c>
      <c r="FB64" s="2" t="s">
        <v>85</v>
      </c>
      <c r="FC64" s="2" t="s">
        <v>86</v>
      </c>
      <c r="FD64" s="2" t="s">
        <v>87</v>
      </c>
      <c r="FE64" s="2" t="s">
        <v>88</v>
      </c>
      <c r="FF64" s="2" t="s">
        <v>89</v>
      </c>
      <c r="FG64" s="2" t="s">
        <v>90</v>
      </c>
      <c r="FH64" s="2" t="s">
        <v>289</v>
      </c>
      <c r="FI64" s="2" t="s">
        <v>85</v>
      </c>
      <c r="FJ64" s="2" t="s">
        <v>86</v>
      </c>
      <c r="FK64" s="2" t="s">
        <v>87</v>
      </c>
      <c r="FL64" s="2" t="s">
        <v>88</v>
      </c>
      <c r="FM64" s="2" t="s">
        <v>89</v>
      </c>
      <c r="FN64" s="2" t="s">
        <v>90</v>
      </c>
      <c r="FO64" s="2" t="s">
        <v>289</v>
      </c>
      <c r="FP64" s="2" t="s">
        <v>85</v>
      </c>
      <c r="FQ64" s="2" t="s">
        <v>86</v>
      </c>
      <c r="FR64" s="2" t="s">
        <v>87</v>
      </c>
      <c r="FS64" s="2" t="s">
        <v>88</v>
      </c>
      <c r="FT64" s="2" t="s">
        <v>89</v>
      </c>
      <c r="FU64" s="2" t="s">
        <v>90</v>
      </c>
      <c r="FV64" s="2" t="s">
        <v>289</v>
      </c>
      <c r="FW64" s="2" t="s">
        <v>85</v>
      </c>
      <c r="FX64" s="2" t="s">
        <v>86</v>
      </c>
      <c r="FY64" s="2" t="s">
        <v>87</v>
      </c>
      <c r="FZ64" s="2" t="s">
        <v>88</v>
      </c>
      <c r="GA64" s="2" t="s">
        <v>89</v>
      </c>
      <c r="GB64" s="2" t="s">
        <v>90</v>
      </c>
      <c r="GC64" s="2" t="s">
        <v>289</v>
      </c>
      <c r="GD64" s="2" t="s">
        <v>85</v>
      </c>
      <c r="GE64" s="2" t="s">
        <v>86</v>
      </c>
      <c r="GF64" s="2" t="s">
        <v>87</v>
      </c>
      <c r="GG64" s="2" t="s">
        <v>88</v>
      </c>
      <c r="GH64" s="2" t="s">
        <v>89</v>
      </c>
      <c r="GI64" s="2" t="s">
        <v>90</v>
      </c>
      <c r="GJ64" s="2" t="s">
        <v>289</v>
      </c>
      <c r="GK64" s="2" t="s">
        <v>85</v>
      </c>
      <c r="GL64" s="2" t="s">
        <v>86</v>
      </c>
      <c r="GM64" s="2" t="s">
        <v>87</v>
      </c>
      <c r="GN64" s="2" t="s">
        <v>88</v>
      </c>
      <c r="GO64" s="2" t="s">
        <v>89</v>
      </c>
      <c r="GP64" s="2" t="s">
        <v>90</v>
      </c>
      <c r="GQ64" s="2" t="s">
        <v>289</v>
      </c>
      <c r="GR64" s="2" t="s">
        <v>85</v>
      </c>
      <c r="GS64" s="2" t="s">
        <v>86</v>
      </c>
      <c r="GT64" s="2" t="s">
        <v>87</v>
      </c>
      <c r="GU64" s="2" t="s">
        <v>88</v>
      </c>
      <c r="GV64" s="2" t="s">
        <v>89</v>
      </c>
      <c r="GW64" s="2" t="s">
        <v>90</v>
      </c>
      <c r="GX64" s="2" t="s">
        <v>289</v>
      </c>
      <c r="GY64" s="2" t="s">
        <v>85</v>
      </c>
      <c r="GZ64" s="2" t="s">
        <v>86</v>
      </c>
      <c r="HA64" s="2" t="s">
        <v>87</v>
      </c>
      <c r="HB64" s="2" t="s">
        <v>88</v>
      </c>
      <c r="HC64" s="2" t="s">
        <v>89</v>
      </c>
      <c r="HD64" s="2" t="s">
        <v>90</v>
      </c>
      <c r="HE64" s="2" t="s">
        <v>289</v>
      </c>
      <c r="HF64" s="2" t="s">
        <v>85</v>
      </c>
      <c r="HG64" s="2" t="s">
        <v>86</v>
      </c>
      <c r="HH64" s="2" t="s">
        <v>87</v>
      </c>
      <c r="HI64" s="2" t="s">
        <v>88</v>
      </c>
      <c r="HJ64" s="2" t="s">
        <v>89</v>
      </c>
      <c r="HK64" s="2" t="s">
        <v>90</v>
      </c>
      <c r="HL64" s="2" t="s">
        <v>289</v>
      </c>
      <c r="HM64" s="2" t="s">
        <v>85</v>
      </c>
      <c r="HN64" s="2" t="s">
        <v>86</v>
      </c>
      <c r="HO64" s="2" t="s">
        <v>87</v>
      </c>
      <c r="HP64" s="2" t="s">
        <v>88</v>
      </c>
      <c r="HQ64" s="2" t="s">
        <v>89</v>
      </c>
      <c r="HR64" s="2" t="s">
        <v>90</v>
      </c>
      <c r="HS64" s="2" t="s">
        <v>289</v>
      </c>
      <c r="HT64" s="2" t="s">
        <v>85</v>
      </c>
      <c r="HU64" s="2" t="s">
        <v>86</v>
      </c>
      <c r="HV64" s="2" t="s">
        <v>87</v>
      </c>
      <c r="HW64" s="11" t="s">
        <v>88</v>
      </c>
      <c r="HX64" s="177">
        <v>0</v>
      </c>
      <c r="IF64" s="2" t="s">
        <v>184</v>
      </c>
      <c r="II64">
        <v>0</v>
      </c>
      <c r="JE64">
        <v>0</v>
      </c>
    </row>
    <row r="65" spans="2:277" outlineLevel="1">
      <c r="E65" s="39">
        <v>43887</v>
      </c>
      <c r="F65" s="39">
        <v>43888</v>
      </c>
      <c r="G65" s="39">
        <v>43889</v>
      </c>
      <c r="H65" s="39">
        <v>43890</v>
      </c>
      <c r="I65" s="39">
        <v>43891</v>
      </c>
      <c r="J65" s="39">
        <v>43892</v>
      </c>
      <c r="K65" s="39">
        <v>43893</v>
      </c>
      <c r="L65" s="39">
        <v>43894</v>
      </c>
      <c r="M65" s="39">
        <v>43895</v>
      </c>
      <c r="N65" s="39">
        <v>43896</v>
      </c>
      <c r="O65" s="39">
        <v>43897</v>
      </c>
      <c r="P65" s="39">
        <v>43898</v>
      </c>
      <c r="Q65" s="39">
        <v>43899</v>
      </c>
      <c r="R65" s="39">
        <v>43900</v>
      </c>
      <c r="S65" s="39">
        <v>43901</v>
      </c>
      <c r="T65" s="39">
        <v>43902</v>
      </c>
      <c r="U65" s="39">
        <v>43903</v>
      </c>
      <c r="V65" s="39">
        <v>43904</v>
      </c>
      <c r="W65" s="39">
        <v>43905</v>
      </c>
      <c r="X65" s="39">
        <v>43906</v>
      </c>
      <c r="Y65" s="39">
        <v>43907</v>
      </c>
      <c r="Z65" s="39">
        <v>43908</v>
      </c>
      <c r="AA65" s="39">
        <v>43909</v>
      </c>
      <c r="AB65" s="39">
        <v>43910</v>
      </c>
      <c r="AC65" s="39">
        <v>43911</v>
      </c>
      <c r="AD65" s="39">
        <v>43912</v>
      </c>
      <c r="AE65" s="39">
        <v>43913</v>
      </c>
      <c r="AF65" s="39">
        <v>43914</v>
      </c>
      <c r="AG65" s="39">
        <v>43915</v>
      </c>
      <c r="AH65" s="39">
        <v>43916</v>
      </c>
      <c r="AI65" s="39">
        <v>43917</v>
      </c>
      <c r="AJ65" s="39">
        <v>43918</v>
      </c>
      <c r="AK65" s="39">
        <v>43919</v>
      </c>
      <c r="AL65" s="39">
        <v>43920</v>
      </c>
      <c r="AM65" s="39">
        <v>43921</v>
      </c>
      <c r="AN65" s="39">
        <v>43922</v>
      </c>
      <c r="AO65" s="39">
        <v>43923</v>
      </c>
      <c r="AP65" s="39">
        <v>43924</v>
      </c>
      <c r="AQ65" s="39">
        <v>43925</v>
      </c>
      <c r="AR65" s="39">
        <v>43926</v>
      </c>
      <c r="AS65" s="39">
        <v>43927</v>
      </c>
      <c r="AT65" s="39">
        <v>43928</v>
      </c>
      <c r="AU65" s="39">
        <v>43929</v>
      </c>
      <c r="AV65" s="39">
        <v>43930</v>
      </c>
      <c r="AW65" s="39">
        <v>43931</v>
      </c>
      <c r="AX65" s="39">
        <v>43932</v>
      </c>
      <c r="AY65" s="39">
        <v>43933</v>
      </c>
      <c r="AZ65" s="39">
        <v>43934</v>
      </c>
      <c r="BA65" s="39">
        <v>43935</v>
      </c>
      <c r="BB65" s="39">
        <v>43936</v>
      </c>
      <c r="BC65" s="39">
        <v>43937</v>
      </c>
      <c r="BD65" s="39">
        <v>43938</v>
      </c>
      <c r="BE65" s="39">
        <v>43939</v>
      </c>
      <c r="BF65" s="39">
        <v>43940</v>
      </c>
      <c r="BG65" s="39">
        <v>43941</v>
      </c>
      <c r="BH65" s="39">
        <v>43942</v>
      </c>
      <c r="BI65" s="39">
        <v>43943</v>
      </c>
      <c r="BJ65" s="39">
        <v>43944</v>
      </c>
      <c r="BK65" s="39">
        <v>43945</v>
      </c>
      <c r="BL65" s="39">
        <v>43946</v>
      </c>
      <c r="BM65" s="39">
        <v>43947</v>
      </c>
      <c r="BN65" s="39">
        <v>43948</v>
      </c>
      <c r="BO65" s="39">
        <v>43949</v>
      </c>
      <c r="BP65" s="39">
        <v>43950</v>
      </c>
      <c r="BQ65" s="39">
        <v>43951</v>
      </c>
      <c r="BR65" s="39">
        <v>43952</v>
      </c>
      <c r="BS65" s="39">
        <v>43953</v>
      </c>
      <c r="BT65" s="39">
        <v>43954</v>
      </c>
      <c r="BU65" s="39">
        <v>43955</v>
      </c>
      <c r="BV65" s="39">
        <v>43956</v>
      </c>
      <c r="BW65" s="39">
        <v>43957</v>
      </c>
      <c r="BX65" s="39">
        <v>43958</v>
      </c>
      <c r="BY65" s="39">
        <v>43959</v>
      </c>
      <c r="BZ65" s="39">
        <v>43960</v>
      </c>
      <c r="CA65" s="39">
        <v>43961</v>
      </c>
      <c r="CB65" s="39">
        <v>43962</v>
      </c>
      <c r="CC65" s="39">
        <v>43963</v>
      </c>
      <c r="CD65" s="39">
        <v>43964</v>
      </c>
      <c r="CE65" s="39">
        <v>43965</v>
      </c>
      <c r="CF65" s="39">
        <v>43966</v>
      </c>
      <c r="CG65" s="39">
        <v>43967</v>
      </c>
      <c r="CH65" s="39">
        <v>43968</v>
      </c>
      <c r="CI65" s="39">
        <v>43969</v>
      </c>
      <c r="CJ65" s="39">
        <v>43970</v>
      </c>
      <c r="CK65" s="39">
        <v>43971</v>
      </c>
      <c r="CL65" s="39">
        <v>43972</v>
      </c>
      <c r="CM65" s="39">
        <v>43973</v>
      </c>
      <c r="CN65" s="39">
        <v>43974</v>
      </c>
      <c r="CO65" s="39">
        <v>43975</v>
      </c>
      <c r="CP65" s="39">
        <v>43976</v>
      </c>
      <c r="CQ65" s="39">
        <v>43977</v>
      </c>
      <c r="CR65" s="39">
        <v>43978</v>
      </c>
      <c r="CS65" s="39">
        <v>43979</v>
      </c>
      <c r="CT65" s="39">
        <v>43980</v>
      </c>
      <c r="CU65" s="39">
        <v>43981</v>
      </c>
      <c r="CV65" s="39">
        <v>43982</v>
      </c>
      <c r="CW65" s="39">
        <v>43983</v>
      </c>
      <c r="CX65" s="39">
        <v>43984</v>
      </c>
      <c r="CY65" s="39">
        <v>43985</v>
      </c>
      <c r="CZ65" s="39">
        <v>43986</v>
      </c>
      <c r="DA65" s="39">
        <v>43987</v>
      </c>
      <c r="DB65" s="39">
        <v>43988</v>
      </c>
      <c r="DC65" s="39">
        <v>43989</v>
      </c>
      <c r="DD65" s="39">
        <v>43990</v>
      </c>
      <c r="DE65" s="39">
        <v>43991</v>
      </c>
      <c r="DF65" s="39">
        <v>43992</v>
      </c>
      <c r="DG65" s="39">
        <v>43993</v>
      </c>
      <c r="DH65" s="39">
        <v>43994</v>
      </c>
      <c r="DI65" s="39">
        <v>43995</v>
      </c>
      <c r="DJ65" s="39">
        <v>43996</v>
      </c>
      <c r="DK65" s="39">
        <v>43997</v>
      </c>
      <c r="DL65" s="39">
        <v>43998</v>
      </c>
      <c r="DM65" s="39">
        <v>43999</v>
      </c>
      <c r="DN65" s="39">
        <v>44000</v>
      </c>
      <c r="DO65" s="39">
        <v>44001</v>
      </c>
      <c r="DP65" s="39">
        <v>44002</v>
      </c>
      <c r="DQ65" s="39">
        <v>44003</v>
      </c>
      <c r="DR65" s="39">
        <v>44004</v>
      </c>
      <c r="DS65" s="39">
        <v>44005</v>
      </c>
      <c r="DT65" s="39">
        <v>44006</v>
      </c>
      <c r="DU65" s="39">
        <v>44007</v>
      </c>
      <c r="DV65" s="39">
        <v>44008</v>
      </c>
      <c r="DW65" s="39">
        <v>44009</v>
      </c>
      <c r="DX65" s="39">
        <v>44010</v>
      </c>
      <c r="DY65" s="39">
        <v>44011</v>
      </c>
      <c r="DZ65" s="39">
        <v>44012</v>
      </c>
      <c r="EA65" s="39">
        <v>44013</v>
      </c>
      <c r="EB65" s="39">
        <v>44014</v>
      </c>
      <c r="EC65" s="39">
        <v>44015</v>
      </c>
      <c r="ED65" s="39">
        <v>44016</v>
      </c>
      <c r="EE65" s="39">
        <v>44017</v>
      </c>
      <c r="EF65" s="39">
        <v>44018</v>
      </c>
      <c r="EG65" s="39">
        <v>44019</v>
      </c>
      <c r="EH65" s="39">
        <v>44020</v>
      </c>
      <c r="EI65" s="39">
        <v>44021</v>
      </c>
      <c r="EJ65" s="39">
        <v>44022</v>
      </c>
      <c r="EK65" s="39">
        <v>44023</v>
      </c>
      <c r="EL65" s="39">
        <v>44024</v>
      </c>
      <c r="EM65" s="39">
        <v>44025</v>
      </c>
      <c r="EN65" s="39">
        <v>44026</v>
      </c>
      <c r="EO65" s="39">
        <v>44027</v>
      </c>
      <c r="EP65" s="39">
        <v>44028</v>
      </c>
      <c r="EQ65" s="39">
        <v>44029</v>
      </c>
      <c r="ER65" s="39">
        <v>44030</v>
      </c>
      <c r="ES65" s="39">
        <v>44031</v>
      </c>
      <c r="ET65" s="39">
        <v>44032</v>
      </c>
      <c r="EU65" s="39">
        <v>44033</v>
      </c>
      <c r="EV65" s="39">
        <v>44034</v>
      </c>
      <c r="EW65" s="39">
        <v>44035</v>
      </c>
      <c r="EX65" s="39">
        <v>44036</v>
      </c>
      <c r="EY65" s="39">
        <v>44037</v>
      </c>
      <c r="EZ65" s="39">
        <v>44038</v>
      </c>
      <c r="FA65" s="39">
        <v>44039</v>
      </c>
      <c r="FB65" s="39">
        <v>44040</v>
      </c>
      <c r="FC65" s="39">
        <v>44041</v>
      </c>
      <c r="FD65" s="39">
        <v>44042</v>
      </c>
      <c r="FE65" s="39">
        <v>44043</v>
      </c>
      <c r="FF65" s="39">
        <v>44044</v>
      </c>
      <c r="FG65" s="39">
        <v>44045</v>
      </c>
      <c r="FH65" s="39">
        <v>44046</v>
      </c>
      <c r="FI65" s="39">
        <v>44047</v>
      </c>
      <c r="FJ65" s="39">
        <v>44048</v>
      </c>
      <c r="FK65" s="39">
        <v>44049</v>
      </c>
      <c r="FL65" s="39">
        <v>44050</v>
      </c>
      <c r="FM65" s="39">
        <v>44051</v>
      </c>
      <c r="FN65" s="39">
        <v>44052</v>
      </c>
      <c r="FO65" s="39">
        <v>44053</v>
      </c>
      <c r="FP65" s="39">
        <v>44054</v>
      </c>
      <c r="FQ65" s="39">
        <v>44055</v>
      </c>
      <c r="FR65" s="39">
        <v>44056</v>
      </c>
      <c r="FS65" s="39">
        <v>44057</v>
      </c>
      <c r="FT65" s="39">
        <v>44058</v>
      </c>
      <c r="FU65" s="39">
        <v>44059</v>
      </c>
      <c r="FV65" s="39">
        <v>44060</v>
      </c>
      <c r="FW65" s="39">
        <v>44061</v>
      </c>
      <c r="FX65" s="39">
        <v>44062</v>
      </c>
      <c r="FY65" s="39">
        <v>44063</v>
      </c>
      <c r="FZ65" s="39">
        <v>44064</v>
      </c>
      <c r="GA65" s="39">
        <v>44065</v>
      </c>
      <c r="GB65" s="39">
        <v>44066</v>
      </c>
      <c r="GC65" s="39">
        <v>44067</v>
      </c>
      <c r="GD65" s="39">
        <v>44068</v>
      </c>
      <c r="GE65" s="39">
        <v>44069</v>
      </c>
      <c r="GF65" s="39">
        <v>44070</v>
      </c>
      <c r="GG65" s="39">
        <v>44071</v>
      </c>
      <c r="GH65" s="39">
        <v>44072</v>
      </c>
      <c r="GI65" s="39">
        <v>44073</v>
      </c>
      <c r="GJ65" s="39">
        <v>44074</v>
      </c>
      <c r="GK65" s="39">
        <v>44075</v>
      </c>
      <c r="GL65" s="39">
        <v>44076</v>
      </c>
      <c r="GM65" s="39">
        <v>44077</v>
      </c>
      <c r="GN65" s="39">
        <v>44078</v>
      </c>
      <c r="GO65" s="39">
        <v>44079</v>
      </c>
      <c r="GP65" s="39">
        <v>44080</v>
      </c>
      <c r="GQ65" s="39">
        <v>44081</v>
      </c>
      <c r="GR65" s="39">
        <v>44082</v>
      </c>
      <c r="GS65" s="39">
        <v>44083</v>
      </c>
      <c r="GT65" s="39">
        <v>44084</v>
      </c>
      <c r="GU65" s="39">
        <v>44085</v>
      </c>
      <c r="GV65" s="39">
        <v>44086</v>
      </c>
      <c r="GW65" s="39">
        <v>44087</v>
      </c>
      <c r="GX65" s="39">
        <v>44088</v>
      </c>
      <c r="GY65" s="39">
        <v>44089</v>
      </c>
      <c r="GZ65" s="39">
        <v>44090</v>
      </c>
      <c r="HA65" s="39">
        <v>44091</v>
      </c>
      <c r="HB65" s="39">
        <v>44092</v>
      </c>
      <c r="HC65" s="39">
        <v>44093</v>
      </c>
      <c r="HD65" s="39">
        <v>44094</v>
      </c>
      <c r="HE65" s="39">
        <v>44095</v>
      </c>
      <c r="HF65" s="39">
        <v>44096</v>
      </c>
      <c r="HG65" s="39">
        <v>44097</v>
      </c>
      <c r="HH65" s="39">
        <v>44098</v>
      </c>
      <c r="HI65" s="39">
        <v>44099</v>
      </c>
      <c r="HJ65" s="39">
        <v>44100</v>
      </c>
      <c r="HK65" s="39">
        <v>44101</v>
      </c>
      <c r="HL65" s="39">
        <v>44102</v>
      </c>
      <c r="HM65" s="39">
        <v>44103</v>
      </c>
      <c r="HN65" s="39">
        <v>44104</v>
      </c>
      <c r="HO65" s="39">
        <v>44105</v>
      </c>
      <c r="HP65" s="39">
        <v>44106</v>
      </c>
      <c r="HQ65" s="39">
        <v>44107</v>
      </c>
      <c r="HR65" s="39">
        <v>44108</v>
      </c>
      <c r="HS65" s="39">
        <v>44109</v>
      </c>
      <c r="HT65" s="39">
        <v>44110</v>
      </c>
      <c r="HU65" s="39">
        <v>44111</v>
      </c>
      <c r="HV65" s="39">
        <v>44112</v>
      </c>
      <c r="HW65" s="197">
        <v>44008</v>
      </c>
      <c r="HX65" s="183">
        <v>0</v>
      </c>
      <c r="II65">
        <v>0</v>
      </c>
      <c r="JE65">
        <v>0</v>
      </c>
    </row>
    <row r="66" spans="2:277" ht="15" outlineLevel="1" thickBot="1">
      <c r="E66" s="2">
        <v>0</v>
      </c>
      <c r="F66" s="2">
        <v>1</v>
      </c>
      <c r="G66" s="2">
        <v>2</v>
      </c>
      <c r="H66" s="2">
        <v>3</v>
      </c>
      <c r="I66" s="2">
        <v>4</v>
      </c>
      <c r="J66" s="2">
        <v>5</v>
      </c>
      <c r="K66" s="2">
        <v>6</v>
      </c>
      <c r="L66" s="2">
        <v>7</v>
      </c>
      <c r="M66" s="2">
        <v>8</v>
      </c>
      <c r="N66" s="2">
        <v>9</v>
      </c>
      <c r="O66" s="2">
        <v>10</v>
      </c>
      <c r="P66" s="2">
        <v>11</v>
      </c>
      <c r="Q66" s="2">
        <v>12</v>
      </c>
      <c r="R66" s="2">
        <v>13</v>
      </c>
      <c r="S66" s="2">
        <v>14</v>
      </c>
      <c r="T66" s="2">
        <v>15</v>
      </c>
      <c r="U66" s="2">
        <v>16</v>
      </c>
      <c r="V66" s="2">
        <v>17</v>
      </c>
      <c r="W66" s="2">
        <v>18</v>
      </c>
      <c r="X66" s="2">
        <v>19</v>
      </c>
      <c r="Y66" s="2">
        <v>20</v>
      </c>
      <c r="Z66" s="2">
        <v>21</v>
      </c>
      <c r="AA66" s="2">
        <v>22</v>
      </c>
      <c r="AB66" s="2">
        <v>23</v>
      </c>
      <c r="AC66" s="2">
        <v>24</v>
      </c>
      <c r="AD66" s="2">
        <v>25</v>
      </c>
      <c r="AE66" s="2">
        <v>26</v>
      </c>
      <c r="AF66" s="2">
        <v>27</v>
      </c>
      <c r="AG66" s="2">
        <v>28</v>
      </c>
      <c r="AH66" s="2">
        <v>29</v>
      </c>
      <c r="AI66" s="2">
        <v>30</v>
      </c>
      <c r="AJ66" s="2">
        <v>31</v>
      </c>
      <c r="AK66" s="2">
        <v>32</v>
      </c>
      <c r="AL66" s="2">
        <v>33</v>
      </c>
      <c r="AM66" s="2">
        <v>34</v>
      </c>
      <c r="AN66" s="2">
        <v>35</v>
      </c>
      <c r="AO66" s="2">
        <v>36</v>
      </c>
      <c r="AP66" s="2">
        <v>37</v>
      </c>
      <c r="AQ66" s="2">
        <v>38</v>
      </c>
      <c r="AR66" s="2">
        <v>39</v>
      </c>
      <c r="AS66" s="2">
        <v>40</v>
      </c>
      <c r="AT66" s="2">
        <v>41</v>
      </c>
      <c r="AU66" s="2">
        <v>42</v>
      </c>
      <c r="AV66" s="2">
        <v>43</v>
      </c>
      <c r="AW66" s="2">
        <v>44</v>
      </c>
      <c r="AX66" s="2">
        <v>45</v>
      </c>
      <c r="AY66" s="2">
        <v>46</v>
      </c>
      <c r="AZ66" s="2">
        <v>47</v>
      </c>
      <c r="BA66" s="2">
        <v>48</v>
      </c>
      <c r="BB66" s="2">
        <v>49</v>
      </c>
      <c r="BC66" s="2">
        <v>50</v>
      </c>
      <c r="BD66" s="2">
        <v>51</v>
      </c>
      <c r="BE66" s="2">
        <v>52</v>
      </c>
      <c r="BF66" s="2">
        <v>53</v>
      </c>
      <c r="BG66" s="2">
        <v>54</v>
      </c>
      <c r="BH66" s="2">
        <v>55</v>
      </c>
      <c r="BI66" s="2">
        <v>56</v>
      </c>
      <c r="BJ66" s="2">
        <v>57</v>
      </c>
      <c r="BK66" s="2">
        <v>58</v>
      </c>
      <c r="BL66" s="2">
        <v>59</v>
      </c>
      <c r="BM66" s="2">
        <v>60</v>
      </c>
      <c r="BN66" s="2">
        <v>61</v>
      </c>
      <c r="BO66" s="2">
        <v>62</v>
      </c>
      <c r="BP66" s="2">
        <v>63</v>
      </c>
      <c r="BQ66" s="2">
        <v>64</v>
      </c>
      <c r="BR66" s="2">
        <v>65</v>
      </c>
      <c r="BS66" s="2">
        <v>66</v>
      </c>
      <c r="BT66" s="2">
        <v>67</v>
      </c>
      <c r="BU66" s="2">
        <v>68</v>
      </c>
      <c r="BV66" s="2">
        <v>69</v>
      </c>
      <c r="BW66" s="2">
        <v>70</v>
      </c>
      <c r="BX66" s="2">
        <v>71</v>
      </c>
      <c r="BY66" s="2">
        <v>72</v>
      </c>
      <c r="BZ66" s="2">
        <v>73</v>
      </c>
      <c r="CA66" s="2">
        <v>74</v>
      </c>
      <c r="CB66" s="2">
        <v>75</v>
      </c>
      <c r="CC66" s="2">
        <v>76</v>
      </c>
      <c r="CD66" s="2">
        <v>77</v>
      </c>
      <c r="CE66" s="2">
        <v>78</v>
      </c>
      <c r="CF66" s="2">
        <v>79</v>
      </c>
      <c r="CG66" s="2">
        <v>80</v>
      </c>
      <c r="CH66" s="2">
        <v>81</v>
      </c>
      <c r="CI66" s="2">
        <v>82</v>
      </c>
      <c r="CJ66" s="2">
        <v>83</v>
      </c>
      <c r="CK66" s="2">
        <v>84</v>
      </c>
      <c r="CL66" s="2">
        <v>85</v>
      </c>
      <c r="CM66" s="2">
        <v>86</v>
      </c>
      <c r="CN66" s="2">
        <v>87</v>
      </c>
      <c r="CO66" s="2">
        <v>88</v>
      </c>
      <c r="CP66" s="2">
        <v>89</v>
      </c>
      <c r="CQ66" s="2">
        <v>90</v>
      </c>
      <c r="CR66" s="2">
        <v>91</v>
      </c>
      <c r="CS66" s="2">
        <v>92</v>
      </c>
      <c r="CT66" s="2">
        <v>93</v>
      </c>
      <c r="CU66" s="2">
        <v>94</v>
      </c>
      <c r="CV66" s="2">
        <v>95</v>
      </c>
      <c r="CW66" s="2">
        <v>96</v>
      </c>
      <c r="CX66" s="2">
        <v>97</v>
      </c>
      <c r="CY66" s="2">
        <v>98</v>
      </c>
      <c r="CZ66" s="2">
        <v>99</v>
      </c>
      <c r="DA66" s="2">
        <v>100</v>
      </c>
      <c r="DB66" s="2">
        <v>101</v>
      </c>
      <c r="DC66" s="2">
        <v>102</v>
      </c>
      <c r="DD66" s="2">
        <v>103</v>
      </c>
      <c r="DE66" s="2">
        <v>104</v>
      </c>
      <c r="DF66" s="2">
        <v>104</v>
      </c>
      <c r="DG66" s="2">
        <v>105</v>
      </c>
      <c r="DH66" s="2">
        <v>106</v>
      </c>
      <c r="DI66" s="2">
        <v>107</v>
      </c>
      <c r="DJ66" s="2">
        <v>108</v>
      </c>
      <c r="DK66" s="2">
        <v>109</v>
      </c>
      <c r="DL66" s="2">
        <v>110</v>
      </c>
      <c r="DM66" s="2">
        <v>111</v>
      </c>
      <c r="DN66" s="2">
        <v>112</v>
      </c>
      <c r="DO66" s="2">
        <v>113</v>
      </c>
      <c r="DP66" s="2">
        <v>114</v>
      </c>
      <c r="DQ66" s="2">
        <v>115</v>
      </c>
      <c r="DR66" s="2">
        <v>116</v>
      </c>
      <c r="DS66" s="2">
        <v>117</v>
      </c>
      <c r="DT66" s="2">
        <v>118</v>
      </c>
      <c r="DU66" s="2">
        <v>119</v>
      </c>
      <c r="DV66" s="2">
        <v>120</v>
      </c>
      <c r="DW66" s="2">
        <v>121</v>
      </c>
      <c r="DX66" s="2">
        <v>122</v>
      </c>
      <c r="DY66" s="2">
        <v>123</v>
      </c>
      <c r="DZ66" s="2">
        <v>124</v>
      </c>
      <c r="EA66" s="2">
        <v>125</v>
      </c>
      <c r="EB66" s="2">
        <v>126</v>
      </c>
      <c r="EC66" s="2">
        <v>127</v>
      </c>
      <c r="ED66" s="2">
        <v>128</v>
      </c>
      <c r="EE66" s="2">
        <v>129</v>
      </c>
      <c r="EF66" s="2">
        <v>130</v>
      </c>
      <c r="EG66" s="2">
        <v>131</v>
      </c>
      <c r="EH66" s="2">
        <v>132</v>
      </c>
      <c r="EI66" s="2">
        <v>133</v>
      </c>
      <c r="EJ66" s="2">
        <v>134</v>
      </c>
      <c r="EK66" s="2">
        <v>135</v>
      </c>
      <c r="EL66" s="2">
        <v>136</v>
      </c>
      <c r="EM66" s="2">
        <v>137</v>
      </c>
      <c r="EN66" s="2">
        <v>138</v>
      </c>
      <c r="EO66" s="2">
        <v>139</v>
      </c>
      <c r="EP66" s="2">
        <v>140</v>
      </c>
      <c r="EQ66" s="2">
        <v>141</v>
      </c>
      <c r="ER66" s="2">
        <v>142</v>
      </c>
      <c r="ES66" s="2">
        <v>143</v>
      </c>
      <c r="ET66" s="2">
        <v>144</v>
      </c>
      <c r="EU66" s="2">
        <v>145</v>
      </c>
      <c r="EV66" s="2">
        <v>146</v>
      </c>
      <c r="EW66" s="2">
        <v>147</v>
      </c>
      <c r="EX66" s="2">
        <v>148</v>
      </c>
      <c r="EY66" s="2">
        <v>149</v>
      </c>
      <c r="EZ66" s="2">
        <v>150</v>
      </c>
      <c r="FA66" s="2">
        <v>151</v>
      </c>
      <c r="FB66" s="2">
        <v>152</v>
      </c>
      <c r="FC66" s="2">
        <v>153</v>
      </c>
      <c r="FD66" s="2">
        <v>154</v>
      </c>
      <c r="FE66" s="2">
        <v>155</v>
      </c>
      <c r="FF66" s="2">
        <v>156</v>
      </c>
      <c r="FG66" s="2">
        <v>157</v>
      </c>
      <c r="FH66" s="2">
        <v>158</v>
      </c>
      <c r="FI66" s="2">
        <v>159</v>
      </c>
      <c r="FJ66" s="2">
        <v>160</v>
      </c>
      <c r="FK66" s="2">
        <v>161</v>
      </c>
      <c r="FL66" s="2">
        <v>162</v>
      </c>
      <c r="FM66" s="2">
        <v>163</v>
      </c>
      <c r="FN66" s="2">
        <v>164</v>
      </c>
      <c r="FO66" s="2">
        <v>165</v>
      </c>
      <c r="FP66" s="2">
        <v>166</v>
      </c>
      <c r="FQ66" s="2">
        <v>167</v>
      </c>
      <c r="FR66" s="2">
        <v>168</v>
      </c>
      <c r="FS66" s="2">
        <v>169</v>
      </c>
      <c r="FT66" s="2">
        <v>170</v>
      </c>
      <c r="FU66" s="2">
        <v>171</v>
      </c>
      <c r="FV66" s="2">
        <v>172</v>
      </c>
      <c r="FW66" s="2">
        <v>173</v>
      </c>
      <c r="FX66" s="2">
        <v>174</v>
      </c>
      <c r="FY66" s="2">
        <v>175</v>
      </c>
      <c r="FZ66" s="2">
        <v>176</v>
      </c>
      <c r="GA66" s="2">
        <v>177</v>
      </c>
      <c r="GB66" s="2">
        <v>178</v>
      </c>
      <c r="GC66" s="2">
        <v>179</v>
      </c>
      <c r="GD66" s="2">
        <v>180</v>
      </c>
      <c r="GE66" s="2">
        <v>181</v>
      </c>
      <c r="GF66" s="2">
        <v>182</v>
      </c>
      <c r="GG66" s="2">
        <v>183</v>
      </c>
      <c r="GH66" s="2">
        <v>184</v>
      </c>
      <c r="GI66" s="2">
        <v>185</v>
      </c>
      <c r="GJ66" s="2">
        <v>186</v>
      </c>
      <c r="GK66" s="2">
        <v>187</v>
      </c>
      <c r="GL66" s="2">
        <v>188</v>
      </c>
      <c r="GM66" s="2">
        <v>189</v>
      </c>
      <c r="GN66" s="2">
        <v>190</v>
      </c>
      <c r="GO66" s="2">
        <v>191</v>
      </c>
      <c r="GP66" s="2">
        <v>192</v>
      </c>
      <c r="GQ66" s="2">
        <v>193</v>
      </c>
      <c r="GR66" s="2">
        <v>194</v>
      </c>
      <c r="GS66" s="2">
        <v>195</v>
      </c>
      <c r="GT66" s="2">
        <v>196</v>
      </c>
      <c r="GU66" s="2">
        <v>197</v>
      </c>
      <c r="GV66" s="2">
        <v>198</v>
      </c>
      <c r="GW66" s="2">
        <v>199</v>
      </c>
      <c r="GX66" s="2">
        <v>200</v>
      </c>
      <c r="GY66" s="2">
        <v>201</v>
      </c>
      <c r="GZ66" s="2">
        <v>202</v>
      </c>
      <c r="HA66" s="2">
        <v>203</v>
      </c>
      <c r="HB66" s="2">
        <v>204</v>
      </c>
      <c r="HC66" s="2">
        <v>205</v>
      </c>
      <c r="HD66" s="2">
        <v>206</v>
      </c>
      <c r="HE66" s="2">
        <v>207</v>
      </c>
      <c r="HF66" s="2">
        <v>208</v>
      </c>
      <c r="HG66" s="2">
        <v>209</v>
      </c>
      <c r="HH66" s="2">
        <v>210</v>
      </c>
      <c r="HI66" s="2">
        <v>211</v>
      </c>
      <c r="HJ66" s="2">
        <v>212</v>
      </c>
      <c r="HK66" s="2">
        <v>213</v>
      </c>
      <c r="HL66" s="2">
        <v>214</v>
      </c>
      <c r="HM66" s="2">
        <v>215</v>
      </c>
      <c r="HN66" s="2">
        <v>216</v>
      </c>
      <c r="HO66" s="2">
        <v>217</v>
      </c>
      <c r="HP66" s="2">
        <v>218</v>
      </c>
      <c r="HQ66" s="2">
        <v>219</v>
      </c>
      <c r="HR66" s="2">
        <v>220</v>
      </c>
      <c r="HS66" s="2">
        <v>221</v>
      </c>
      <c r="HT66" s="2">
        <v>222</v>
      </c>
      <c r="HU66" s="2">
        <v>223</v>
      </c>
      <c r="HV66" s="2">
        <v>224</v>
      </c>
      <c r="HW66" s="11">
        <v>120</v>
      </c>
      <c r="HX66" s="177">
        <v>0</v>
      </c>
      <c r="II66">
        <v>0</v>
      </c>
      <c r="JE66">
        <v>0</v>
      </c>
      <c r="JF66" s="118" t="s">
        <v>285</v>
      </c>
      <c r="JG66" s="118" t="s">
        <v>284</v>
      </c>
      <c r="JH66" s="118" t="s">
        <v>287</v>
      </c>
      <c r="JI66" s="118" t="s">
        <v>294</v>
      </c>
      <c r="JJ66" s="118" t="s">
        <v>312</v>
      </c>
      <c r="JK66" s="118" t="s">
        <v>320</v>
      </c>
      <c r="JL66" s="118" t="s">
        <v>516</v>
      </c>
      <c r="JM66" s="118" t="s">
        <v>517</v>
      </c>
    </row>
    <row r="67" spans="2:277" outlineLevel="1">
      <c r="B67" t="s">
        <v>21</v>
      </c>
      <c r="C67" s="72" t="s">
        <v>142</v>
      </c>
      <c r="D67" s="6">
        <v>0</v>
      </c>
      <c r="E67" s="6">
        <v>0</v>
      </c>
      <c r="F67" s="6">
        <v>0</v>
      </c>
      <c r="G67" s="6">
        <v>0</v>
      </c>
      <c r="H67" s="6">
        <v>0</v>
      </c>
      <c r="I67" s="6">
        <v>0</v>
      </c>
      <c r="J67" s="6">
        <v>0</v>
      </c>
      <c r="K67" s="6">
        <v>0</v>
      </c>
      <c r="L67" s="6">
        <v>0</v>
      </c>
      <c r="M67" s="6">
        <v>0</v>
      </c>
      <c r="N67" s="6">
        <v>0</v>
      </c>
      <c r="O67" s="6">
        <v>0</v>
      </c>
      <c r="P67" s="6">
        <v>0</v>
      </c>
      <c r="Q67" s="6">
        <v>0</v>
      </c>
      <c r="R67" s="6">
        <v>0</v>
      </c>
      <c r="S67" s="6">
        <v>3.4411562007932277</v>
      </c>
      <c r="T67" s="6">
        <v>0</v>
      </c>
      <c r="U67" s="6">
        <v>0</v>
      </c>
      <c r="V67" s="6">
        <v>0</v>
      </c>
      <c r="W67" s="6">
        <v>0</v>
      </c>
      <c r="X67" s="6">
        <v>0</v>
      </c>
      <c r="Y67" s="6">
        <v>0</v>
      </c>
      <c r="Z67" s="6">
        <v>0</v>
      </c>
      <c r="AA67" s="6">
        <v>0</v>
      </c>
      <c r="AB67" s="6">
        <v>0</v>
      </c>
      <c r="AC67" s="6">
        <v>0</v>
      </c>
      <c r="AD67" s="6">
        <v>0</v>
      </c>
      <c r="AE67" s="6">
        <v>0</v>
      </c>
      <c r="AF67" s="6">
        <v>0</v>
      </c>
      <c r="AG67" s="6">
        <v>0</v>
      </c>
      <c r="AH67" s="6">
        <v>0</v>
      </c>
      <c r="AI67" s="6">
        <v>0</v>
      </c>
      <c r="AJ67" s="6">
        <v>0</v>
      </c>
      <c r="AK67" s="6">
        <v>0</v>
      </c>
      <c r="AL67" s="6">
        <v>0</v>
      </c>
      <c r="AM67" s="6">
        <v>0</v>
      </c>
      <c r="AN67" s="6">
        <v>0</v>
      </c>
      <c r="AO67" s="6"/>
      <c r="AP67" s="6"/>
      <c r="AQ67" s="6"/>
      <c r="AR67" s="6"/>
      <c r="AS67" s="6"/>
      <c r="AT67" s="6"/>
      <c r="AU67" s="6"/>
      <c r="AV67" s="6"/>
      <c r="AW67" s="6"/>
      <c r="AX67" s="6"/>
      <c r="AY67" s="6"/>
      <c r="AZ67" s="6"/>
      <c r="BA67" s="6"/>
      <c r="BB67" s="6"/>
      <c r="BC67" s="6"/>
      <c r="BD67" s="6">
        <v>0</v>
      </c>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198"/>
      <c r="HX67" s="63"/>
      <c r="HY67" s="29">
        <v>3.4411562007932277</v>
      </c>
      <c r="IA67" s="20">
        <v>0.83343484142299373</v>
      </c>
      <c r="IB67" s="20">
        <v>0.83343484142299373</v>
      </c>
      <c r="II67" s="72" t="s">
        <v>142</v>
      </c>
      <c r="JE67" s="72" t="s">
        <v>142</v>
      </c>
      <c r="JF67" s="63">
        <v>0</v>
      </c>
      <c r="JG67" s="63">
        <v>3.4411562007932277</v>
      </c>
      <c r="JH67" s="63">
        <v>0</v>
      </c>
      <c r="JI67" s="63">
        <v>0</v>
      </c>
      <c r="JJ67" s="63">
        <v>0</v>
      </c>
      <c r="JK67" s="63">
        <v>0</v>
      </c>
      <c r="JL67" s="63">
        <v>0</v>
      </c>
      <c r="JM67" s="63">
        <v>0</v>
      </c>
    </row>
    <row r="68" spans="2:277" outlineLevel="1">
      <c r="B68" t="s">
        <v>21</v>
      </c>
      <c r="C68" s="73" t="s">
        <v>203</v>
      </c>
      <c r="D68" s="6">
        <v>0</v>
      </c>
      <c r="E68" s="6">
        <v>0</v>
      </c>
      <c r="F68" s="6">
        <v>19.117534448851263</v>
      </c>
      <c r="G68" s="6">
        <v>8.411715157494557</v>
      </c>
      <c r="H68" s="6">
        <v>12.617572736241835</v>
      </c>
      <c r="I68" s="6">
        <v>6.49996171260943</v>
      </c>
      <c r="J68" s="6">
        <v>2.2941041338621515</v>
      </c>
      <c r="K68" s="6">
        <v>0</v>
      </c>
      <c r="L68" s="6">
        <v>5.7352603346553792</v>
      </c>
      <c r="M68" s="6">
        <v>3.4411562007932277</v>
      </c>
      <c r="N68" s="6">
        <v>3.0588055118162023</v>
      </c>
      <c r="O68" s="6">
        <v>7.6470137795405053</v>
      </c>
      <c r="P68" s="6">
        <v>16.058728937035063</v>
      </c>
      <c r="Q68" s="6">
        <v>15.294027559081011</v>
      </c>
      <c r="R68" s="6">
        <v>5.3529096456783538</v>
      </c>
      <c r="S68" s="6">
        <v>23.896918061064081</v>
      </c>
      <c r="T68" s="6">
        <v>14.529326181126962</v>
      </c>
      <c r="U68" s="6">
        <v>6.1176110236324046</v>
      </c>
      <c r="V68" s="6">
        <v>2.2941041338621515</v>
      </c>
      <c r="W68" s="6">
        <v>6.8823124015864554</v>
      </c>
      <c r="X68" s="6">
        <v>0</v>
      </c>
      <c r="Y68" s="6">
        <v>0</v>
      </c>
      <c r="Z68" s="6">
        <v>0</v>
      </c>
      <c r="AA68" s="6">
        <v>3.8235068897702527</v>
      </c>
      <c r="AB68" s="6">
        <v>11.470520669310758</v>
      </c>
      <c r="AC68" s="6">
        <v>0</v>
      </c>
      <c r="AD68" s="6">
        <v>0</v>
      </c>
      <c r="AE68" s="6">
        <v>13.764624803172911</v>
      </c>
      <c r="AF68" s="6">
        <v>24.279268750041105</v>
      </c>
      <c r="AG68" s="6">
        <v>0</v>
      </c>
      <c r="AH68" s="6">
        <v>7.2646630905634808</v>
      </c>
      <c r="AI68" s="6">
        <v>0</v>
      </c>
      <c r="AJ68" s="6">
        <v>19.117534448851263</v>
      </c>
      <c r="AK68" s="6">
        <v>0</v>
      </c>
      <c r="AL68" s="6">
        <v>0</v>
      </c>
      <c r="AM68" s="6">
        <v>0</v>
      </c>
      <c r="AN68" s="6">
        <v>0</v>
      </c>
      <c r="AO68" s="6">
        <v>0</v>
      </c>
      <c r="AP68" s="6">
        <v>0</v>
      </c>
      <c r="AQ68" s="6">
        <v>0</v>
      </c>
      <c r="AR68" s="6">
        <v>0</v>
      </c>
      <c r="AS68" s="6">
        <v>0</v>
      </c>
      <c r="AT68" s="6">
        <v>12.617572736241835</v>
      </c>
      <c r="AU68" s="6">
        <v>0</v>
      </c>
      <c r="AV68" s="6">
        <v>0</v>
      </c>
      <c r="AW68" s="6">
        <v>0</v>
      </c>
      <c r="AX68" s="6">
        <v>9.5587672244256314</v>
      </c>
      <c r="AY68" s="6">
        <v>0</v>
      </c>
      <c r="AZ68" s="6">
        <v>0</v>
      </c>
      <c r="BA68" s="6">
        <v>0</v>
      </c>
      <c r="BB68" s="6">
        <v>0</v>
      </c>
      <c r="BC68" s="6">
        <v>0</v>
      </c>
      <c r="BD68" s="6">
        <v>11.470520669310758</v>
      </c>
      <c r="BE68" s="6">
        <v>0</v>
      </c>
      <c r="BF68" s="6">
        <v>13.764624803172911</v>
      </c>
      <c r="BG68" s="6">
        <v>0</v>
      </c>
      <c r="BH68" s="6">
        <v>0</v>
      </c>
      <c r="BI68" s="6">
        <v>0</v>
      </c>
      <c r="BJ68" s="6">
        <v>0</v>
      </c>
      <c r="BK68" s="6">
        <v>0</v>
      </c>
      <c r="BL68" s="6">
        <v>0</v>
      </c>
      <c r="BM68" s="6">
        <v>0</v>
      </c>
      <c r="BN68" s="6">
        <v>0</v>
      </c>
      <c r="BO68" s="6">
        <v>0</v>
      </c>
      <c r="BP68" s="6">
        <v>0</v>
      </c>
      <c r="BQ68" s="6">
        <v>0</v>
      </c>
      <c r="BR68" s="6">
        <v>0</v>
      </c>
      <c r="BS68" s="6">
        <v>0</v>
      </c>
      <c r="BT68" s="6">
        <v>24.852794783506642</v>
      </c>
      <c r="BU68" s="6">
        <v>0</v>
      </c>
      <c r="BV68" s="6">
        <v>0</v>
      </c>
      <c r="BW68" s="6">
        <v>0</v>
      </c>
      <c r="BX68" s="6">
        <v>0</v>
      </c>
      <c r="BY68" s="6">
        <v>0</v>
      </c>
      <c r="BZ68" s="6">
        <v>5.7352603346553792</v>
      </c>
      <c r="CA68" s="6">
        <v>13.764624803172911</v>
      </c>
      <c r="CB68" s="6">
        <v>9.9411179134026568</v>
      </c>
      <c r="CC68" s="6">
        <v>6.49996171260943</v>
      </c>
      <c r="CD68" s="6">
        <v>6.8823124015864554</v>
      </c>
      <c r="CE68" s="6">
        <v>6.8823124015864554</v>
      </c>
      <c r="CF68" s="6">
        <v>6.1176110236324046</v>
      </c>
      <c r="CG68" s="6">
        <v>0</v>
      </c>
      <c r="CH68" s="6">
        <v>4.588208267724303</v>
      </c>
      <c r="CI68" s="6">
        <v>0</v>
      </c>
      <c r="CJ68" s="6">
        <v>0</v>
      </c>
      <c r="CK68" s="6">
        <v>0</v>
      </c>
      <c r="CL68" s="6">
        <v>0</v>
      </c>
      <c r="CM68" s="6">
        <v>12.235222047264809</v>
      </c>
      <c r="CN68" s="6">
        <v>0</v>
      </c>
      <c r="CO68" s="6">
        <v>25.235145472483669</v>
      </c>
      <c r="CP68" s="6">
        <v>0</v>
      </c>
      <c r="CQ68" s="6">
        <v>0</v>
      </c>
      <c r="CR68" s="6">
        <v>0</v>
      </c>
      <c r="CS68" s="6">
        <v>0</v>
      </c>
      <c r="CT68" s="6">
        <v>4.9705589567013284</v>
      </c>
      <c r="CU68" s="6">
        <v>11.470520669310758</v>
      </c>
      <c r="CV68" s="6">
        <v>0</v>
      </c>
      <c r="CW68" s="6">
        <v>0</v>
      </c>
      <c r="CX68" s="6">
        <v>0</v>
      </c>
      <c r="CY68" s="6">
        <v>19.882235826805314</v>
      </c>
      <c r="CZ68" s="6">
        <v>13.764624803172911</v>
      </c>
      <c r="DA68" s="6">
        <v>0</v>
      </c>
      <c r="DB68" s="6">
        <v>23.323392027598544</v>
      </c>
      <c r="DC68" s="6">
        <v>6.1176110236324046</v>
      </c>
      <c r="DD68" s="6">
        <v>0</v>
      </c>
      <c r="DE68" s="6">
        <v>13.764624803172911</v>
      </c>
      <c r="DF68" s="6">
        <v>0</v>
      </c>
      <c r="DG68" s="6">
        <v>6.1176110236324046</v>
      </c>
      <c r="DH68" s="6">
        <v>5.1617343011898411</v>
      </c>
      <c r="DI68" s="6">
        <v>3.249980856304715</v>
      </c>
      <c r="DJ68" s="6">
        <v>7.2646630905634808</v>
      </c>
      <c r="DK68" s="6">
        <v>0</v>
      </c>
      <c r="DL68" s="6">
        <v>0</v>
      </c>
      <c r="DM68" s="6">
        <v>0</v>
      </c>
      <c r="DN68" s="6">
        <v>0</v>
      </c>
      <c r="DO68" s="6">
        <v>4.9705589567013284</v>
      </c>
      <c r="DP68" s="6">
        <v>12.617572736241835</v>
      </c>
      <c r="DQ68" s="6">
        <v>0</v>
      </c>
      <c r="DR68" s="6">
        <v>8.0293644685175316</v>
      </c>
      <c r="DS68" s="6">
        <v>0</v>
      </c>
      <c r="DT68" s="6">
        <v>0</v>
      </c>
      <c r="DU68" s="6">
        <v>0</v>
      </c>
      <c r="DV68" s="6">
        <v>13.764624803172911</v>
      </c>
      <c r="DW68" s="6">
        <v>0</v>
      </c>
      <c r="DX68" s="6">
        <v>0</v>
      </c>
      <c r="DY68" s="6">
        <v>4.0146822342587658</v>
      </c>
      <c r="DZ68" s="6">
        <v>12.426397391753321</v>
      </c>
      <c r="EA68" s="6">
        <v>5.7352603346553792</v>
      </c>
      <c r="EB68" s="6">
        <v>14.146975492149936</v>
      </c>
      <c r="EC68" s="6">
        <v>0</v>
      </c>
      <c r="ED68" s="6">
        <v>0</v>
      </c>
      <c r="EE68" s="6">
        <v>0</v>
      </c>
      <c r="EF68" s="6">
        <v>0</v>
      </c>
      <c r="EG68" s="6">
        <v>4.7793836122128157</v>
      </c>
      <c r="EH68" s="6">
        <v>0</v>
      </c>
      <c r="EI68" s="6">
        <v>0</v>
      </c>
      <c r="EJ68" s="6">
        <v>0</v>
      </c>
      <c r="EK68" s="6">
        <v>0</v>
      </c>
      <c r="EL68" s="6">
        <v>4.2058575787472785</v>
      </c>
      <c r="EM68" s="6">
        <v>4.2058575787472785</v>
      </c>
      <c r="EN68" s="6">
        <v>24.279268750041105</v>
      </c>
      <c r="EO68" s="6">
        <v>3.249980856304715</v>
      </c>
      <c r="EP68" s="6">
        <v>7.6470137795405053</v>
      </c>
      <c r="EQ68" s="6">
        <v>0</v>
      </c>
      <c r="ER68" s="6">
        <v>11.470520669310758</v>
      </c>
      <c r="ES68" s="6">
        <v>0</v>
      </c>
      <c r="ET68" s="6">
        <v>0</v>
      </c>
      <c r="EU68" s="6">
        <v>0</v>
      </c>
      <c r="EV68" s="6">
        <v>0</v>
      </c>
      <c r="EW68" s="6">
        <v>9.9411179134026568</v>
      </c>
      <c r="EX68" s="6">
        <v>0</v>
      </c>
      <c r="EY68" s="6">
        <v>0</v>
      </c>
      <c r="EZ68" s="6">
        <v>7.6470137795405053</v>
      </c>
      <c r="FA68" s="6">
        <v>17.779307037431675</v>
      </c>
      <c r="FB68" s="6">
        <v>5.7352603346553792</v>
      </c>
      <c r="FC68" s="6">
        <v>12.99992342521886</v>
      </c>
      <c r="FD68" s="6">
        <v>0</v>
      </c>
      <c r="FE68" s="6">
        <v>15.294027559081011</v>
      </c>
      <c r="FF68" s="6">
        <v>7.6470137795405053</v>
      </c>
      <c r="FG68" s="6">
        <v>0</v>
      </c>
      <c r="FH68" s="6">
        <v>0</v>
      </c>
      <c r="FI68" s="6">
        <v>0</v>
      </c>
      <c r="FJ68" s="6">
        <v>0</v>
      </c>
      <c r="FK68" s="6">
        <v>0</v>
      </c>
      <c r="FL68" s="6">
        <v>0</v>
      </c>
      <c r="FM68" s="6">
        <v>4.0146822342587658</v>
      </c>
      <c r="FN68" s="6">
        <v>0</v>
      </c>
      <c r="FO68" s="6">
        <v>5.5058499212691645</v>
      </c>
      <c r="FP68" s="6">
        <v>10.896994635845221</v>
      </c>
      <c r="FQ68" s="6">
        <v>0</v>
      </c>
      <c r="FR68" s="6">
        <v>9.9411179134026568</v>
      </c>
      <c r="FS68" s="6">
        <v>0</v>
      </c>
      <c r="FT68" s="6">
        <v>15.102852214592499</v>
      </c>
      <c r="FU68" s="6">
        <v>21.029287893736392</v>
      </c>
      <c r="FV68" s="6">
        <v>8.411715157494557</v>
      </c>
      <c r="FW68" s="6">
        <v>0</v>
      </c>
      <c r="FX68" s="6">
        <v>0</v>
      </c>
      <c r="FY68" s="6">
        <v>6.1176110236324046</v>
      </c>
      <c r="FZ68" s="6">
        <v>12.235222047264809</v>
      </c>
      <c r="GA68" s="6">
        <v>8.411715157494557</v>
      </c>
      <c r="GB68" s="6">
        <v>5.7352603346553792</v>
      </c>
      <c r="GC68" s="6">
        <v>27.911600295322845</v>
      </c>
      <c r="GD68" s="6">
        <v>4.3970329232357912</v>
      </c>
      <c r="GE68" s="6">
        <v>1.7205781003966139</v>
      </c>
      <c r="GF68" s="6">
        <v>5.3529096456783538</v>
      </c>
      <c r="GG68" s="6">
        <v>8.7940658464715824</v>
      </c>
      <c r="GH68" s="6">
        <v>0</v>
      </c>
      <c r="GI68" s="6">
        <v>14.529326181126962</v>
      </c>
      <c r="GJ68" s="6">
        <v>13.764624803172911</v>
      </c>
      <c r="GK68" s="6">
        <v>0</v>
      </c>
      <c r="GL68" s="6">
        <v>31.735107185093099</v>
      </c>
      <c r="GM68" s="6">
        <v>0</v>
      </c>
      <c r="GN68" s="6">
        <v>0</v>
      </c>
      <c r="GO68" s="6">
        <v>0</v>
      </c>
      <c r="GP68" s="6">
        <v>0</v>
      </c>
      <c r="GQ68" s="6">
        <v>0</v>
      </c>
      <c r="GR68" s="6">
        <v>5.7352603346553792</v>
      </c>
      <c r="GS68" s="6">
        <v>0</v>
      </c>
      <c r="GT68" s="6">
        <v>5.7352603346553792</v>
      </c>
      <c r="GU68" s="6">
        <v>0</v>
      </c>
      <c r="GV68" s="6">
        <v>0</v>
      </c>
      <c r="GW68" s="6">
        <v>0</v>
      </c>
      <c r="GX68" s="6">
        <v>11.088169980333733</v>
      </c>
      <c r="GY68" s="6">
        <v>3.8235068897702527</v>
      </c>
      <c r="GZ68" s="6">
        <v>12.044046702776296</v>
      </c>
      <c r="HA68" s="6">
        <v>21.411638582713415</v>
      </c>
      <c r="HB68" s="6">
        <v>6.49996171260943</v>
      </c>
      <c r="HC68" s="6">
        <v>0</v>
      </c>
      <c r="HD68" s="6">
        <v>0</v>
      </c>
      <c r="HE68" s="6">
        <v>12.044046702776296</v>
      </c>
      <c r="HF68" s="6">
        <v>55.440849901668663</v>
      </c>
      <c r="HG68" s="6">
        <v>7.6470137795405053</v>
      </c>
      <c r="HH68" s="6">
        <v>0</v>
      </c>
      <c r="HI68" s="6">
        <v>0</v>
      </c>
      <c r="HJ68" s="6">
        <v>0</v>
      </c>
      <c r="HK68" s="6">
        <v>0</v>
      </c>
      <c r="HL68" s="6">
        <v>0</v>
      </c>
      <c r="HM68" s="6">
        <v>0</v>
      </c>
      <c r="HN68" s="6">
        <v>0</v>
      </c>
      <c r="HO68" s="6">
        <v>0</v>
      </c>
      <c r="HP68" s="6">
        <v>0</v>
      </c>
      <c r="HQ68" s="6">
        <v>0</v>
      </c>
      <c r="HR68" s="6">
        <v>0</v>
      </c>
      <c r="HS68" s="6">
        <v>0</v>
      </c>
      <c r="HT68" s="6">
        <v>0</v>
      </c>
      <c r="HU68" s="6">
        <v>0</v>
      </c>
      <c r="HV68" s="6">
        <v>0</v>
      </c>
      <c r="HW68" s="198">
        <v>0</v>
      </c>
      <c r="HX68" s="63">
        <v>0</v>
      </c>
      <c r="HY68" s="28">
        <v>1093.8670860943712</v>
      </c>
      <c r="IA68" s="20">
        <v>18.682374890389067</v>
      </c>
      <c r="IB68" s="20">
        <v>18.682374890389067</v>
      </c>
      <c r="II68" s="73" t="s">
        <v>203</v>
      </c>
      <c r="JE68" s="73" t="s">
        <v>203</v>
      </c>
      <c r="JF68" s="63">
        <v>40.146822342587654</v>
      </c>
      <c r="JG68" s="63">
        <v>198.82235826805316</v>
      </c>
      <c r="JH68" s="63">
        <v>47.411485433151128</v>
      </c>
      <c r="JI68" s="63">
        <v>139.17565078763721</v>
      </c>
      <c r="JJ68" s="63">
        <v>154.46967834671821</v>
      </c>
      <c r="JK68" s="63">
        <v>149.11676870103986</v>
      </c>
      <c r="JL68" s="63">
        <v>191.519460108592</v>
      </c>
      <c r="JM68" s="63">
        <v>173.20486210659246</v>
      </c>
      <c r="JP68" s="179"/>
      <c r="JQ68" s="142"/>
    </row>
    <row r="69" spans="2:277" outlineLevel="1">
      <c r="B69" t="s">
        <v>21</v>
      </c>
      <c r="C69" s="73" t="s">
        <v>204</v>
      </c>
      <c r="D69" s="6"/>
      <c r="E69" s="6">
        <v>0</v>
      </c>
      <c r="F69" s="6">
        <v>10.514643946868196</v>
      </c>
      <c r="G69" s="6">
        <v>7.2646630905634808</v>
      </c>
      <c r="H69" s="6">
        <v>0</v>
      </c>
      <c r="I69" s="6">
        <v>4.2058575787472785</v>
      </c>
      <c r="J69" s="6">
        <v>8.411715157494557</v>
      </c>
      <c r="K69" s="6">
        <v>16.6322549705006</v>
      </c>
      <c r="L69" s="6">
        <v>11.088169980333733</v>
      </c>
      <c r="M69" s="6">
        <v>0</v>
      </c>
      <c r="N69" s="6">
        <v>8.411715157494557</v>
      </c>
      <c r="O69" s="6">
        <v>0</v>
      </c>
      <c r="P69" s="6">
        <v>16.441079626012087</v>
      </c>
      <c r="Q69" s="6">
        <v>7.2646630905634808</v>
      </c>
      <c r="R69" s="6">
        <v>5.9264356791438919</v>
      </c>
      <c r="S69" s="6">
        <v>4.9705589567013284</v>
      </c>
      <c r="T69" s="6">
        <v>4.9705589567013284</v>
      </c>
      <c r="U69" s="6">
        <v>5.5440849901668665</v>
      </c>
      <c r="V69" s="6">
        <v>1.9117534448851263</v>
      </c>
      <c r="W69" s="6">
        <v>0</v>
      </c>
      <c r="X69" s="6">
        <v>25.043970127995156</v>
      </c>
      <c r="Y69" s="6">
        <v>0</v>
      </c>
      <c r="Z69" s="6">
        <v>0</v>
      </c>
      <c r="AA69" s="6">
        <v>7.6470137795405053</v>
      </c>
      <c r="AB69" s="6">
        <v>13.573449458684397</v>
      </c>
      <c r="AC69" s="6">
        <v>5.5440849901668665</v>
      </c>
      <c r="AD69" s="6">
        <v>21.411638582713415</v>
      </c>
      <c r="AE69" s="6">
        <v>0</v>
      </c>
      <c r="AF69" s="6">
        <v>3.8235068897702527</v>
      </c>
      <c r="AG69" s="6">
        <v>9.5587672244256314</v>
      </c>
      <c r="AH69" s="6">
        <v>4.2058575787472785</v>
      </c>
      <c r="AI69" s="6">
        <v>0</v>
      </c>
      <c r="AJ69" s="6">
        <v>0</v>
      </c>
      <c r="AK69" s="6">
        <v>0</v>
      </c>
      <c r="AL69" s="6">
        <v>0</v>
      </c>
      <c r="AM69" s="6">
        <v>0</v>
      </c>
      <c r="AN69" s="6">
        <v>0</v>
      </c>
      <c r="AO69" s="6">
        <v>0</v>
      </c>
      <c r="AP69" s="6">
        <v>0</v>
      </c>
      <c r="AQ69" s="6">
        <v>0</v>
      </c>
      <c r="AR69" s="6">
        <v>0</v>
      </c>
      <c r="AS69" s="6">
        <v>0</v>
      </c>
      <c r="AT69" s="6">
        <v>0</v>
      </c>
      <c r="AU69" s="6">
        <v>0</v>
      </c>
      <c r="AV69" s="6">
        <v>0</v>
      </c>
      <c r="AW69" s="6">
        <v>0</v>
      </c>
      <c r="AX69" s="6">
        <v>0</v>
      </c>
      <c r="AY69" s="6">
        <v>0</v>
      </c>
      <c r="AZ69" s="6">
        <v>0</v>
      </c>
      <c r="BA69" s="6">
        <v>0</v>
      </c>
      <c r="BB69" s="6">
        <v>0</v>
      </c>
      <c r="BC69" s="6">
        <v>0</v>
      </c>
      <c r="BD69" s="6">
        <v>0</v>
      </c>
      <c r="BE69" s="6">
        <v>0</v>
      </c>
      <c r="BF69" s="6">
        <v>0</v>
      </c>
      <c r="BG69" s="6">
        <v>0</v>
      </c>
      <c r="BH69" s="6">
        <v>0</v>
      </c>
      <c r="BI69" s="6">
        <v>0</v>
      </c>
      <c r="BJ69" s="6">
        <v>0</v>
      </c>
      <c r="BK69" s="6">
        <v>0</v>
      </c>
      <c r="BL69" s="6">
        <v>0</v>
      </c>
      <c r="BM69" s="6">
        <v>0</v>
      </c>
      <c r="BN69" s="6">
        <v>0</v>
      </c>
      <c r="BO69" s="6">
        <v>0</v>
      </c>
      <c r="BP69" s="6">
        <v>0</v>
      </c>
      <c r="BQ69" s="6">
        <v>0</v>
      </c>
      <c r="BR69" s="6">
        <v>0</v>
      </c>
      <c r="BS69" s="6">
        <v>0</v>
      </c>
      <c r="BT69" s="6">
        <v>0</v>
      </c>
      <c r="BU69" s="6">
        <v>0</v>
      </c>
      <c r="BV69" s="6">
        <v>0</v>
      </c>
      <c r="BW69" s="6">
        <v>0</v>
      </c>
      <c r="BX69" s="6">
        <v>0</v>
      </c>
      <c r="BY69" s="6">
        <v>0</v>
      </c>
      <c r="BZ69" s="6">
        <v>0</v>
      </c>
      <c r="CA69" s="6">
        <v>3.6323315452817404</v>
      </c>
      <c r="CB69" s="6">
        <v>0</v>
      </c>
      <c r="CC69" s="6">
        <v>2.6764548228391769</v>
      </c>
      <c r="CD69" s="6">
        <v>11.470520669310758</v>
      </c>
      <c r="CE69" s="6">
        <v>5.5440849901668665</v>
      </c>
      <c r="CF69" s="6">
        <v>0</v>
      </c>
      <c r="CG69" s="6">
        <v>0</v>
      </c>
      <c r="CH69" s="6">
        <v>5.3529096456783538</v>
      </c>
      <c r="CI69" s="6">
        <v>5.7352603346553792</v>
      </c>
      <c r="CJ69" s="6">
        <v>3.6323315452817404</v>
      </c>
      <c r="CK69" s="6">
        <v>3.6323315452817404</v>
      </c>
      <c r="CL69" s="6">
        <v>11.852871358287784</v>
      </c>
      <c r="CM69" s="6">
        <v>4.9705589567013284</v>
      </c>
      <c r="CN69" s="6">
        <v>4.588208267724303</v>
      </c>
      <c r="CO69" s="6">
        <v>3.8235068897702527</v>
      </c>
      <c r="CP69" s="6">
        <v>3.6323315452817404</v>
      </c>
      <c r="CQ69" s="6">
        <v>6.8823124015864554</v>
      </c>
      <c r="CR69" s="6">
        <v>5.7352603346553792</v>
      </c>
      <c r="CS69" s="6">
        <v>0</v>
      </c>
      <c r="CT69" s="6">
        <v>10.705819291356708</v>
      </c>
      <c r="CU69" s="6">
        <v>4.3970329232357912</v>
      </c>
      <c r="CV69" s="6">
        <v>2.8676301673276896</v>
      </c>
      <c r="CW69" s="6">
        <v>0</v>
      </c>
      <c r="CX69" s="6">
        <v>0</v>
      </c>
      <c r="CY69" s="6">
        <v>15.294027559081011</v>
      </c>
      <c r="CZ69" s="6">
        <v>3.8235068897702527</v>
      </c>
      <c r="DA69" s="6">
        <v>41.676225098495756</v>
      </c>
      <c r="DB69" s="6">
        <v>1.9117534448851263</v>
      </c>
      <c r="DC69" s="6">
        <v>4.0146822342587658</v>
      </c>
      <c r="DD69" s="6">
        <v>17.588131692943165</v>
      </c>
      <c r="DE69" s="6">
        <v>6.49996171260943</v>
      </c>
      <c r="DF69" s="6">
        <v>6.49996171260943</v>
      </c>
      <c r="DG69" s="6">
        <v>0</v>
      </c>
      <c r="DH69" s="6">
        <v>0</v>
      </c>
      <c r="DI69" s="6">
        <v>3.8235068897702527</v>
      </c>
      <c r="DJ69" s="6">
        <v>4.2058575787472785</v>
      </c>
      <c r="DK69" s="6">
        <v>0</v>
      </c>
      <c r="DL69" s="6">
        <v>16.058728937035063</v>
      </c>
      <c r="DM69" s="6">
        <v>61.55846092530107</v>
      </c>
      <c r="DN69" s="6">
        <v>4.588208267724303</v>
      </c>
      <c r="DO69" s="6">
        <v>5.5440849901668665</v>
      </c>
      <c r="DP69" s="6">
        <v>7.838189124029018</v>
      </c>
      <c r="DQ69" s="6">
        <v>4.588208267724303</v>
      </c>
      <c r="DR69" s="6">
        <v>4.588208267724303</v>
      </c>
      <c r="DS69" s="6">
        <v>0</v>
      </c>
      <c r="DT69" s="6">
        <v>3.8235068897702527</v>
      </c>
      <c r="DU69" s="6">
        <v>5.5440849901668665</v>
      </c>
      <c r="DV69" s="6">
        <v>4.588208267724303</v>
      </c>
      <c r="DW69" s="6">
        <v>4.2058575787472785</v>
      </c>
      <c r="DX69" s="6">
        <v>9.176416535448606</v>
      </c>
      <c r="DY69" s="6">
        <v>5.3529096456783538</v>
      </c>
      <c r="DZ69" s="6">
        <v>7.2646630905634808</v>
      </c>
      <c r="EA69" s="6">
        <v>4.2058575787472785</v>
      </c>
      <c r="EB69" s="6">
        <v>4.588208267724303</v>
      </c>
      <c r="EC69" s="6">
        <v>4.2058575787472785</v>
      </c>
      <c r="ED69" s="6">
        <v>0</v>
      </c>
      <c r="EE69" s="6">
        <v>15.102852214592499</v>
      </c>
      <c r="EF69" s="6">
        <v>22.36751530515598</v>
      </c>
      <c r="EG69" s="6">
        <v>3.4411562007932277</v>
      </c>
      <c r="EH69" s="6">
        <v>5.3529096456783538</v>
      </c>
      <c r="EI69" s="6">
        <v>4.0146822342587658</v>
      </c>
      <c r="EJ69" s="6">
        <v>12.044046702776296</v>
      </c>
      <c r="EK69" s="6">
        <v>3.9764471653610629</v>
      </c>
      <c r="EL69" s="6">
        <v>3.8235068897702527</v>
      </c>
      <c r="EM69" s="6">
        <v>3.0588055118162023</v>
      </c>
      <c r="EN69" s="6">
        <v>1.9117534448851263</v>
      </c>
      <c r="EO69" s="6">
        <v>0</v>
      </c>
      <c r="EP69" s="6">
        <v>7.2646630905634808</v>
      </c>
      <c r="EQ69" s="6">
        <v>4.588208267724303</v>
      </c>
      <c r="ER69" s="6">
        <v>9.176416535448606</v>
      </c>
      <c r="ES69" s="6">
        <v>4.3970329232357912</v>
      </c>
      <c r="ET69" s="6">
        <v>3.0588055118162023</v>
      </c>
      <c r="EU69" s="6">
        <v>6.6911370570979427</v>
      </c>
      <c r="EV69" s="6">
        <v>7.6470137795405053</v>
      </c>
      <c r="EW69" s="6">
        <v>1.7205781003966139</v>
      </c>
      <c r="EX69" s="6">
        <v>3.9764471653610629</v>
      </c>
      <c r="EY69" s="6">
        <v>4.9705589567013284</v>
      </c>
      <c r="EZ69" s="6">
        <v>5.1617343011898411</v>
      </c>
      <c r="FA69" s="6">
        <v>14.146975492149936</v>
      </c>
      <c r="FB69" s="6">
        <v>17.970482381920188</v>
      </c>
      <c r="FC69" s="6">
        <v>8.0293644685175316</v>
      </c>
      <c r="FD69" s="6">
        <v>4.2058575787472785</v>
      </c>
      <c r="FE69" s="6">
        <v>3.0588055118162023</v>
      </c>
      <c r="FF69" s="6">
        <v>7.6470137795405053</v>
      </c>
      <c r="FG69" s="6">
        <v>6.6911370570979427</v>
      </c>
      <c r="FH69" s="6">
        <v>16.058728937035063</v>
      </c>
      <c r="FI69" s="6">
        <v>4.3970329232357912</v>
      </c>
      <c r="FJ69" s="6">
        <v>4.0146822342587658</v>
      </c>
      <c r="FK69" s="6">
        <v>7.2646630905634808</v>
      </c>
      <c r="FL69" s="6">
        <v>3.9764471653610629</v>
      </c>
      <c r="FM69" s="6">
        <v>15.485202903569524</v>
      </c>
      <c r="FN69" s="6">
        <v>3.4411562007932277</v>
      </c>
      <c r="FO69" s="6">
        <v>0</v>
      </c>
      <c r="FP69" s="6">
        <v>4.2058575787472785</v>
      </c>
      <c r="FQ69" s="6">
        <v>4.588208267724303</v>
      </c>
      <c r="FR69" s="6">
        <v>0</v>
      </c>
      <c r="FS69" s="6">
        <v>8.411715157494557</v>
      </c>
      <c r="FT69" s="6">
        <v>3.0588055118162023</v>
      </c>
      <c r="FU69" s="6">
        <v>5.9264356791438919</v>
      </c>
      <c r="FV69" s="6">
        <v>0</v>
      </c>
      <c r="FW69" s="6">
        <v>12.426397391753321</v>
      </c>
      <c r="FX69" s="6">
        <v>6.3087863681209173</v>
      </c>
      <c r="FY69" s="6">
        <v>3.9764471653610629</v>
      </c>
      <c r="FZ69" s="6">
        <v>4.0146822342587658</v>
      </c>
      <c r="GA69" s="6">
        <v>5.3529096456783538</v>
      </c>
      <c r="GB69" s="6">
        <v>4.588208267724303</v>
      </c>
      <c r="GC69" s="6">
        <v>5.3529096456783538</v>
      </c>
      <c r="GD69" s="6">
        <v>2.8676301673276896</v>
      </c>
      <c r="GE69" s="6">
        <v>1.5294027559081012</v>
      </c>
      <c r="GF69" s="6">
        <v>5.3529096456783538</v>
      </c>
      <c r="GG69" s="6">
        <v>4.588208267724303</v>
      </c>
      <c r="GH69" s="6">
        <v>14.720501525615473</v>
      </c>
      <c r="GI69" s="6">
        <v>4.9705589567013284</v>
      </c>
      <c r="GJ69" s="6">
        <v>6.1176110236324046</v>
      </c>
      <c r="GK69" s="6">
        <v>5.5058499212691645</v>
      </c>
      <c r="GL69" s="6">
        <v>1.5294027559081012</v>
      </c>
      <c r="GM69" s="6">
        <v>4.9705589567013284</v>
      </c>
      <c r="GN69" s="6">
        <v>7.6470137795405053</v>
      </c>
      <c r="GO69" s="6">
        <v>2.2941041338621515</v>
      </c>
      <c r="GP69" s="6">
        <v>4.9705589567013284</v>
      </c>
      <c r="GQ69" s="6">
        <v>6.6911370570979427</v>
      </c>
      <c r="GR69" s="6">
        <v>0</v>
      </c>
      <c r="GS69" s="6">
        <v>21.793989271690442</v>
      </c>
      <c r="GT69" s="6">
        <v>7.2646630905634808</v>
      </c>
      <c r="GU69" s="6">
        <v>3.6323315452817404</v>
      </c>
      <c r="GV69" s="6">
        <v>0</v>
      </c>
      <c r="GW69" s="6">
        <v>0</v>
      </c>
      <c r="GX69" s="6">
        <v>3.4411562007932277</v>
      </c>
      <c r="GY69" s="6">
        <v>19.117534448851263</v>
      </c>
      <c r="GZ69" s="6">
        <v>9.9411179134026568</v>
      </c>
      <c r="HA69" s="6">
        <v>20.073411171293827</v>
      </c>
      <c r="HB69" s="6">
        <v>0</v>
      </c>
      <c r="HC69" s="6">
        <v>3.6323315452817404</v>
      </c>
      <c r="HD69" s="6">
        <v>5.3529096456783538</v>
      </c>
      <c r="HE69" s="6">
        <v>17.205781003966138</v>
      </c>
      <c r="HF69" s="6">
        <v>3.6323315452817404</v>
      </c>
      <c r="HG69" s="6">
        <v>0</v>
      </c>
      <c r="HH69" s="6">
        <v>0</v>
      </c>
      <c r="HI69" s="6">
        <v>0</v>
      </c>
      <c r="HJ69" s="6">
        <v>0</v>
      </c>
      <c r="HK69" s="6">
        <v>0</v>
      </c>
      <c r="HL69" s="6">
        <v>0</v>
      </c>
      <c r="HM69" s="6">
        <v>0</v>
      </c>
      <c r="HN69" s="6">
        <v>0</v>
      </c>
      <c r="HO69" s="6">
        <v>0</v>
      </c>
      <c r="HP69" s="6">
        <v>0</v>
      </c>
      <c r="HQ69" s="6">
        <v>0</v>
      </c>
      <c r="HR69" s="6">
        <v>0</v>
      </c>
      <c r="HS69" s="6">
        <v>0</v>
      </c>
      <c r="HT69" s="6">
        <v>0</v>
      </c>
      <c r="HU69" s="6">
        <v>0</v>
      </c>
      <c r="HV69" s="6">
        <v>0</v>
      </c>
      <c r="HW69" s="198">
        <v>0</v>
      </c>
      <c r="HX69" s="63">
        <v>0</v>
      </c>
      <c r="HY69" s="28">
        <v>1075.743663436861</v>
      </c>
      <c r="IA69" s="20"/>
      <c r="IB69" s="20"/>
      <c r="II69" s="73" t="s">
        <v>204</v>
      </c>
      <c r="JE69" s="73" t="s">
        <v>204</v>
      </c>
      <c r="JF69" s="63">
        <v>17.779307037431678</v>
      </c>
      <c r="JG69" s="63">
        <v>186.5871362207883</v>
      </c>
      <c r="JH69" s="63">
        <v>0</v>
      </c>
      <c r="JI69" s="63">
        <v>98.264127067095501</v>
      </c>
      <c r="JJ69" s="63">
        <v>252.92498075830221</v>
      </c>
      <c r="JK69" s="63">
        <v>194.15767986253346</v>
      </c>
      <c r="JL69" s="63">
        <v>177.33424954754435</v>
      </c>
      <c r="JM69" s="63">
        <v>148.69618294316513</v>
      </c>
      <c r="JQ69" s="142"/>
    </row>
    <row r="70" spans="2:277" outlineLevel="1">
      <c r="B70" t="s">
        <v>21</v>
      </c>
      <c r="C70" s="73" t="s">
        <v>147</v>
      </c>
      <c r="D70" s="6">
        <v>0</v>
      </c>
      <c r="E70" s="6">
        <v>0</v>
      </c>
      <c r="F70" s="6">
        <v>0</v>
      </c>
      <c r="G70" s="6">
        <v>1.9117534448851263</v>
      </c>
      <c r="H70" s="6">
        <v>1.9117534448851263</v>
      </c>
      <c r="I70" s="6">
        <v>0</v>
      </c>
      <c r="J70" s="6">
        <v>0</v>
      </c>
      <c r="K70" s="6">
        <v>0</v>
      </c>
      <c r="L70" s="6">
        <v>1.5294027559081012</v>
      </c>
      <c r="M70" s="6">
        <v>1.2235222047264809</v>
      </c>
      <c r="N70" s="6">
        <v>0</v>
      </c>
      <c r="O70" s="6">
        <v>0</v>
      </c>
      <c r="P70" s="6">
        <v>0</v>
      </c>
      <c r="Q70" s="6">
        <v>0</v>
      </c>
      <c r="R70" s="6">
        <v>0</v>
      </c>
      <c r="S70" s="6">
        <v>0</v>
      </c>
      <c r="T70" s="6">
        <v>0</v>
      </c>
      <c r="U70" s="6">
        <v>0</v>
      </c>
      <c r="V70" s="6">
        <v>1.5294027559081012</v>
      </c>
      <c r="W70" s="6">
        <v>0.76470137795405058</v>
      </c>
      <c r="X70" s="6">
        <v>0</v>
      </c>
      <c r="Y70" s="6">
        <v>0</v>
      </c>
      <c r="Z70" s="6">
        <v>0</v>
      </c>
      <c r="AA70" s="6">
        <v>0</v>
      </c>
      <c r="AB70" s="6">
        <v>0.57352603346553788</v>
      </c>
      <c r="AC70" s="6">
        <v>0</v>
      </c>
      <c r="AD70" s="6">
        <v>0</v>
      </c>
      <c r="AE70" s="6">
        <v>0</v>
      </c>
      <c r="AF70" s="6">
        <v>0</v>
      </c>
      <c r="AG70" s="6">
        <v>0</v>
      </c>
      <c r="AH70" s="6">
        <v>0</v>
      </c>
      <c r="AI70" s="6">
        <v>0</v>
      </c>
      <c r="AJ70" s="6">
        <v>0</v>
      </c>
      <c r="AK70" s="6">
        <v>0</v>
      </c>
      <c r="AL70" s="6">
        <v>0</v>
      </c>
      <c r="AM70" s="6">
        <v>0</v>
      </c>
      <c r="AN70" s="6">
        <v>0</v>
      </c>
      <c r="AO70" s="6">
        <v>0</v>
      </c>
      <c r="AP70" s="6">
        <v>0</v>
      </c>
      <c r="AQ70" s="6">
        <v>0</v>
      </c>
      <c r="AR70" s="6">
        <v>0</v>
      </c>
      <c r="AS70" s="6">
        <v>0</v>
      </c>
      <c r="AT70" s="6">
        <v>0</v>
      </c>
      <c r="AU70" s="6">
        <v>0</v>
      </c>
      <c r="AV70" s="6">
        <v>0</v>
      </c>
      <c r="AW70" s="6">
        <v>0</v>
      </c>
      <c r="AX70" s="6">
        <v>0</v>
      </c>
      <c r="AY70" s="6">
        <v>0</v>
      </c>
      <c r="AZ70" s="6">
        <v>0</v>
      </c>
      <c r="BA70" s="6">
        <v>0</v>
      </c>
      <c r="BB70" s="6">
        <v>0</v>
      </c>
      <c r="BC70" s="6">
        <v>0</v>
      </c>
      <c r="BD70" s="6">
        <v>0</v>
      </c>
      <c r="BE70" s="6">
        <v>0</v>
      </c>
      <c r="BF70" s="6">
        <v>0</v>
      </c>
      <c r="BG70" s="6">
        <v>0</v>
      </c>
      <c r="BH70" s="6">
        <v>0</v>
      </c>
      <c r="BI70" s="6">
        <v>0</v>
      </c>
      <c r="BJ70" s="6">
        <v>0</v>
      </c>
      <c r="BK70" s="6">
        <v>0</v>
      </c>
      <c r="BL70" s="6">
        <v>0</v>
      </c>
      <c r="BM70" s="6">
        <v>0</v>
      </c>
      <c r="BN70" s="6">
        <v>3.8235068897702527</v>
      </c>
      <c r="BO70" s="6">
        <v>6.1176110236324046</v>
      </c>
      <c r="BP70" s="6">
        <v>0</v>
      </c>
      <c r="BQ70" s="6">
        <v>0</v>
      </c>
      <c r="BR70" s="6">
        <v>0</v>
      </c>
      <c r="BS70" s="6">
        <v>0</v>
      </c>
      <c r="BT70" s="6">
        <v>0</v>
      </c>
      <c r="BU70" s="6">
        <v>0</v>
      </c>
      <c r="BV70" s="6">
        <v>6.1176110236324046</v>
      </c>
      <c r="BW70" s="6">
        <v>0</v>
      </c>
      <c r="BX70" s="6">
        <v>0</v>
      </c>
      <c r="BY70" s="6">
        <v>5.3529096456783538</v>
      </c>
      <c r="BZ70" s="6">
        <v>0</v>
      </c>
      <c r="CA70" s="6">
        <v>0</v>
      </c>
      <c r="CB70" s="6">
        <v>0</v>
      </c>
      <c r="CC70" s="6">
        <v>0</v>
      </c>
      <c r="CD70" s="6">
        <v>0</v>
      </c>
      <c r="CE70" s="6">
        <v>0</v>
      </c>
      <c r="CF70" s="6">
        <v>0</v>
      </c>
      <c r="CG70" s="6">
        <v>1.3382274114195885</v>
      </c>
      <c r="CH70" s="6">
        <v>0</v>
      </c>
      <c r="CI70" s="6">
        <v>0</v>
      </c>
      <c r="CJ70" s="6">
        <v>0</v>
      </c>
      <c r="CK70" s="6">
        <v>0</v>
      </c>
      <c r="CL70" s="6">
        <v>0</v>
      </c>
      <c r="CM70" s="6">
        <v>0</v>
      </c>
      <c r="CN70" s="6">
        <v>0</v>
      </c>
      <c r="CO70" s="6">
        <v>1.5294027559081012</v>
      </c>
      <c r="CP70" s="6">
        <v>0</v>
      </c>
      <c r="CQ70" s="6">
        <v>0</v>
      </c>
      <c r="CR70" s="6">
        <v>0</v>
      </c>
      <c r="CS70" s="6">
        <v>10.705819291356708</v>
      </c>
      <c r="CT70" s="6">
        <v>0</v>
      </c>
      <c r="CU70" s="6">
        <v>1.5294027559081012</v>
      </c>
      <c r="CV70" s="6">
        <v>0</v>
      </c>
      <c r="CW70" s="6">
        <v>0</v>
      </c>
      <c r="CX70" s="6">
        <v>0</v>
      </c>
      <c r="CY70" s="6">
        <v>0</v>
      </c>
      <c r="CZ70" s="6">
        <v>0</v>
      </c>
      <c r="DA70" s="6">
        <v>0</v>
      </c>
      <c r="DB70" s="6">
        <v>0</v>
      </c>
      <c r="DC70" s="6">
        <v>0</v>
      </c>
      <c r="DD70" s="6">
        <v>0</v>
      </c>
      <c r="DE70" s="6">
        <v>0</v>
      </c>
      <c r="DF70" s="6">
        <v>0</v>
      </c>
      <c r="DG70" s="6">
        <v>0</v>
      </c>
      <c r="DH70" s="6">
        <v>0</v>
      </c>
      <c r="DI70" s="6">
        <v>0</v>
      </c>
      <c r="DJ70" s="6">
        <v>0</v>
      </c>
      <c r="DK70" s="6">
        <v>0</v>
      </c>
      <c r="DL70" s="6">
        <v>0</v>
      </c>
      <c r="DM70" s="6">
        <v>0</v>
      </c>
      <c r="DN70" s="6">
        <v>0</v>
      </c>
      <c r="DO70" s="6">
        <v>0</v>
      </c>
      <c r="DP70" s="6">
        <v>0</v>
      </c>
      <c r="DQ70" s="6">
        <v>0</v>
      </c>
      <c r="DR70" s="6">
        <v>0</v>
      </c>
      <c r="DS70" s="6">
        <v>0</v>
      </c>
      <c r="DT70" s="6">
        <v>1.5294027559081012</v>
      </c>
      <c r="DU70" s="6">
        <v>0</v>
      </c>
      <c r="DV70" s="6">
        <v>0</v>
      </c>
      <c r="DW70" s="6">
        <v>0</v>
      </c>
      <c r="DX70" s="6">
        <v>0</v>
      </c>
      <c r="DY70" s="6">
        <v>0</v>
      </c>
      <c r="DZ70" s="6">
        <v>0</v>
      </c>
      <c r="EA70" s="6">
        <v>0</v>
      </c>
      <c r="EB70" s="6">
        <v>0</v>
      </c>
      <c r="EC70" s="6">
        <v>0</v>
      </c>
      <c r="ED70" s="6">
        <v>0</v>
      </c>
      <c r="EE70" s="6">
        <v>0</v>
      </c>
      <c r="EF70" s="6">
        <v>0</v>
      </c>
      <c r="EG70" s="6">
        <v>0</v>
      </c>
      <c r="EH70" s="6">
        <v>0</v>
      </c>
      <c r="EI70" s="6">
        <v>1.0705819291356709</v>
      </c>
      <c r="EJ70" s="6">
        <v>0</v>
      </c>
      <c r="EK70" s="6">
        <v>4.3970329232357912</v>
      </c>
      <c r="EL70" s="6">
        <v>0</v>
      </c>
      <c r="EM70" s="6">
        <v>0</v>
      </c>
      <c r="EN70" s="6">
        <v>2.6764548228391769</v>
      </c>
      <c r="EO70" s="6">
        <v>0</v>
      </c>
      <c r="EP70" s="6">
        <v>0</v>
      </c>
      <c r="EQ70" s="6">
        <v>1.9117534448851263</v>
      </c>
      <c r="ER70" s="6">
        <v>1.3382274114195885</v>
      </c>
      <c r="ES70" s="6">
        <v>0</v>
      </c>
      <c r="ET70" s="6">
        <v>0</v>
      </c>
      <c r="EU70" s="6">
        <v>0</v>
      </c>
      <c r="EV70" s="6">
        <v>0</v>
      </c>
      <c r="EW70" s="6">
        <v>0</v>
      </c>
      <c r="EX70" s="6">
        <v>0</v>
      </c>
      <c r="EY70" s="6">
        <v>0</v>
      </c>
      <c r="EZ70" s="6">
        <v>1.5294027559081012</v>
      </c>
      <c r="FA70" s="6">
        <v>0</v>
      </c>
      <c r="FB70" s="6">
        <v>1.9117534448851263</v>
      </c>
      <c r="FC70" s="6">
        <v>0</v>
      </c>
      <c r="FD70" s="6">
        <v>0</v>
      </c>
      <c r="FE70" s="6">
        <v>0</v>
      </c>
      <c r="FF70" s="6">
        <v>0</v>
      </c>
      <c r="FG70" s="6">
        <v>0</v>
      </c>
      <c r="FH70" s="6">
        <v>0</v>
      </c>
      <c r="FI70" s="6">
        <v>0</v>
      </c>
      <c r="FJ70" s="6">
        <v>0.76470137795405058</v>
      </c>
      <c r="FK70" s="6">
        <v>4.9705589567013284</v>
      </c>
      <c r="FL70" s="6">
        <v>0</v>
      </c>
      <c r="FM70" s="6">
        <v>0</v>
      </c>
      <c r="FN70" s="6">
        <v>0</v>
      </c>
      <c r="FO70" s="6">
        <v>0</v>
      </c>
      <c r="FP70" s="6">
        <v>0</v>
      </c>
      <c r="FQ70" s="6">
        <v>0</v>
      </c>
      <c r="FR70" s="6">
        <v>2.2941041338621515</v>
      </c>
      <c r="FS70" s="6">
        <v>0</v>
      </c>
      <c r="FT70" s="6">
        <v>0</v>
      </c>
      <c r="FU70" s="6">
        <v>0</v>
      </c>
      <c r="FV70" s="6">
        <v>0</v>
      </c>
      <c r="FW70" s="6">
        <v>0</v>
      </c>
      <c r="FX70" s="6">
        <v>0</v>
      </c>
      <c r="FY70" s="6">
        <v>0</v>
      </c>
      <c r="FZ70" s="6">
        <v>0</v>
      </c>
      <c r="GA70" s="6">
        <v>0</v>
      </c>
      <c r="GB70" s="6">
        <v>0</v>
      </c>
      <c r="GC70" s="6">
        <v>0</v>
      </c>
      <c r="GD70" s="6">
        <v>0</v>
      </c>
      <c r="GE70" s="6">
        <v>0</v>
      </c>
      <c r="GF70" s="6">
        <v>0</v>
      </c>
      <c r="GG70" s="6">
        <v>0</v>
      </c>
      <c r="GH70" s="6">
        <v>0</v>
      </c>
      <c r="GI70" s="6">
        <v>0.76470137795405058</v>
      </c>
      <c r="GJ70" s="6">
        <v>0</v>
      </c>
      <c r="GK70" s="6">
        <v>0</v>
      </c>
      <c r="GL70" s="6">
        <v>0</v>
      </c>
      <c r="GM70" s="6">
        <v>0</v>
      </c>
      <c r="GN70" s="6">
        <v>0</v>
      </c>
      <c r="GO70" s="6">
        <v>0</v>
      </c>
      <c r="GP70" s="6">
        <v>0</v>
      </c>
      <c r="GQ70" s="6">
        <v>0</v>
      </c>
      <c r="GR70" s="6">
        <v>0</v>
      </c>
      <c r="GS70" s="6">
        <v>0</v>
      </c>
      <c r="GT70" s="6">
        <v>0</v>
      </c>
      <c r="GU70" s="6">
        <v>2.1029287893736393</v>
      </c>
      <c r="GV70" s="6">
        <v>0</v>
      </c>
      <c r="GW70" s="6">
        <v>0</v>
      </c>
      <c r="GX70" s="6">
        <v>0</v>
      </c>
      <c r="GY70" s="6">
        <v>0</v>
      </c>
      <c r="GZ70" s="6">
        <v>0</v>
      </c>
      <c r="HA70" s="6">
        <v>0</v>
      </c>
      <c r="HB70" s="6">
        <v>0</v>
      </c>
      <c r="HC70" s="6">
        <v>0</v>
      </c>
      <c r="HD70" s="6">
        <v>0</v>
      </c>
      <c r="HE70" s="6">
        <v>0</v>
      </c>
      <c r="HF70" s="6">
        <v>0</v>
      </c>
      <c r="HG70" s="6">
        <v>3.0588055118162023</v>
      </c>
      <c r="HH70" s="6">
        <v>0</v>
      </c>
      <c r="HI70" s="6">
        <v>0</v>
      </c>
      <c r="HJ70" s="6">
        <v>0</v>
      </c>
      <c r="HK70" s="6">
        <v>0</v>
      </c>
      <c r="HL70" s="6">
        <v>0</v>
      </c>
      <c r="HM70" s="6">
        <v>0</v>
      </c>
      <c r="HN70" s="6">
        <v>0</v>
      </c>
      <c r="HO70" s="6">
        <v>0</v>
      </c>
      <c r="HP70" s="6">
        <v>0</v>
      </c>
      <c r="HQ70" s="6">
        <v>0</v>
      </c>
      <c r="HR70" s="6">
        <v>0</v>
      </c>
      <c r="HS70" s="6">
        <v>0</v>
      </c>
      <c r="HT70" s="6">
        <v>0</v>
      </c>
      <c r="HU70" s="6">
        <v>0</v>
      </c>
      <c r="HV70" s="6">
        <v>0</v>
      </c>
      <c r="HW70" s="198">
        <v>0</v>
      </c>
      <c r="HX70" s="63">
        <v>0</v>
      </c>
      <c r="HY70" s="28">
        <v>76.278962450916538</v>
      </c>
      <c r="IA70" s="20">
        <v>3.2992914379172955</v>
      </c>
      <c r="IB70" s="20">
        <v>3.2992914379172955</v>
      </c>
      <c r="II70" s="73" t="s">
        <v>147</v>
      </c>
      <c r="JE70" s="73" t="s">
        <v>147</v>
      </c>
      <c r="JF70" s="63">
        <v>3.8235068897702527</v>
      </c>
      <c r="JG70" s="63">
        <v>5.6205551279622723</v>
      </c>
      <c r="JH70" s="63">
        <v>9.9411179134026568</v>
      </c>
      <c r="JI70" s="63">
        <v>26.573372883903257</v>
      </c>
      <c r="JJ70" s="63">
        <v>1.5294027559081012</v>
      </c>
      <c r="JK70" s="63">
        <v>14.835206732308581</v>
      </c>
      <c r="JL70" s="63">
        <v>8.7940658464715824</v>
      </c>
      <c r="JM70" s="63">
        <v>5.161734301189842</v>
      </c>
      <c r="JQ70" s="142"/>
    </row>
    <row r="71" spans="2:277" outlineLevel="1">
      <c r="B71" t="s">
        <v>21</v>
      </c>
      <c r="C71" s="73" t="s">
        <v>205</v>
      </c>
      <c r="D71" s="6"/>
      <c r="E71" s="6">
        <v>0</v>
      </c>
      <c r="F71" s="6">
        <v>12.808748080730346</v>
      </c>
      <c r="G71" s="6">
        <v>0</v>
      </c>
      <c r="H71" s="6">
        <v>0</v>
      </c>
      <c r="I71" s="6">
        <v>4.3970329232357912</v>
      </c>
      <c r="J71" s="6">
        <v>0.76470137795405058</v>
      </c>
      <c r="K71" s="6">
        <v>12.617572736241835</v>
      </c>
      <c r="L71" s="6">
        <v>3.8235068897702527</v>
      </c>
      <c r="M71" s="6">
        <v>0</v>
      </c>
      <c r="N71" s="6">
        <v>0</v>
      </c>
      <c r="O71" s="6">
        <v>5.7352603346553792</v>
      </c>
      <c r="P71" s="6">
        <v>0</v>
      </c>
      <c r="Q71" s="6">
        <v>0</v>
      </c>
      <c r="R71" s="6">
        <v>2.4470444094529618</v>
      </c>
      <c r="S71" s="6">
        <v>0</v>
      </c>
      <c r="T71" s="6">
        <v>0</v>
      </c>
      <c r="U71" s="6">
        <v>3.8235068897702527</v>
      </c>
      <c r="V71" s="6">
        <v>0</v>
      </c>
      <c r="W71" s="6">
        <v>0</v>
      </c>
      <c r="X71" s="6">
        <v>3.8235068897702527</v>
      </c>
      <c r="Y71" s="6">
        <v>10.323468602379682</v>
      </c>
      <c r="Z71" s="6">
        <v>12.99992342521886</v>
      </c>
      <c r="AA71" s="6">
        <v>4.0146822342587658</v>
      </c>
      <c r="AB71" s="6">
        <v>15.676378248058036</v>
      </c>
      <c r="AC71" s="6">
        <v>5.7352603346553792</v>
      </c>
      <c r="AD71" s="6">
        <v>3.8235068897702527</v>
      </c>
      <c r="AE71" s="6">
        <v>4.588208267724303</v>
      </c>
      <c r="AF71" s="6">
        <v>0</v>
      </c>
      <c r="AG71" s="6">
        <v>3.8235068897702527</v>
      </c>
      <c r="AH71" s="6">
        <v>0</v>
      </c>
      <c r="AI71" s="6">
        <v>10.705819291356708</v>
      </c>
      <c r="AJ71" s="6">
        <v>10.323468602379682</v>
      </c>
      <c r="AK71" s="6">
        <v>19.882235826805314</v>
      </c>
      <c r="AL71" s="6">
        <v>25.426320816972183</v>
      </c>
      <c r="AM71" s="6">
        <v>36.323315452817404</v>
      </c>
      <c r="AN71" s="6">
        <v>10.323468602379682</v>
      </c>
      <c r="AO71" s="6">
        <v>20.073411171293827</v>
      </c>
      <c r="AP71" s="6">
        <v>1.5294027559081012</v>
      </c>
      <c r="AQ71" s="6">
        <v>38.235068897702526</v>
      </c>
      <c r="AR71" s="6">
        <v>12.617572736241835</v>
      </c>
      <c r="AS71" s="6">
        <v>24.92926492130205</v>
      </c>
      <c r="AT71" s="6">
        <v>7.6470137795405053</v>
      </c>
      <c r="AU71" s="6">
        <v>33.646860629978228</v>
      </c>
      <c r="AV71" s="6">
        <v>8.411715157494557</v>
      </c>
      <c r="AW71" s="6">
        <v>13.191098769707372</v>
      </c>
      <c r="AX71" s="6">
        <v>16.6322549705006</v>
      </c>
      <c r="AY71" s="6">
        <v>17.970482381920188</v>
      </c>
      <c r="AZ71" s="6">
        <v>17.779307037431675</v>
      </c>
      <c r="BA71" s="6">
        <v>9.176416535448606</v>
      </c>
      <c r="BB71" s="6">
        <v>13.382274114195885</v>
      </c>
      <c r="BC71" s="6">
        <v>13.382274114195885</v>
      </c>
      <c r="BD71" s="6">
        <v>0</v>
      </c>
      <c r="BE71" s="6">
        <v>23.514567372087054</v>
      </c>
      <c r="BF71" s="6">
        <v>0.57352603346553788</v>
      </c>
      <c r="BG71" s="6">
        <v>0</v>
      </c>
      <c r="BH71" s="6">
        <v>14.529326181126962</v>
      </c>
      <c r="BI71" s="6">
        <v>5.3529096456783538</v>
      </c>
      <c r="BJ71" s="6">
        <v>15.294027559081011</v>
      </c>
      <c r="BK71" s="6">
        <v>17.779307037431675</v>
      </c>
      <c r="BL71" s="6">
        <v>18.352833070897212</v>
      </c>
      <c r="BM71" s="6">
        <v>1.2617572736241833</v>
      </c>
      <c r="BN71" s="6">
        <v>0</v>
      </c>
      <c r="BO71" s="6">
        <v>9.5587672244256314</v>
      </c>
      <c r="BP71" s="6">
        <v>0</v>
      </c>
      <c r="BQ71" s="6">
        <v>13.382274114195885</v>
      </c>
      <c r="BR71" s="6">
        <v>7.6470137795405053</v>
      </c>
      <c r="BS71" s="6">
        <v>0</v>
      </c>
      <c r="BT71" s="6">
        <v>0</v>
      </c>
      <c r="BU71" s="6">
        <v>8.411715157494557</v>
      </c>
      <c r="BV71" s="6">
        <v>0</v>
      </c>
      <c r="BW71" s="6">
        <v>6.8823124015864554</v>
      </c>
      <c r="BX71" s="6">
        <v>0</v>
      </c>
      <c r="BY71" s="6">
        <v>1.1470520669310758</v>
      </c>
      <c r="BZ71" s="6">
        <v>5.7352603346553792</v>
      </c>
      <c r="CA71" s="6">
        <v>0</v>
      </c>
      <c r="CB71" s="6">
        <v>3.4411562007932277</v>
      </c>
      <c r="CC71" s="6">
        <v>0</v>
      </c>
      <c r="CD71" s="6">
        <v>0.95587672244256316</v>
      </c>
      <c r="CE71" s="6">
        <v>0</v>
      </c>
      <c r="CF71" s="6">
        <v>0</v>
      </c>
      <c r="CG71" s="6">
        <v>23.896918061064081</v>
      </c>
      <c r="CH71" s="6">
        <v>3.4411562007932277</v>
      </c>
      <c r="CI71" s="6">
        <v>0</v>
      </c>
      <c r="CJ71" s="6">
        <v>2.4852794783506642</v>
      </c>
      <c r="CK71" s="6">
        <v>9.749942568914145</v>
      </c>
      <c r="CL71" s="6">
        <v>0</v>
      </c>
      <c r="CM71" s="6">
        <v>0</v>
      </c>
      <c r="CN71" s="6">
        <v>11.088169980333733</v>
      </c>
      <c r="CO71" s="6">
        <v>0</v>
      </c>
      <c r="CP71" s="6">
        <v>10.705819291356708</v>
      </c>
      <c r="CQ71" s="6">
        <v>23.13221668311003</v>
      </c>
      <c r="CR71" s="6">
        <v>5.7352603346553792</v>
      </c>
      <c r="CS71" s="6">
        <v>0</v>
      </c>
      <c r="CT71" s="6">
        <v>0</v>
      </c>
      <c r="CU71" s="6">
        <v>16.6322549705006</v>
      </c>
      <c r="CV71" s="6">
        <v>7.6470137795405053</v>
      </c>
      <c r="CW71" s="6">
        <v>18.735183759874239</v>
      </c>
      <c r="CX71" s="6">
        <v>7.6470137795405053</v>
      </c>
      <c r="CY71" s="6">
        <v>0</v>
      </c>
      <c r="CZ71" s="6">
        <v>7.6470137795405053</v>
      </c>
      <c r="DA71" s="6">
        <v>0</v>
      </c>
      <c r="DB71" s="6">
        <v>0</v>
      </c>
      <c r="DC71" s="6">
        <v>6.1176110236324046</v>
      </c>
      <c r="DD71" s="6">
        <v>5.7352603346553792</v>
      </c>
      <c r="DE71" s="6">
        <v>2.6764548228391769</v>
      </c>
      <c r="DF71" s="6">
        <v>0</v>
      </c>
      <c r="DG71" s="6">
        <v>0</v>
      </c>
      <c r="DH71" s="6">
        <v>0</v>
      </c>
      <c r="DI71" s="6">
        <v>1.1470520669310758</v>
      </c>
      <c r="DJ71" s="6">
        <v>0.76470137795405058</v>
      </c>
      <c r="DK71" s="6">
        <v>10.514643946868196</v>
      </c>
      <c r="DL71" s="6">
        <v>0.76470137795405058</v>
      </c>
      <c r="DM71" s="6">
        <v>0</v>
      </c>
      <c r="DN71" s="6">
        <v>11.852871358287784</v>
      </c>
      <c r="DO71" s="6">
        <v>0</v>
      </c>
      <c r="DP71" s="6">
        <v>0.95587672244256316</v>
      </c>
      <c r="DQ71" s="6">
        <v>15.294027559081011</v>
      </c>
      <c r="DR71" s="6">
        <v>0</v>
      </c>
      <c r="DS71" s="6">
        <v>0</v>
      </c>
      <c r="DT71" s="6">
        <v>7.2646630905634808</v>
      </c>
      <c r="DU71" s="6">
        <v>0</v>
      </c>
      <c r="DV71" s="6">
        <v>14.146975492149936</v>
      </c>
      <c r="DW71" s="6">
        <v>9.176416535448606</v>
      </c>
      <c r="DX71" s="6">
        <v>4.588208267724303</v>
      </c>
      <c r="DY71" s="6">
        <v>1.1470520669310758</v>
      </c>
      <c r="DZ71" s="6">
        <v>2.1029287893736393</v>
      </c>
      <c r="EA71" s="6">
        <v>0</v>
      </c>
      <c r="EB71" s="6">
        <v>0.84117151574945559</v>
      </c>
      <c r="EC71" s="6">
        <v>11.852871358287784</v>
      </c>
      <c r="ED71" s="6">
        <v>10.705819291356708</v>
      </c>
      <c r="EE71" s="6">
        <v>7.0734877460749681</v>
      </c>
      <c r="EF71" s="6">
        <v>9.176416535448606</v>
      </c>
      <c r="EG71" s="6">
        <v>8.0293644685175316</v>
      </c>
      <c r="EH71" s="6">
        <v>4.3970329232357912</v>
      </c>
      <c r="EI71" s="6">
        <v>2.8676301673276896</v>
      </c>
      <c r="EJ71" s="6">
        <v>1.9117534448851263</v>
      </c>
      <c r="EK71" s="6">
        <v>0</v>
      </c>
      <c r="EL71" s="6">
        <v>0</v>
      </c>
      <c r="EM71" s="6">
        <v>3.8235068897702527</v>
      </c>
      <c r="EN71" s="6">
        <v>34.411562007932275</v>
      </c>
      <c r="EO71" s="6">
        <v>0.76470137795405058</v>
      </c>
      <c r="EP71" s="6">
        <v>0</v>
      </c>
      <c r="EQ71" s="6">
        <v>44.352679921334932</v>
      </c>
      <c r="ER71" s="6">
        <v>3.4411562007932277</v>
      </c>
      <c r="ES71" s="6">
        <v>15.294027559081011</v>
      </c>
      <c r="ET71" s="6">
        <v>9.9411179134026568</v>
      </c>
      <c r="EU71" s="6">
        <v>9.176416535448606</v>
      </c>
      <c r="EV71" s="6">
        <v>0.76470137795405058</v>
      </c>
      <c r="EW71" s="6">
        <v>0</v>
      </c>
      <c r="EX71" s="6">
        <v>9.5587672244256314</v>
      </c>
      <c r="EY71" s="6">
        <v>6.49996171260943</v>
      </c>
      <c r="EZ71" s="6">
        <v>0</v>
      </c>
      <c r="FA71" s="6">
        <v>2.8676301673276896</v>
      </c>
      <c r="FB71" s="6">
        <v>0</v>
      </c>
      <c r="FC71" s="6">
        <v>7.6470137795405053</v>
      </c>
      <c r="FD71" s="6">
        <v>7.6470137795405053</v>
      </c>
      <c r="FE71" s="6">
        <v>13.764624803172911</v>
      </c>
      <c r="FF71" s="6">
        <v>0</v>
      </c>
      <c r="FG71" s="6">
        <v>17.779307037431675</v>
      </c>
      <c r="FH71" s="6">
        <v>6.8823124015864554</v>
      </c>
      <c r="FI71" s="6">
        <v>7.6470137795405053</v>
      </c>
      <c r="FJ71" s="6">
        <v>5.3529096456783538</v>
      </c>
      <c r="FK71" s="6">
        <v>0</v>
      </c>
      <c r="FL71" s="6">
        <v>28.293950984299872</v>
      </c>
      <c r="FM71" s="6">
        <v>0</v>
      </c>
      <c r="FN71" s="6">
        <v>9.5587672244256314</v>
      </c>
      <c r="FO71" s="6">
        <v>7.6470137795405053</v>
      </c>
      <c r="FP71" s="6">
        <v>3.8235068897702527</v>
      </c>
      <c r="FQ71" s="6">
        <v>19.117534448851263</v>
      </c>
      <c r="FR71" s="6">
        <v>2.1029287893736393</v>
      </c>
      <c r="FS71" s="6">
        <v>4.2058575787472785</v>
      </c>
      <c r="FT71" s="6">
        <v>1.0705819291356709</v>
      </c>
      <c r="FU71" s="6">
        <v>0</v>
      </c>
      <c r="FV71" s="6">
        <v>9.5587672244256314</v>
      </c>
      <c r="FW71" s="6">
        <v>3.0588055118162023</v>
      </c>
      <c r="FX71" s="6">
        <v>10.323468602379682</v>
      </c>
      <c r="FY71" s="6">
        <v>0</v>
      </c>
      <c r="FZ71" s="6">
        <v>0</v>
      </c>
      <c r="GA71" s="6">
        <v>0</v>
      </c>
      <c r="GB71" s="6">
        <v>0</v>
      </c>
      <c r="GC71" s="6">
        <v>1.3382274114195885</v>
      </c>
      <c r="GD71" s="6">
        <v>13.229333838605076</v>
      </c>
      <c r="GE71" s="6">
        <v>0</v>
      </c>
      <c r="GF71" s="6">
        <v>0</v>
      </c>
      <c r="GG71" s="6">
        <v>0</v>
      </c>
      <c r="GH71" s="6">
        <v>4.7793836122128157</v>
      </c>
      <c r="GI71" s="6">
        <v>7.6470137795405053</v>
      </c>
      <c r="GJ71" s="6">
        <v>0</v>
      </c>
      <c r="GK71" s="6">
        <v>5.7352603346553792</v>
      </c>
      <c r="GL71" s="6">
        <v>0</v>
      </c>
      <c r="GM71" s="6">
        <v>9.176416535448606</v>
      </c>
      <c r="GN71" s="6">
        <v>7.2646630905634808</v>
      </c>
      <c r="GO71" s="6">
        <v>16.441079626012087</v>
      </c>
      <c r="GP71" s="6">
        <v>7.6470137795405053</v>
      </c>
      <c r="GQ71" s="6">
        <v>11.852871358287784</v>
      </c>
      <c r="GR71" s="6">
        <v>7.6470137795405053</v>
      </c>
      <c r="GS71" s="6">
        <v>0</v>
      </c>
      <c r="GT71" s="6">
        <v>0</v>
      </c>
      <c r="GU71" s="6">
        <v>21.793989271690442</v>
      </c>
      <c r="GV71" s="6">
        <v>0</v>
      </c>
      <c r="GW71" s="6">
        <v>0</v>
      </c>
      <c r="GX71" s="6">
        <v>19.117534448851263</v>
      </c>
      <c r="GY71" s="6">
        <v>2.6764548228391769</v>
      </c>
      <c r="GZ71" s="6">
        <v>0</v>
      </c>
      <c r="HA71" s="6">
        <v>1.9117534448851263</v>
      </c>
      <c r="HB71" s="6">
        <v>22.941041338621517</v>
      </c>
      <c r="HC71" s="6">
        <v>11.088169980333733</v>
      </c>
      <c r="HD71" s="6">
        <v>1.1470520669310758</v>
      </c>
      <c r="HE71" s="6">
        <v>3.8235068897702527</v>
      </c>
      <c r="HF71" s="6">
        <v>2.8676301673276896</v>
      </c>
      <c r="HG71" s="6">
        <v>6.3087863681209173</v>
      </c>
      <c r="HH71" s="6">
        <v>0</v>
      </c>
      <c r="HI71" s="6">
        <v>0</v>
      </c>
      <c r="HJ71" s="6">
        <v>0</v>
      </c>
      <c r="HK71" s="6">
        <v>0</v>
      </c>
      <c r="HL71" s="6">
        <v>0</v>
      </c>
      <c r="HM71" s="6">
        <v>0</v>
      </c>
      <c r="HN71" s="6">
        <v>0</v>
      </c>
      <c r="HO71" s="6">
        <v>0</v>
      </c>
      <c r="HP71" s="6">
        <v>0</v>
      </c>
      <c r="HQ71" s="6">
        <v>0</v>
      </c>
      <c r="HR71" s="6">
        <v>0</v>
      </c>
      <c r="HS71" s="6">
        <v>0</v>
      </c>
      <c r="HT71" s="6">
        <v>0</v>
      </c>
      <c r="HU71" s="6">
        <v>0</v>
      </c>
      <c r="HV71" s="6">
        <v>0</v>
      </c>
      <c r="HW71" s="198">
        <v>0</v>
      </c>
      <c r="HX71" s="63">
        <v>0</v>
      </c>
      <c r="HY71" s="28">
        <v>1419.0945821382286</v>
      </c>
      <c r="IA71" s="20"/>
      <c r="IB71" s="20"/>
      <c r="II71" s="73" t="s">
        <v>205</v>
      </c>
      <c r="JE71" s="73" t="s">
        <v>205</v>
      </c>
      <c r="JF71" s="63">
        <v>12.808748080730346</v>
      </c>
      <c r="JG71" s="63">
        <v>201.07822733301762</v>
      </c>
      <c r="JH71" s="63">
        <v>378.52718208725514</v>
      </c>
      <c r="JI71" s="63">
        <v>141.08740423252235</v>
      </c>
      <c r="JJ71" s="63">
        <v>135.92566993133249</v>
      </c>
      <c r="JK71" s="63">
        <v>226.81042870117139</v>
      </c>
      <c r="JL71" s="63">
        <v>163.41668446878063</v>
      </c>
      <c r="JM71" s="63">
        <v>159.44023730341954</v>
      </c>
      <c r="JQ71" s="142"/>
    </row>
    <row r="72" spans="2:277" outlineLevel="1">
      <c r="B72" t="s">
        <v>21</v>
      </c>
      <c r="C72" s="73" t="s">
        <v>146</v>
      </c>
      <c r="D72" s="6">
        <v>0</v>
      </c>
      <c r="E72" s="6">
        <v>0</v>
      </c>
      <c r="F72" s="6">
        <v>4.588208267724303</v>
      </c>
      <c r="G72" s="6">
        <v>2.4852794783506642</v>
      </c>
      <c r="H72" s="6">
        <v>1.5294027559081012</v>
      </c>
      <c r="I72" s="6">
        <v>0.76470137795405058</v>
      </c>
      <c r="J72" s="6">
        <v>0</v>
      </c>
      <c r="K72" s="6">
        <v>0</v>
      </c>
      <c r="L72" s="6">
        <v>0.76470137795405058</v>
      </c>
      <c r="M72" s="6">
        <v>2.6764548228391769</v>
      </c>
      <c r="N72" s="6">
        <v>1.3382274114195885</v>
      </c>
      <c r="O72" s="6">
        <v>0</v>
      </c>
      <c r="P72" s="6">
        <v>0</v>
      </c>
      <c r="Q72" s="6">
        <v>0</v>
      </c>
      <c r="R72" s="6">
        <v>0</v>
      </c>
      <c r="S72" s="6">
        <v>0.95587672244256316</v>
      </c>
      <c r="T72" s="6">
        <v>3.0588055118162023</v>
      </c>
      <c r="U72" s="6">
        <v>0</v>
      </c>
      <c r="V72" s="6">
        <v>3.8235068897702527</v>
      </c>
      <c r="W72" s="6">
        <v>2.6764548228391769</v>
      </c>
      <c r="X72" s="6">
        <v>2.4852794783506642</v>
      </c>
      <c r="Y72" s="6">
        <v>3.249980856304715</v>
      </c>
      <c r="Z72" s="6">
        <v>0</v>
      </c>
      <c r="AA72" s="6">
        <v>1.5294027559081012</v>
      </c>
      <c r="AB72" s="6">
        <v>3.8235068897702527</v>
      </c>
      <c r="AC72" s="6">
        <v>1.5294027559081012</v>
      </c>
      <c r="AD72" s="6">
        <v>1.1470520669310758</v>
      </c>
      <c r="AE72" s="6">
        <v>0</v>
      </c>
      <c r="AF72" s="6">
        <v>6.1176110236324046</v>
      </c>
      <c r="AG72" s="6">
        <v>0</v>
      </c>
      <c r="AH72" s="6">
        <v>2.1029287893736393</v>
      </c>
      <c r="AI72" s="6">
        <v>0</v>
      </c>
      <c r="AJ72" s="6">
        <v>0</v>
      </c>
      <c r="AK72" s="6">
        <v>0</v>
      </c>
      <c r="AL72" s="6">
        <v>0</v>
      </c>
      <c r="AM72" s="6">
        <v>0</v>
      </c>
      <c r="AN72" s="6">
        <v>0</v>
      </c>
      <c r="AO72" s="6">
        <v>1.9117534448851263</v>
      </c>
      <c r="AP72" s="6">
        <v>0</v>
      </c>
      <c r="AQ72" s="6">
        <v>0</v>
      </c>
      <c r="AR72" s="6">
        <v>0</v>
      </c>
      <c r="AS72" s="6">
        <v>0</v>
      </c>
      <c r="AT72" s="6">
        <v>0</v>
      </c>
      <c r="AU72" s="6">
        <v>0</v>
      </c>
      <c r="AV72" s="6">
        <v>0</v>
      </c>
      <c r="AW72" s="6">
        <v>0</v>
      </c>
      <c r="AX72" s="6">
        <v>0</v>
      </c>
      <c r="AY72" s="6">
        <v>0</v>
      </c>
      <c r="AZ72" s="6">
        <v>0</v>
      </c>
      <c r="BA72" s="6">
        <v>0</v>
      </c>
      <c r="BB72" s="6">
        <v>0</v>
      </c>
      <c r="BC72" s="6">
        <v>0</v>
      </c>
      <c r="BD72" s="6">
        <v>0</v>
      </c>
      <c r="BE72" s="6">
        <v>0</v>
      </c>
      <c r="BF72" s="6">
        <v>0</v>
      </c>
      <c r="BG72" s="6">
        <v>0</v>
      </c>
      <c r="BH72" s="6">
        <v>0</v>
      </c>
      <c r="BI72" s="6">
        <v>0</v>
      </c>
      <c r="BJ72" s="6">
        <v>0</v>
      </c>
      <c r="BK72" s="6">
        <v>0</v>
      </c>
      <c r="BL72" s="6">
        <v>0</v>
      </c>
      <c r="BM72" s="6">
        <v>0</v>
      </c>
      <c r="BN72" s="6">
        <v>0</v>
      </c>
      <c r="BO72" s="6">
        <v>0</v>
      </c>
      <c r="BP72" s="6">
        <v>0</v>
      </c>
      <c r="BQ72" s="6">
        <v>0</v>
      </c>
      <c r="BR72" s="6">
        <v>0</v>
      </c>
      <c r="BS72" s="6">
        <v>1.9117534448851263</v>
      </c>
      <c r="BT72" s="6">
        <v>0</v>
      </c>
      <c r="BU72" s="6">
        <v>0.76470137795405058</v>
      </c>
      <c r="BV72" s="6">
        <v>0</v>
      </c>
      <c r="BW72" s="6">
        <v>0</v>
      </c>
      <c r="BX72" s="6">
        <v>0</v>
      </c>
      <c r="BY72" s="6">
        <v>0</v>
      </c>
      <c r="BZ72" s="6">
        <v>0</v>
      </c>
      <c r="CA72" s="6">
        <v>2.6764548228391769</v>
      </c>
      <c r="CB72" s="6">
        <v>1.1470520669310758</v>
      </c>
      <c r="CC72" s="6">
        <v>1.5294027559081012</v>
      </c>
      <c r="CD72" s="6">
        <v>4.0146822342587658</v>
      </c>
      <c r="CE72" s="6">
        <v>3.0588055118162023</v>
      </c>
      <c r="CF72" s="6">
        <v>2.2941041338621515</v>
      </c>
      <c r="CG72" s="6">
        <v>1.3382274114195885</v>
      </c>
      <c r="CH72" s="6">
        <v>3.0588055118162023</v>
      </c>
      <c r="CI72" s="6">
        <v>0</v>
      </c>
      <c r="CJ72" s="6">
        <v>1.1470520669310758</v>
      </c>
      <c r="CK72" s="6">
        <v>0</v>
      </c>
      <c r="CL72" s="6">
        <v>3.6323315452817404</v>
      </c>
      <c r="CM72" s="6">
        <v>1.1470520669310758</v>
      </c>
      <c r="CN72" s="6">
        <v>0.95587672244256316</v>
      </c>
      <c r="CO72" s="6">
        <v>0.95587672244256316</v>
      </c>
      <c r="CP72" s="6">
        <v>2.1029287893736393</v>
      </c>
      <c r="CQ72" s="6">
        <v>1.1470520669310758</v>
      </c>
      <c r="CR72" s="6">
        <v>1.1470520669310758</v>
      </c>
      <c r="CS72" s="6">
        <v>0.76470137795405058</v>
      </c>
      <c r="CT72" s="6">
        <v>0.57352603346553788</v>
      </c>
      <c r="CU72" s="6">
        <v>0.95587672244256316</v>
      </c>
      <c r="CV72" s="6">
        <v>4.588208267724303</v>
      </c>
      <c r="CW72" s="6">
        <v>1.1470520669310758</v>
      </c>
      <c r="CX72" s="6">
        <v>1.3382274114195885</v>
      </c>
      <c r="CY72" s="6">
        <v>2.8676301673276896</v>
      </c>
      <c r="CZ72" s="6">
        <v>2.1029287893736393</v>
      </c>
      <c r="DA72" s="6">
        <v>0</v>
      </c>
      <c r="DB72" s="6">
        <v>0</v>
      </c>
      <c r="DC72" s="6">
        <v>4.3970329232357912</v>
      </c>
      <c r="DD72" s="6">
        <v>0.95587672244256316</v>
      </c>
      <c r="DE72" s="6">
        <v>0.95587672244256316</v>
      </c>
      <c r="DF72" s="6">
        <v>0.95587672244256316</v>
      </c>
      <c r="DG72" s="6">
        <v>1.1470520669310758</v>
      </c>
      <c r="DH72" s="6">
        <v>1.1470520669310758</v>
      </c>
      <c r="DI72" s="6">
        <v>1.5294027559081012</v>
      </c>
      <c r="DJ72" s="6">
        <v>1.3382274114195885</v>
      </c>
      <c r="DK72" s="6">
        <v>1.1470520669310758</v>
      </c>
      <c r="DL72" s="6">
        <v>1.9117534448851263</v>
      </c>
      <c r="DM72" s="6">
        <v>0</v>
      </c>
      <c r="DN72" s="6">
        <v>0.76470137795405058</v>
      </c>
      <c r="DO72" s="6">
        <v>0.95587672244256316</v>
      </c>
      <c r="DP72" s="6">
        <v>1.9117534448851263</v>
      </c>
      <c r="DQ72" s="6">
        <v>1.7205781003966139</v>
      </c>
      <c r="DR72" s="6">
        <v>0.95587672244256316</v>
      </c>
      <c r="DS72" s="6">
        <v>0.95587672244256316</v>
      </c>
      <c r="DT72" s="6">
        <v>0.95587672244256316</v>
      </c>
      <c r="DU72" s="6">
        <v>0.95587672244256316</v>
      </c>
      <c r="DV72" s="6">
        <v>1.1470520669310758</v>
      </c>
      <c r="DW72" s="6">
        <v>0.95587672244256316</v>
      </c>
      <c r="DX72" s="6">
        <v>0.95587672244256316</v>
      </c>
      <c r="DY72" s="6">
        <v>3.0588055118162023</v>
      </c>
      <c r="DZ72" s="6">
        <v>0</v>
      </c>
      <c r="EA72" s="6">
        <v>2.1029287893736393</v>
      </c>
      <c r="EB72" s="6">
        <v>3.8235068897702527</v>
      </c>
      <c r="EC72" s="6">
        <v>6.3087863681209173</v>
      </c>
      <c r="ED72" s="6">
        <v>3.6323315452817404</v>
      </c>
      <c r="EE72" s="6">
        <v>0</v>
      </c>
      <c r="EF72" s="6">
        <v>0</v>
      </c>
      <c r="EG72" s="6">
        <v>1.3382274114195885</v>
      </c>
      <c r="EH72" s="6">
        <v>0</v>
      </c>
      <c r="EI72" s="6">
        <v>0.95587672244256316</v>
      </c>
      <c r="EJ72" s="6">
        <v>3.249980856304715</v>
      </c>
      <c r="EK72" s="6">
        <v>0.95587672244256316</v>
      </c>
      <c r="EL72" s="6">
        <v>3.0588055118162023</v>
      </c>
      <c r="EM72" s="6">
        <v>4.2058575787472785</v>
      </c>
      <c r="EN72" s="6">
        <v>3.0588055118162023</v>
      </c>
      <c r="EO72" s="6">
        <v>4.2058575787472785</v>
      </c>
      <c r="EP72" s="6">
        <v>4.2058575787472785</v>
      </c>
      <c r="EQ72" s="6">
        <v>0</v>
      </c>
      <c r="ER72" s="6">
        <v>3.0588055118162023</v>
      </c>
      <c r="ES72" s="6">
        <v>0.76470137795405058</v>
      </c>
      <c r="ET72" s="6">
        <v>0.95587672244256316</v>
      </c>
      <c r="EU72" s="6">
        <v>0</v>
      </c>
      <c r="EV72" s="6">
        <v>0.95587672244256316</v>
      </c>
      <c r="EW72" s="6">
        <v>1.7205781003966139</v>
      </c>
      <c r="EX72" s="6">
        <v>1.7205781003966139</v>
      </c>
      <c r="EY72" s="6">
        <v>0.95587672244256316</v>
      </c>
      <c r="EZ72" s="6">
        <v>0.95587672244256316</v>
      </c>
      <c r="FA72" s="6">
        <v>3.4411562007932277</v>
      </c>
      <c r="FB72" s="6">
        <v>4.2058575787472785</v>
      </c>
      <c r="FC72" s="6">
        <v>2.8676301673276896</v>
      </c>
      <c r="FD72" s="6">
        <v>0</v>
      </c>
      <c r="FE72" s="6">
        <v>0.95587672244256316</v>
      </c>
      <c r="FF72" s="6">
        <v>0</v>
      </c>
      <c r="FG72" s="6">
        <v>5.7352603346553792</v>
      </c>
      <c r="FH72" s="6">
        <v>3.8235068897702527</v>
      </c>
      <c r="FI72" s="6">
        <v>0</v>
      </c>
      <c r="FJ72" s="6">
        <v>0</v>
      </c>
      <c r="FK72" s="6">
        <v>1.2235222047264809</v>
      </c>
      <c r="FL72" s="6">
        <v>0.95587672244256316</v>
      </c>
      <c r="FM72" s="6">
        <v>1.7205781003966139</v>
      </c>
      <c r="FN72" s="6">
        <v>0.95587672244256316</v>
      </c>
      <c r="FO72" s="6">
        <v>1.3382274114195885</v>
      </c>
      <c r="FP72" s="6">
        <v>3.0588055118162023</v>
      </c>
      <c r="FQ72" s="6">
        <v>1.9117534448851263</v>
      </c>
      <c r="FR72" s="6">
        <v>0</v>
      </c>
      <c r="FS72" s="6">
        <v>0</v>
      </c>
      <c r="FT72" s="6">
        <v>1.7205781003966139</v>
      </c>
      <c r="FU72" s="6">
        <v>0</v>
      </c>
      <c r="FV72" s="6">
        <v>0</v>
      </c>
      <c r="FW72" s="6">
        <v>0.95587672244256316</v>
      </c>
      <c r="FX72" s="6">
        <v>0</v>
      </c>
      <c r="FY72" s="6">
        <v>0.38235068897702529</v>
      </c>
      <c r="FZ72" s="6">
        <v>0</v>
      </c>
      <c r="GA72" s="6">
        <v>0</v>
      </c>
      <c r="GB72" s="6">
        <v>0</v>
      </c>
      <c r="GC72" s="6">
        <v>2.2941041338621515</v>
      </c>
      <c r="GD72" s="6">
        <v>5.7352603346553792</v>
      </c>
      <c r="GE72" s="6">
        <v>1.5294027559081012</v>
      </c>
      <c r="GF72" s="6">
        <v>0.95587672244256316</v>
      </c>
      <c r="GG72" s="6">
        <v>0</v>
      </c>
      <c r="GH72" s="6">
        <v>0.95587672244256316</v>
      </c>
      <c r="GI72" s="6">
        <v>2.8676301673276896</v>
      </c>
      <c r="GJ72" s="6">
        <v>0</v>
      </c>
      <c r="GK72" s="6">
        <v>3.0588055118162023</v>
      </c>
      <c r="GL72" s="6">
        <v>1.5294027559081012</v>
      </c>
      <c r="GM72" s="6">
        <v>1.9117534448851263</v>
      </c>
      <c r="GN72" s="6">
        <v>0</v>
      </c>
      <c r="GO72" s="6">
        <v>1.1470520669310758</v>
      </c>
      <c r="GP72" s="6">
        <v>0</v>
      </c>
      <c r="GQ72" s="6">
        <v>0</v>
      </c>
      <c r="GR72" s="6">
        <v>0.95587672244256316</v>
      </c>
      <c r="GS72" s="6">
        <v>0</v>
      </c>
      <c r="GT72" s="6">
        <v>0</v>
      </c>
      <c r="GU72" s="6">
        <v>0.76470137795405058</v>
      </c>
      <c r="GV72" s="6">
        <v>0</v>
      </c>
      <c r="GW72" s="6">
        <v>0</v>
      </c>
      <c r="GX72" s="6">
        <v>1.1470520669310758</v>
      </c>
      <c r="GY72" s="6">
        <v>4.2058575787472785</v>
      </c>
      <c r="GZ72" s="6">
        <v>4.2058575787472785</v>
      </c>
      <c r="HA72" s="6">
        <v>3.6323315452817404</v>
      </c>
      <c r="HB72" s="6">
        <v>3.6323315452817404</v>
      </c>
      <c r="HC72" s="6">
        <v>0</v>
      </c>
      <c r="HD72" s="6">
        <v>0.76470137795405058</v>
      </c>
      <c r="HE72" s="6">
        <v>1.1470520669310758</v>
      </c>
      <c r="HF72" s="6">
        <v>3.6323315452817404</v>
      </c>
      <c r="HG72" s="6">
        <v>0.95587672244256316</v>
      </c>
      <c r="HH72" s="6">
        <v>0</v>
      </c>
      <c r="HI72" s="6">
        <v>0</v>
      </c>
      <c r="HJ72" s="6">
        <v>0</v>
      </c>
      <c r="HK72" s="6">
        <v>0</v>
      </c>
      <c r="HL72" s="6">
        <v>0</v>
      </c>
      <c r="HM72" s="6">
        <v>0</v>
      </c>
      <c r="HN72" s="6">
        <v>0</v>
      </c>
      <c r="HO72" s="6">
        <v>0</v>
      </c>
      <c r="HP72" s="6">
        <v>0</v>
      </c>
      <c r="HQ72" s="6">
        <v>0</v>
      </c>
      <c r="HR72" s="6">
        <v>0</v>
      </c>
      <c r="HS72" s="6">
        <v>0</v>
      </c>
      <c r="HT72" s="6">
        <v>0</v>
      </c>
      <c r="HU72" s="6">
        <v>0</v>
      </c>
      <c r="HV72" s="6">
        <v>0</v>
      </c>
      <c r="HW72" s="198">
        <v>0</v>
      </c>
      <c r="HX72" s="63">
        <v>0</v>
      </c>
      <c r="HY72" s="28">
        <v>262.17786743154608</v>
      </c>
      <c r="IA72" s="20">
        <v>1.8520774253844301</v>
      </c>
      <c r="IB72" s="20">
        <v>1.8520774253844301</v>
      </c>
      <c r="II72" s="73" t="s">
        <v>146</v>
      </c>
      <c r="JE72" s="73" t="s">
        <v>146</v>
      </c>
      <c r="JF72" s="63">
        <v>8.6028905019830688</v>
      </c>
      <c r="JG72" s="63">
        <v>38.043893553214019</v>
      </c>
      <c r="JH72" s="63">
        <v>1.9117534448851263</v>
      </c>
      <c r="JI72" s="63">
        <v>36.323315452817397</v>
      </c>
      <c r="JJ72" s="63">
        <v>42.823277165426816</v>
      </c>
      <c r="JK72" s="63">
        <v>63.661389714674698</v>
      </c>
      <c r="JL72" s="63">
        <v>38.120363691009409</v>
      </c>
      <c r="JM72" s="63">
        <v>32.69098390753566</v>
      </c>
      <c r="JQ72" s="142"/>
    </row>
    <row r="73" spans="2:277" ht="15" outlineLevel="1" thickBot="1">
      <c r="B73" t="s">
        <v>21</v>
      </c>
      <c r="C73" s="74" t="s">
        <v>148</v>
      </c>
      <c r="D73" s="6">
        <v>0</v>
      </c>
      <c r="E73" s="6">
        <v>0</v>
      </c>
      <c r="F73" s="6">
        <v>0</v>
      </c>
      <c r="G73" s="6">
        <v>0</v>
      </c>
      <c r="H73" s="6">
        <v>0</v>
      </c>
      <c r="I73" s="6">
        <v>0</v>
      </c>
      <c r="J73" s="6">
        <v>8.411715157494557</v>
      </c>
      <c r="K73" s="6">
        <v>0</v>
      </c>
      <c r="L73" s="6">
        <v>0.57352603346553788</v>
      </c>
      <c r="M73" s="6">
        <v>0</v>
      </c>
      <c r="N73" s="6">
        <v>2.1029287893736393</v>
      </c>
      <c r="O73" s="6">
        <v>0</v>
      </c>
      <c r="P73" s="6">
        <v>5.7352603346553792</v>
      </c>
      <c r="Q73" s="6">
        <v>13.764624803172911</v>
      </c>
      <c r="R73" s="6">
        <v>0</v>
      </c>
      <c r="S73" s="6">
        <v>0</v>
      </c>
      <c r="T73" s="6">
        <v>4.0146822342587658</v>
      </c>
      <c r="U73" s="6">
        <v>16.249904281523573</v>
      </c>
      <c r="V73" s="6">
        <v>0</v>
      </c>
      <c r="W73" s="6">
        <v>0</v>
      </c>
      <c r="X73" s="6">
        <v>0</v>
      </c>
      <c r="Y73" s="6">
        <v>2.2941041338621515</v>
      </c>
      <c r="Z73" s="6">
        <v>1.5294027559081012</v>
      </c>
      <c r="AA73" s="6">
        <v>4.0146822342587658</v>
      </c>
      <c r="AB73" s="6">
        <v>9.9411179134026568</v>
      </c>
      <c r="AC73" s="6">
        <v>0</v>
      </c>
      <c r="AD73" s="6">
        <v>5.5440849901668665</v>
      </c>
      <c r="AE73" s="6">
        <v>0</v>
      </c>
      <c r="AF73" s="6">
        <v>11.470520669310758</v>
      </c>
      <c r="AG73" s="6">
        <v>3.249980856304715</v>
      </c>
      <c r="AH73" s="6">
        <v>7.6470137795405053</v>
      </c>
      <c r="AI73" s="6">
        <v>2.2941041338621515</v>
      </c>
      <c r="AJ73" s="6">
        <v>0</v>
      </c>
      <c r="AK73" s="6">
        <v>3.4411562007932277</v>
      </c>
      <c r="AL73" s="6">
        <v>2.4852794783506642</v>
      </c>
      <c r="AM73" s="6">
        <v>0</v>
      </c>
      <c r="AN73" s="6">
        <v>0</v>
      </c>
      <c r="AO73" s="6">
        <v>0</v>
      </c>
      <c r="AP73" s="6">
        <v>1.9117534448851263</v>
      </c>
      <c r="AQ73" s="6">
        <v>0</v>
      </c>
      <c r="AR73" s="6">
        <v>0</v>
      </c>
      <c r="AS73" s="6">
        <v>3.6323315452817404</v>
      </c>
      <c r="AT73" s="6">
        <v>3.4411562007932277</v>
      </c>
      <c r="AU73" s="6">
        <v>0</v>
      </c>
      <c r="AV73" s="6">
        <v>0</v>
      </c>
      <c r="AW73" s="6">
        <v>3.4411562007932277</v>
      </c>
      <c r="AX73" s="6">
        <v>0</v>
      </c>
      <c r="AY73" s="6">
        <v>3.0588055118162023</v>
      </c>
      <c r="AZ73" s="6">
        <v>3.0588055118162023</v>
      </c>
      <c r="BA73" s="6">
        <v>3.0588055118162023</v>
      </c>
      <c r="BB73" s="6">
        <v>3.6323315452817404</v>
      </c>
      <c r="BC73" s="6">
        <v>0</v>
      </c>
      <c r="BD73" s="6">
        <v>2.1029287893736393</v>
      </c>
      <c r="BE73" s="6">
        <v>0</v>
      </c>
      <c r="BF73" s="6">
        <v>3.6323315452817404</v>
      </c>
      <c r="BG73" s="6">
        <v>2.9823353740207974</v>
      </c>
      <c r="BH73" s="6">
        <v>9.176416535448606</v>
      </c>
      <c r="BI73" s="6">
        <v>3.6323315452817404</v>
      </c>
      <c r="BJ73" s="6">
        <v>0</v>
      </c>
      <c r="BK73" s="6">
        <v>3.6323315452817404</v>
      </c>
      <c r="BL73" s="6">
        <v>0</v>
      </c>
      <c r="BM73" s="6">
        <v>3.6323315452817404</v>
      </c>
      <c r="BN73" s="6">
        <v>3.6323315452817404</v>
      </c>
      <c r="BO73" s="6">
        <v>3.6323315452817404</v>
      </c>
      <c r="BP73" s="6">
        <v>4.588208267724303</v>
      </c>
      <c r="BQ73" s="6">
        <v>3.6323315452817404</v>
      </c>
      <c r="BR73" s="6">
        <v>0</v>
      </c>
      <c r="BS73" s="6">
        <v>3.4411562007932277</v>
      </c>
      <c r="BT73" s="6">
        <v>0</v>
      </c>
      <c r="BU73" s="6">
        <v>3.4411562007932277</v>
      </c>
      <c r="BV73" s="6">
        <v>3.4411562007932277</v>
      </c>
      <c r="BW73" s="6">
        <v>3.0588055118162023</v>
      </c>
      <c r="BX73" s="6">
        <v>4.588208267724303</v>
      </c>
      <c r="BY73" s="6">
        <v>0</v>
      </c>
      <c r="BZ73" s="6">
        <v>4.9705589567013284</v>
      </c>
      <c r="CA73" s="6">
        <v>13.382274114195885</v>
      </c>
      <c r="CB73" s="6">
        <v>0</v>
      </c>
      <c r="CC73" s="6">
        <v>0</v>
      </c>
      <c r="CD73" s="6">
        <v>3.0588055118162023</v>
      </c>
      <c r="CE73" s="6">
        <v>1.1470520669310758</v>
      </c>
      <c r="CF73" s="6">
        <v>2.4852794783506642</v>
      </c>
      <c r="CG73" s="6">
        <v>3.4411562007932277</v>
      </c>
      <c r="CH73" s="6">
        <v>3.0588055118162023</v>
      </c>
      <c r="CI73" s="6">
        <v>0</v>
      </c>
      <c r="CJ73" s="6">
        <v>4.2058575787472785</v>
      </c>
      <c r="CK73" s="6">
        <v>1.1470520669310758</v>
      </c>
      <c r="CL73" s="6">
        <v>5.3529096456783538</v>
      </c>
      <c r="CM73" s="6">
        <v>3.249980856304715</v>
      </c>
      <c r="CN73" s="6">
        <v>11.470520669310758</v>
      </c>
      <c r="CO73" s="6">
        <v>0</v>
      </c>
      <c r="CP73" s="6">
        <v>3.4411562007932277</v>
      </c>
      <c r="CQ73" s="6">
        <v>3.4411562007932277</v>
      </c>
      <c r="CR73" s="6">
        <v>3.6323315452817404</v>
      </c>
      <c r="CS73" s="6">
        <v>4.588208267724303</v>
      </c>
      <c r="CT73" s="6">
        <v>3.6323315452817404</v>
      </c>
      <c r="CU73" s="6">
        <v>17.779307037431675</v>
      </c>
      <c r="CV73" s="6">
        <v>0.76470137795405058</v>
      </c>
      <c r="CW73" s="6">
        <v>3.4411562007932277</v>
      </c>
      <c r="CX73" s="6">
        <v>3.8235068897702527</v>
      </c>
      <c r="CY73" s="6">
        <v>9.176416535448606</v>
      </c>
      <c r="CZ73" s="6">
        <v>0</v>
      </c>
      <c r="DA73" s="6">
        <v>0</v>
      </c>
      <c r="DB73" s="6">
        <v>2.2941041338621515</v>
      </c>
      <c r="DC73" s="6">
        <v>0</v>
      </c>
      <c r="DD73" s="6">
        <v>0</v>
      </c>
      <c r="DE73" s="6">
        <v>8.0293644685175316</v>
      </c>
      <c r="DF73" s="6">
        <v>0</v>
      </c>
      <c r="DG73" s="6">
        <v>2.6764548228391769</v>
      </c>
      <c r="DH73" s="6">
        <v>3.4411562007932277</v>
      </c>
      <c r="DI73" s="6">
        <v>3.6323315452817404</v>
      </c>
      <c r="DJ73" s="6">
        <v>0</v>
      </c>
      <c r="DK73" s="6">
        <v>3.6323315452817404</v>
      </c>
      <c r="DL73" s="6">
        <v>0</v>
      </c>
      <c r="DM73" s="6">
        <v>0</v>
      </c>
      <c r="DN73" s="6">
        <v>0</v>
      </c>
      <c r="DO73" s="6">
        <v>0.95587672244256316</v>
      </c>
      <c r="DP73" s="6">
        <v>6.8823124015864554</v>
      </c>
      <c r="DQ73" s="6">
        <v>0</v>
      </c>
      <c r="DR73" s="6">
        <v>2.1029287893736393</v>
      </c>
      <c r="DS73" s="6">
        <v>0</v>
      </c>
      <c r="DT73" s="6">
        <v>12.426397391753321</v>
      </c>
      <c r="DU73" s="6">
        <v>0</v>
      </c>
      <c r="DV73" s="6">
        <v>0</v>
      </c>
      <c r="DW73" s="6">
        <v>3.6323315452817404</v>
      </c>
      <c r="DX73" s="6">
        <v>2.2941041338621515</v>
      </c>
      <c r="DY73" s="6">
        <v>10.705819291356708</v>
      </c>
      <c r="DZ73" s="6">
        <v>0</v>
      </c>
      <c r="EA73" s="6">
        <v>0.76470137795405058</v>
      </c>
      <c r="EB73" s="6">
        <v>3.6323315452817404</v>
      </c>
      <c r="EC73" s="6">
        <v>0</v>
      </c>
      <c r="ED73" s="6">
        <v>5.1617343011898411</v>
      </c>
      <c r="EE73" s="6">
        <v>0.76470137795405058</v>
      </c>
      <c r="EF73" s="6">
        <v>1.9117534448851263</v>
      </c>
      <c r="EG73" s="6">
        <v>1.1470520669310758</v>
      </c>
      <c r="EH73" s="6">
        <v>0</v>
      </c>
      <c r="EI73" s="6">
        <v>4.7793836122128157</v>
      </c>
      <c r="EJ73" s="6">
        <v>0</v>
      </c>
      <c r="EK73" s="6">
        <v>2.2941041338621515</v>
      </c>
      <c r="EL73" s="6">
        <v>12.99992342521886</v>
      </c>
      <c r="EM73" s="6">
        <v>2.2941041338621515</v>
      </c>
      <c r="EN73" s="6">
        <v>0</v>
      </c>
      <c r="EO73" s="6">
        <v>0</v>
      </c>
      <c r="EP73" s="6">
        <v>5.3529096456783538</v>
      </c>
      <c r="EQ73" s="6">
        <v>1.1470520669310758</v>
      </c>
      <c r="ER73" s="6">
        <v>1.1470520669310758</v>
      </c>
      <c r="ES73" s="6">
        <v>0</v>
      </c>
      <c r="ET73" s="6">
        <v>0</v>
      </c>
      <c r="EU73" s="6">
        <v>0</v>
      </c>
      <c r="EV73" s="6">
        <v>8.6028905019830688</v>
      </c>
      <c r="EW73" s="6">
        <v>4.2058575787472785</v>
      </c>
      <c r="EX73" s="6">
        <v>0</v>
      </c>
      <c r="EY73" s="6">
        <v>2.2941041338621515</v>
      </c>
      <c r="EZ73" s="6">
        <v>0</v>
      </c>
      <c r="FA73" s="6">
        <v>1.5294027559081012</v>
      </c>
      <c r="FB73" s="6">
        <v>0</v>
      </c>
      <c r="FC73" s="6">
        <v>0</v>
      </c>
      <c r="FD73" s="6">
        <v>1.1470520669310758</v>
      </c>
      <c r="FE73" s="6">
        <v>1.5294027559081012</v>
      </c>
      <c r="FF73" s="6">
        <v>0</v>
      </c>
      <c r="FG73" s="6">
        <v>0</v>
      </c>
      <c r="FH73" s="6">
        <v>5.7352603346553792</v>
      </c>
      <c r="FI73" s="6">
        <v>8.411715157494557</v>
      </c>
      <c r="FJ73" s="6">
        <v>0</v>
      </c>
      <c r="FK73" s="6">
        <v>4.588208267724303</v>
      </c>
      <c r="FL73" s="6">
        <v>0</v>
      </c>
      <c r="FM73" s="6">
        <v>11.852871358287784</v>
      </c>
      <c r="FN73" s="6">
        <v>0</v>
      </c>
      <c r="FO73" s="6">
        <v>1.1470520669310758</v>
      </c>
      <c r="FP73" s="6">
        <v>0</v>
      </c>
      <c r="FQ73" s="6">
        <v>7.6470137795405053</v>
      </c>
      <c r="FR73" s="6">
        <v>0.57352603346553788</v>
      </c>
      <c r="FS73" s="6">
        <v>1.1470520669310758</v>
      </c>
      <c r="FT73" s="6">
        <v>0</v>
      </c>
      <c r="FU73" s="6">
        <v>0</v>
      </c>
      <c r="FV73" s="6">
        <v>0.38235068897702529</v>
      </c>
      <c r="FW73" s="6">
        <v>0</v>
      </c>
      <c r="FX73" s="6">
        <v>9.176416535448606</v>
      </c>
      <c r="FY73" s="6">
        <v>0</v>
      </c>
      <c r="FZ73" s="6">
        <v>1.9117534448851263</v>
      </c>
      <c r="GA73" s="6">
        <v>0.57352603346553788</v>
      </c>
      <c r="GB73" s="6">
        <v>0.57352603346553788</v>
      </c>
      <c r="GC73" s="6">
        <v>0</v>
      </c>
      <c r="GD73" s="6">
        <v>0</v>
      </c>
      <c r="GE73" s="6">
        <v>3.0588055118162023</v>
      </c>
      <c r="GF73" s="6">
        <v>3.249980856304715</v>
      </c>
      <c r="GG73" s="6">
        <v>0.76470137795405058</v>
      </c>
      <c r="GH73" s="6">
        <v>0</v>
      </c>
      <c r="GI73" s="6">
        <v>0.91764165354486071</v>
      </c>
      <c r="GJ73" s="6">
        <v>0</v>
      </c>
      <c r="GK73" s="6">
        <v>1.7205781003966139</v>
      </c>
      <c r="GL73" s="6">
        <v>0</v>
      </c>
      <c r="GM73" s="6">
        <v>0</v>
      </c>
      <c r="GN73" s="6">
        <v>0</v>
      </c>
      <c r="GO73" s="6">
        <v>0</v>
      </c>
      <c r="GP73" s="6">
        <v>1.1470520669310758</v>
      </c>
      <c r="GQ73" s="6">
        <v>0</v>
      </c>
      <c r="GR73" s="6">
        <v>0.95587672244256316</v>
      </c>
      <c r="GS73" s="6">
        <v>1.1470520669310758</v>
      </c>
      <c r="GT73" s="6">
        <v>7.6470137795405053</v>
      </c>
      <c r="GU73" s="6">
        <v>0.57352603346553788</v>
      </c>
      <c r="GV73" s="6">
        <v>0</v>
      </c>
      <c r="GW73" s="6">
        <v>0</v>
      </c>
      <c r="GX73" s="6">
        <v>0</v>
      </c>
      <c r="GY73" s="6">
        <v>0</v>
      </c>
      <c r="GZ73" s="6">
        <v>0</v>
      </c>
      <c r="HA73" s="6">
        <v>0</v>
      </c>
      <c r="HB73" s="6">
        <v>4.588208267724303</v>
      </c>
      <c r="HC73" s="6">
        <v>0.57352603346553788</v>
      </c>
      <c r="HD73" s="6">
        <v>0.76470137795405058</v>
      </c>
      <c r="HE73" s="6">
        <v>3.8235068897702527</v>
      </c>
      <c r="HF73" s="6">
        <v>0.57352603346553788</v>
      </c>
      <c r="HG73" s="6">
        <v>4.2058575787472785</v>
      </c>
      <c r="HH73" s="6">
        <v>0</v>
      </c>
      <c r="HI73" s="6">
        <v>0</v>
      </c>
      <c r="HJ73" s="6">
        <v>0</v>
      </c>
      <c r="HK73" s="6">
        <v>0</v>
      </c>
      <c r="HL73" s="6">
        <v>0</v>
      </c>
      <c r="HM73" s="6">
        <v>0</v>
      </c>
      <c r="HN73" s="6">
        <v>0</v>
      </c>
      <c r="HO73" s="6">
        <v>0</v>
      </c>
      <c r="HP73" s="6">
        <v>0</v>
      </c>
      <c r="HQ73" s="6">
        <v>0</v>
      </c>
      <c r="HR73" s="6">
        <v>0</v>
      </c>
      <c r="HS73" s="6">
        <v>0</v>
      </c>
      <c r="HT73" s="6">
        <v>0</v>
      </c>
      <c r="HU73" s="6">
        <v>0</v>
      </c>
      <c r="HV73" s="6">
        <v>0</v>
      </c>
      <c r="HW73" s="198">
        <v>0</v>
      </c>
      <c r="HX73" s="63">
        <v>0</v>
      </c>
      <c r="HY73" s="28">
        <v>517.77930301268736</v>
      </c>
      <c r="IA73" s="20">
        <v>6.3989275047032068</v>
      </c>
      <c r="IB73" s="20">
        <v>6.3989275047032068</v>
      </c>
      <c r="II73" s="74" t="s">
        <v>148</v>
      </c>
      <c r="JE73" s="74" t="s">
        <v>148</v>
      </c>
      <c r="JF73" s="63">
        <v>0</v>
      </c>
      <c r="JG73" s="63">
        <v>104.76408877970491</v>
      </c>
      <c r="JH73" s="63">
        <v>69.511355256023222</v>
      </c>
      <c r="JI73" s="63">
        <v>111.45522583680288</v>
      </c>
      <c r="JJ73" s="63">
        <v>79.911293996198282</v>
      </c>
      <c r="JK73" s="63">
        <v>62.705512992232137</v>
      </c>
      <c r="JL73" s="63">
        <v>61.711401200891899</v>
      </c>
      <c r="JM73" s="63">
        <v>27.720424950834328</v>
      </c>
      <c r="JQ73" s="142"/>
    </row>
    <row r="74" spans="2:277" outlineLevel="1">
      <c r="B74" t="s">
        <v>21</v>
      </c>
      <c r="C74" s="72" t="s">
        <v>153</v>
      </c>
      <c r="D74" s="6">
        <v>0</v>
      </c>
      <c r="E74" s="6">
        <v>7.6470137795405053</v>
      </c>
      <c r="F74" s="6">
        <v>0</v>
      </c>
      <c r="G74" s="6">
        <v>0</v>
      </c>
      <c r="H74" s="6">
        <v>0.76470137795405058</v>
      </c>
      <c r="I74" s="6">
        <v>0</v>
      </c>
      <c r="J74" s="6">
        <v>1.9117534448851263</v>
      </c>
      <c r="K74" s="6">
        <v>0.38235068897702529</v>
      </c>
      <c r="L74" s="6">
        <v>0.76470137795405058</v>
      </c>
      <c r="M74" s="6">
        <v>0</v>
      </c>
      <c r="N74" s="6">
        <v>1.1470520669310758</v>
      </c>
      <c r="O74" s="6">
        <v>0</v>
      </c>
      <c r="P74" s="6">
        <v>0</v>
      </c>
      <c r="Q74" s="6">
        <v>0</v>
      </c>
      <c r="R74" s="6">
        <v>0</v>
      </c>
      <c r="S74" s="6">
        <v>3.8235068897702527</v>
      </c>
      <c r="T74" s="6">
        <v>0</v>
      </c>
      <c r="U74" s="6">
        <v>2.2941041338621515</v>
      </c>
      <c r="V74" s="6">
        <v>0</v>
      </c>
      <c r="W74" s="6">
        <v>3.4411562007932277</v>
      </c>
      <c r="X74" s="6">
        <v>0</v>
      </c>
      <c r="Y74" s="6">
        <v>4.9705589567013284</v>
      </c>
      <c r="Z74" s="6">
        <v>1.1470520669310758</v>
      </c>
      <c r="AA74" s="6">
        <v>7.6470137795405053</v>
      </c>
      <c r="AB74" s="6">
        <v>0</v>
      </c>
      <c r="AC74" s="6">
        <v>1.5294027559081012</v>
      </c>
      <c r="AD74" s="6">
        <v>4.9705589567013284</v>
      </c>
      <c r="AE74" s="6">
        <v>0</v>
      </c>
      <c r="AF74" s="6">
        <v>2.6764548228391769</v>
      </c>
      <c r="AG74" s="6">
        <v>0</v>
      </c>
      <c r="AH74" s="6">
        <v>0</v>
      </c>
      <c r="AI74" s="6">
        <v>0</v>
      </c>
      <c r="AJ74" s="6">
        <v>0.38235068897702529</v>
      </c>
      <c r="AK74" s="6">
        <v>0.38235068897702529</v>
      </c>
      <c r="AL74" s="6">
        <v>0</v>
      </c>
      <c r="AM74" s="6">
        <v>0.38235068897702529</v>
      </c>
      <c r="AN74" s="6">
        <v>0.38235068897702529</v>
      </c>
      <c r="AO74" s="6">
        <v>0</v>
      </c>
      <c r="AP74" s="6">
        <v>0</v>
      </c>
      <c r="AQ74" s="6">
        <v>0</v>
      </c>
      <c r="AR74" s="6">
        <v>0</v>
      </c>
      <c r="AS74" s="6">
        <v>0.76470137795405058</v>
      </c>
      <c r="AT74" s="6">
        <v>0</v>
      </c>
      <c r="AU74" s="6">
        <v>0.38235068897702529</v>
      </c>
      <c r="AV74" s="6">
        <v>0.38235068897702529</v>
      </c>
      <c r="AW74" s="6">
        <v>0.38235068897702529</v>
      </c>
      <c r="AX74" s="6">
        <v>0.38235068897702529</v>
      </c>
      <c r="AY74" s="6">
        <v>0.38235068897702529</v>
      </c>
      <c r="AZ74" s="6">
        <v>0.38235068897702529</v>
      </c>
      <c r="BA74" s="6">
        <v>0.76470137795405058</v>
      </c>
      <c r="BB74" s="6">
        <v>0.38235068897702529</v>
      </c>
      <c r="BC74" s="6">
        <v>0</v>
      </c>
      <c r="BD74" s="6">
        <v>0.38235068897702529</v>
      </c>
      <c r="BE74" s="6">
        <v>0</v>
      </c>
      <c r="BF74" s="6">
        <v>0.38235068897702529</v>
      </c>
      <c r="BG74" s="6">
        <v>0</v>
      </c>
      <c r="BH74" s="6">
        <v>3.8235068897702527</v>
      </c>
      <c r="BI74" s="6">
        <v>0.38235068897702529</v>
      </c>
      <c r="BJ74" s="6">
        <v>0</v>
      </c>
      <c r="BK74" s="6">
        <v>0.38235068897702529</v>
      </c>
      <c r="BL74" s="6">
        <v>0.38235068897702529</v>
      </c>
      <c r="BM74" s="6">
        <v>0.38235068897702529</v>
      </c>
      <c r="BN74" s="6">
        <v>0.38235068897702529</v>
      </c>
      <c r="BO74" s="6">
        <v>0.38235068897702529</v>
      </c>
      <c r="BP74" s="6">
        <v>3.8235068897702527</v>
      </c>
      <c r="BQ74" s="6">
        <v>0.38235068897702529</v>
      </c>
      <c r="BR74" s="6">
        <v>0</v>
      </c>
      <c r="BS74" s="6">
        <v>0.38235068897702529</v>
      </c>
      <c r="BT74" s="6">
        <v>0</v>
      </c>
      <c r="BU74" s="6">
        <v>0.57352603346553788</v>
      </c>
      <c r="BV74" s="6">
        <v>0.38235068897702529</v>
      </c>
      <c r="BW74" s="6">
        <v>0.38235068897702529</v>
      </c>
      <c r="BX74" s="6">
        <v>0</v>
      </c>
      <c r="BY74" s="6">
        <v>0.38235068897702529</v>
      </c>
      <c r="BZ74" s="6">
        <v>0.76470137795405058</v>
      </c>
      <c r="CA74" s="6">
        <v>0.57352603346553788</v>
      </c>
      <c r="CB74" s="6">
        <v>0</v>
      </c>
      <c r="CC74" s="6">
        <v>0.57352603346553788</v>
      </c>
      <c r="CD74" s="6">
        <v>0</v>
      </c>
      <c r="CE74" s="6">
        <v>0.38235068897702529</v>
      </c>
      <c r="CF74" s="6">
        <v>0</v>
      </c>
      <c r="CG74" s="6">
        <v>0.38235068897702529</v>
      </c>
      <c r="CH74" s="6">
        <v>0.38235068897702529</v>
      </c>
      <c r="CI74" s="6">
        <v>0</v>
      </c>
      <c r="CJ74" s="6">
        <v>0.95587672244256316</v>
      </c>
      <c r="CK74" s="6">
        <v>0.57352603346553788</v>
      </c>
      <c r="CL74" s="6">
        <v>0.38235068897702529</v>
      </c>
      <c r="CM74" s="6">
        <v>0.95587672244256316</v>
      </c>
      <c r="CN74" s="6">
        <v>0</v>
      </c>
      <c r="CO74" s="6">
        <v>0.57352603346553788</v>
      </c>
      <c r="CP74" s="6">
        <v>0.38235068897702529</v>
      </c>
      <c r="CQ74" s="6">
        <v>0.38235068897702529</v>
      </c>
      <c r="CR74" s="6">
        <v>1.5294027559081012</v>
      </c>
      <c r="CS74" s="6">
        <v>0</v>
      </c>
      <c r="CT74" s="6">
        <v>0</v>
      </c>
      <c r="CU74" s="6">
        <v>0</v>
      </c>
      <c r="CV74" s="6">
        <v>0</v>
      </c>
      <c r="CW74" s="6">
        <v>0.38235068897702529</v>
      </c>
      <c r="CX74" s="6">
        <v>0</v>
      </c>
      <c r="CY74" s="6">
        <v>0.38235068897702529</v>
      </c>
      <c r="CZ74" s="6">
        <v>0</v>
      </c>
      <c r="DA74" s="6">
        <v>0</v>
      </c>
      <c r="DB74" s="6">
        <v>3.8235068897702527</v>
      </c>
      <c r="DC74" s="6">
        <v>0.38235068897702529</v>
      </c>
      <c r="DD74" s="6">
        <v>0</v>
      </c>
      <c r="DE74" s="6">
        <v>0.57352603346553788</v>
      </c>
      <c r="DF74" s="6">
        <v>0.38235068897702529</v>
      </c>
      <c r="DG74" s="6">
        <v>0</v>
      </c>
      <c r="DH74" s="6">
        <v>1.1470520669310758</v>
      </c>
      <c r="DI74" s="6">
        <v>0.38235068897702529</v>
      </c>
      <c r="DJ74" s="6">
        <v>0</v>
      </c>
      <c r="DK74" s="6">
        <v>0</v>
      </c>
      <c r="DL74" s="6">
        <v>0.38235068897702529</v>
      </c>
      <c r="DM74" s="6">
        <v>0</v>
      </c>
      <c r="DN74" s="6">
        <v>0.57352603346553788</v>
      </c>
      <c r="DO74" s="6">
        <v>0.57352603346553788</v>
      </c>
      <c r="DP74" s="6">
        <v>0</v>
      </c>
      <c r="DQ74" s="6">
        <v>0</v>
      </c>
      <c r="DR74" s="6">
        <v>0.38235068897702529</v>
      </c>
      <c r="DS74" s="6">
        <v>0.57352603346553788</v>
      </c>
      <c r="DT74" s="6">
        <v>0.57352603346553788</v>
      </c>
      <c r="DU74" s="6">
        <v>0.57352603346553788</v>
      </c>
      <c r="DV74" s="6">
        <v>0</v>
      </c>
      <c r="DW74" s="6">
        <v>0.57352603346553788</v>
      </c>
      <c r="DX74" s="6">
        <v>0.57352603346553788</v>
      </c>
      <c r="DY74" s="6">
        <v>0.57352603346553788</v>
      </c>
      <c r="DZ74" s="6">
        <v>0</v>
      </c>
      <c r="EA74" s="6">
        <v>0.57352603346553788</v>
      </c>
      <c r="EB74" s="6">
        <v>0.38235068897702529</v>
      </c>
      <c r="EC74" s="6">
        <v>0</v>
      </c>
      <c r="ED74" s="6">
        <v>0.57352603346553788</v>
      </c>
      <c r="EE74" s="6">
        <v>0.38235068897702529</v>
      </c>
      <c r="EF74" s="6">
        <v>0</v>
      </c>
      <c r="EG74" s="6">
        <v>0.38235068897702529</v>
      </c>
      <c r="EH74" s="6">
        <v>0</v>
      </c>
      <c r="EI74" s="6">
        <v>0.38235068897702529</v>
      </c>
      <c r="EJ74" s="6">
        <v>0.38235068897702529</v>
      </c>
      <c r="EK74" s="6">
        <v>0.45882082677243036</v>
      </c>
      <c r="EL74" s="6">
        <v>1.5294027559081012</v>
      </c>
      <c r="EM74" s="6">
        <v>0</v>
      </c>
      <c r="EN74" s="6">
        <v>0.57352603346553788</v>
      </c>
      <c r="EO74" s="6">
        <v>0.57352603346553788</v>
      </c>
      <c r="EP74" s="6">
        <v>0.38235068897702529</v>
      </c>
      <c r="EQ74" s="6">
        <v>0.38235068897702529</v>
      </c>
      <c r="ER74" s="6">
        <v>0.38235068897702529</v>
      </c>
      <c r="ES74" s="6">
        <v>0.38235068897702529</v>
      </c>
      <c r="ET74" s="6">
        <v>3.8235068897702527</v>
      </c>
      <c r="EU74" s="6">
        <v>0</v>
      </c>
      <c r="EV74" s="6">
        <v>0.38235068897702529</v>
      </c>
      <c r="EW74" s="6">
        <v>0</v>
      </c>
      <c r="EX74" s="6">
        <v>0</v>
      </c>
      <c r="EY74" s="6">
        <v>0</v>
      </c>
      <c r="EZ74" s="6">
        <v>0</v>
      </c>
      <c r="FA74" s="6">
        <v>3.4411562007932277</v>
      </c>
      <c r="FB74" s="6">
        <v>0</v>
      </c>
      <c r="FC74" s="6">
        <v>0</v>
      </c>
      <c r="FD74" s="6">
        <v>0</v>
      </c>
      <c r="FE74" s="6">
        <v>0.38235068897702529</v>
      </c>
      <c r="FF74" s="6">
        <v>0</v>
      </c>
      <c r="FG74" s="6">
        <v>0</v>
      </c>
      <c r="FH74" s="6">
        <v>3.8235068897702527</v>
      </c>
      <c r="FI74" s="6">
        <v>0.38235068897702529</v>
      </c>
      <c r="FJ74" s="6">
        <v>0.38235068897702529</v>
      </c>
      <c r="FK74" s="6">
        <v>0</v>
      </c>
      <c r="FL74" s="6">
        <v>1.2235222047264809</v>
      </c>
      <c r="FM74" s="6">
        <v>4.2058575787472785</v>
      </c>
      <c r="FN74" s="6">
        <v>0.38235068897702529</v>
      </c>
      <c r="FO74" s="6">
        <v>0.49705589567013286</v>
      </c>
      <c r="FP74" s="6">
        <v>0</v>
      </c>
      <c r="FQ74" s="6">
        <v>0.38235068897702529</v>
      </c>
      <c r="FR74" s="6">
        <v>0.38235068897702529</v>
      </c>
      <c r="FS74" s="6">
        <v>4.588208267724303</v>
      </c>
      <c r="FT74" s="6">
        <v>0</v>
      </c>
      <c r="FU74" s="6">
        <v>0</v>
      </c>
      <c r="FV74" s="6">
        <v>3.0588055118162023</v>
      </c>
      <c r="FW74" s="6">
        <v>4.2058575787472785</v>
      </c>
      <c r="FX74" s="6">
        <v>0.38235068897702529</v>
      </c>
      <c r="FY74" s="6">
        <v>0.38235068897702529</v>
      </c>
      <c r="FZ74" s="6">
        <v>2.2941041338621515</v>
      </c>
      <c r="GA74" s="6">
        <v>4.2058575787472785</v>
      </c>
      <c r="GB74" s="6">
        <v>0</v>
      </c>
      <c r="GC74" s="6">
        <v>0</v>
      </c>
      <c r="GD74" s="6">
        <v>3.8235068897702527</v>
      </c>
      <c r="GE74" s="6">
        <v>0</v>
      </c>
      <c r="GF74" s="6">
        <v>0.45882082677243036</v>
      </c>
      <c r="GG74" s="6">
        <v>0</v>
      </c>
      <c r="GH74" s="6">
        <v>0.34411562007932278</v>
      </c>
      <c r="GI74" s="6">
        <v>4.588208267724303</v>
      </c>
      <c r="GJ74" s="6">
        <v>0</v>
      </c>
      <c r="GK74" s="6">
        <v>0.34411562007932278</v>
      </c>
      <c r="GL74" s="6">
        <v>0</v>
      </c>
      <c r="GM74" s="6">
        <v>0</v>
      </c>
      <c r="GN74" s="6">
        <v>0</v>
      </c>
      <c r="GO74" s="6">
        <v>4.2058575787472785</v>
      </c>
      <c r="GP74" s="6">
        <v>0.38235068897702529</v>
      </c>
      <c r="GQ74" s="6">
        <v>0</v>
      </c>
      <c r="GR74" s="6">
        <v>0.49705589567013286</v>
      </c>
      <c r="GS74" s="6">
        <v>0.38235068897702529</v>
      </c>
      <c r="GT74" s="6">
        <v>16.823430314989114</v>
      </c>
      <c r="GU74" s="6">
        <v>3.4411562007932277</v>
      </c>
      <c r="GV74" s="6">
        <v>0</v>
      </c>
      <c r="GW74" s="6">
        <v>0</v>
      </c>
      <c r="GX74" s="6">
        <v>0.38235068897702529</v>
      </c>
      <c r="GY74" s="6">
        <v>0</v>
      </c>
      <c r="GZ74" s="6">
        <v>0</v>
      </c>
      <c r="HA74" s="6">
        <v>0</v>
      </c>
      <c r="HB74" s="6">
        <v>0</v>
      </c>
      <c r="HC74" s="6">
        <v>0.38235068897702529</v>
      </c>
      <c r="HD74" s="6">
        <v>0.57352603346553788</v>
      </c>
      <c r="HE74" s="6">
        <v>0</v>
      </c>
      <c r="HF74" s="6">
        <v>0</v>
      </c>
      <c r="HG74" s="6">
        <v>0</v>
      </c>
      <c r="HH74" s="6">
        <v>0</v>
      </c>
      <c r="HI74" s="6">
        <v>0</v>
      </c>
      <c r="HJ74" s="6">
        <v>0</v>
      </c>
      <c r="HK74" s="6">
        <v>0</v>
      </c>
      <c r="HL74" s="6">
        <v>0</v>
      </c>
      <c r="HM74" s="6">
        <v>0</v>
      </c>
      <c r="HN74" s="6">
        <v>0</v>
      </c>
      <c r="HO74" s="6">
        <v>0</v>
      </c>
      <c r="HP74" s="6">
        <v>0</v>
      </c>
      <c r="HQ74" s="6">
        <v>0</v>
      </c>
      <c r="HR74" s="6">
        <v>0</v>
      </c>
      <c r="HS74" s="6">
        <v>0</v>
      </c>
      <c r="HT74" s="6">
        <v>0</v>
      </c>
      <c r="HU74" s="6">
        <v>0</v>
      </c>
      <c r="HV74" s="6">
        <v>0</v>
      </c>
      <c r="HW74" s="198">
        <v>0</v>
      </c>
      <c r="HX74" s="63">
        <v>0</v>
      </c>
      <c r="HY74" s="28">
        <v>168.8078291833568</v>
      </c>
      <c r="IA74" s="20">
        <v>3.4448640112150408</v>
      </c>
      <c r="IB74" s="23">
        <v>1.7224320056075204</v>
      </c>
      <c r="II74" s="72" t="s">
        <v>153</v>
      </c>
      <c r="JE74" s="72" t="s">
        <v>153</v>
      </c>
      <c r="JF74" s="63">
        <v>8.4117151574945552</v>
      </c>
      <c r="JG74" s="63">
        <v>37.852718208725506</v>
      </c>
      <c r="JH74" s="63">
        <v>15.676378248058038</v>
      </c>
      <c r="JI74" s="63">
        <v>10.896994635845221</v>
      </c>
      <c r="JJ74" s="63">
        <v>12.808748080730341</v>
      </c>
      <c r="JK74" s="63">
        <v>15.752848385853442</v>
      </c>
      <c r="JL74" s="63">
        <v>39.993882066996846</v>
      </c>
      <c r="JM74" s="63">
        <v>27.414544399652712</v>
      </c>
      <c r="JQ74" s="142"/>
    </row>
    <row r="75" spans="2:277" outlineLevel="1">
      <c r="B75" t="s">
        <v>21</v>
      </c>
      <c r="C75" s="73" t="s">
        <v>233</v>
      </c>
      <c r="D75" s="6">
        <v>0</v>
      </c>
      <c r="E75" s="6">
        <v>0</v>
      </c>
      <c r="F75" s="6">
        <v>13.038158494116562</v>
      </c>
      <c r="G75" s="6">
        <v>13.038158494116562</v>
      </c>
      <c r="H75" s="6">
        <v>13.038158494116562</v>
      </c>
      <c r="I75" s="6">
        <v>13.038158494116562</v>
      </c>
      <c r="J75" s="6">
        <v>13.038158494116562</v>
      </c>
      <c r="K75" s="6">
        <v>13.038158494116562</v>
      </c>
      <c r="L75" s="6">
        <v>13.038158494116562</v>
      </c>
      <c r="M75" s="6">
        <v>13.038158494116562</v>
      </c>
      <c r="N75" s="6">
        <v>13.038158494116562</v>
      </c>
      <c r="O75" s="6">
        <v>13.038158494116562</v>
      </c>
      <c r="P75" s="6">
        <v>13.344039045298182</v>
      </c>
      <c r="Q75" s="6">
        <v>13.038158494116562</v>
      </c>
      <c r="R75" s="6">
        <v>13.611684527582099</v>
      </c>
      <c r="S75" s="6">
        <v>13.611684527582099</v>
      </c>
      <c r="T75" s="6">
        <v>13.611684527582099</v>
      </c>
      <c r="U75" s="6">
        <v>13.611684527582099</v>
      </c>
      <c r="V75" s="6">
        <v>13.611684527582099</v>
      </c>
      <c r="W75" s="6">
        <v>0</v>
      </c>
      <c r="X75" s="6">
        <v>0</v>
      </c>
      <c r="Y75" s="6">
        <v>0</v>
      </c>
      <c r="Z75" s="6">
        <v>13.382274114195885</v>
      </c>
      <c r="AA75" s="6">
        <v>13.382274114195885</v>
      </c>
      <c r="AB75" s="6">
        <v>13.382274114195885</v>
      </c>
      <c r="AC75" s="6">
        <v>13.382274114195885</v>
      </c>
      <c r="AD75" s="6">
        <v>13.382274114195885</v>
      </c>
      <c r="AE75" s="6">
        <v>13.382274114195885</v>
      </c>
      <c r="AF75" s="6">
        <v>26.764548228391771</v>
      </c>
      <c r="AG75" s="6">
        <v>19.117534448851263</v>
      </c>
      <c r="AH75" s="6">
        <v>19.117534448851263</v>
      </c>
      <c r="AI75" s="6">
        <v>19.117534448851263</v>
      </c>
      <c r="AJ75" s="6">
        <v>19.117534448851263</v>
      </c>
      <c r="AK75" s="6">
        <v>19.117534448851263</v>
      </c>
      <c r="AL75" s="6">
        <v>19.117534448851263</v>
      </c>
      <c r="AM75" s="6">
        <v>19.117534448851263</v>
      </c>
      <c r="AN75" s="6">
        <v>19.117534448851263</v>
      </c>
      <c r="AO75" s="6">
        <v>19.117534448851263</v>
      </c>
      <c r="AP75" s="6">
        <v>19.117534448851263</v>
      </c>
      <c r="AQ75" s="6">
        <v>19.117534448851263</v>
      </c>
      <c r="AR75" s="6">
        <v>19.117534448851263</v>
      </c>
      <c r="AS75" s="6">
        <v>19.117534448851263</v>
      </c>
      <c r="AT75" s="6">
        <v>19.117534448851263</v>
      </c>
      <c r="AU75" s="6">
        <v>19.117534448851263</v>
      </c>
      <c r="AV75" s="6">
        <v>19.117534448851263</v>
      </c>
      <c r="AW75" s="6">
        <v>16.727842642744857</v>
      </c>
      <c r="AX75" s="6">
        <v>16.727842642744857</v>
      </c>
      <c r="AY75" s="6">
        <v>16.727842642744857</v>
      </c>
      <c r="AZ75" s="6">
        <v>16.727842642744857</v>
      </c>
      <c r="BA75" s="6">
        <v>16.727842642744857</v>
      </c>
      <c r="BB75" s="6">
        <v>16.727842642744857</v>
      </c>
      <c r="BC75" s="6">
        <v>16.727842642744857</v>
      </c>
      <c r="BD75" s="6">
        <v>16.727842642744857</v>
      </c>
      <c r="BE75" s="6">
        <v>16.727842642744857</v>
      </c>
      <c r="BF75" s="6">
        <v>16.727842642744857</v>
      </c>
      <c r="BG75" s="6">
        <v>16.727842642744857</v>
      </c>
      <c r="BH75" s="6">
        <v>16.727842642744857</v>
      </c>
      <c r="BI75" s="6">
        <v>16.727842642744857</v>
      </c>
      <c r="BJ75" s="6">
        <v>16.727842642744857</v>
      </c>
      <c r="BK75" s="6">
        <v>16.727842642744857</v>
      </c>
      <c r="BL75" s="6">
        <v>16.727842642744857</v>
      </c>
      <c r="BM75" s="6">
        <v>20.39190929521169</v>
      </c>
      <c r="BN75" s="6">
        <v>20.39190929521169</v>
      </c>
      <c r="BO75" s="6">
        <v>20.39190929521169</v>
      </c>
      <c r="BP75" s="6">
        <v>20.39190929521169</v>
      </c>
      <c r="BQ75" s="6">
        <v>20.39190929521169</v>
      </c>
      <c r="BR75" s="6">
        <v>20.39190929521169</v>
      </c>
      <c r="BS75" s="6">
        <v>20.39190929521169</v>
      </c>
      <c r="BT75" s="6">
        <v>20.39190929521169</v>
      </c>
      <c r="BU75" s="6">
        <v>20.39190929521169</v>
      </c>
      <c r="BV75" s="6">
        <v>20.39190929521169</v>
      </c>
      <c r="BW75" s="6">
        <v>20.39190929521169</v>
      </c>
      <c r="BX75" s="6">
        <v>20.39190929521169</v>
      </c>
      <c r="BY75" s="6">
        <v>20.39190929521169</v>
      </c>
      <c r="BZ75" s="6">
        <v>20.39190929521169</v>
      </c>
      <c r="CA75" s="6">
        <v>20.39190929521169</v>
      </c>
      <c r="CB75" s="6">
        <v>17.843033426763476</v>
      </c>
      <c r="CC75" s="6">
        <v>17.843033426763476</v>
      </c>
      <c r="CD75" s="6">
        <v>17.843033426763476</v>
      </c>
      <c r="CE75" s="6">
        <v>17.843033426763476</v>
      </c>
      <c r="CF75" s="6">
        <v>17.843033426763476</v>
      </c>
      <c r="CG75" s="6">
        <v>17.843033426763476</v>
      </c>
      <c r="CH75" s="6">
        <v>17.843033426763476</v>
      </c>
      <c r="CI75" s="6">
        <v>17.843033426763476</v>
      </c>
      <c r="CJ75" s="6">
        <v>17.843033426763476</v>
      </c>
      <c r="CK75" s="6">
        <v>17.843033426763476</v>
      </c>
      <c r="CL75" s="6">
        <v>17.843033426763476</v>
      </c>
      <c r="CM75" s="6">
        <v>17.843033426763476</v>
      </c>
      <c r="CN75" s="6">
        <v>17.843033426763476</v>
      </c>
      <c r="CO75" s="6">
        <v>17.843033426763476</v>
      </c>
      <c r="CP75" s="6">
        <v>16.727842642744857</v>
      </c>
      <c r="CQ75" s="6">
        <v>16.727842642744857</v>
      </c>
      <c r="CR75" s="6">
        <v>16.727842642744857</v>
      </c>
      <c r="CS75" s="6">
        <v>16.727842642744857</v>
      </c>
      <c r="CT75" s="6">
        <v>16.727842642744857</v>
      </c>
      <c r="CU75" s="6">
        <v>16.727842642744857</v>
      </c>
      <c r="CV75" s="6">
        <v>16.727842642744857</v>
      </c>
      <c r="CW75" s="6">
        <v>16.727842642744857</v>
      </c>
      <c r="CX75" s="6">
        <v>16.727842642744857</v>
      </c>
      <c r="CY75" s="6">
        <v>16.727842642744857</v>
      </c>
      <c r="CZ75" s="6">
        <v>16.727842642744857</v>
      </c>
      <c r="DA75" s="6">
        <v>16.727842642744857</v>
      </c>
      <c r="DB75" s="6">
        <v>16.727842642744857</v>
      </c>
      <c r="DC75" s="6">
        <v>16.727842642744857</v>
      </c>
      <c r="DD75" s="6">
        <v>16.727842642744857</v>
      </c>
      <c r="DE75" s="6">
        <v>16.727842642744857</v>
      </c>
      <c r="DF75" s="6">
        <v>17.843033426763476</v>
      </c>
      <c r="DG75" s="6">
        <v>17.843033426763476</v>
      </c>
      <c r="DH75" s="6">
        <v>17.843033426763476</v>
      </c>
      <c r="DI75" s="6">
        <v>17.843033426763476</v>
      </c>
      <c r="DJ75" s="6">
        <v>17.843033426763476</v>
      </c>
      <c r="DK75" s="6">
        <v>17.843033426763476</v>
      </c>
      <c r="DL75" s="6">
        <v>17.843033426763476</v>
      </c>
      <c r="DM75" s="6">
        <v>17.843033426763476</v>
      </c>
      <c r="DN75" s="6">
        <v>17.843033426763476</v>
      </c>
      <c r="DO75" s="6">
        <v>17.843033426763476</v>
      </c>
      <c r="DP75" s="6">
        <v>17.843033426763476</v>
      </c>
      <c r="DQ75" s="6">
        <v>17.843033426763476</v>
      </c>
      <c r="DR75" s="6">
        <v>17.843033426763476</v>
      </c>
      <c r="DS75" s="6">
        <v>17.843033426763476</v>
      </c>
      <c r="DT75" s="6">
        <v>17.843033426763476</v>
      </c>
      <c r="DU75" s="6">
        <v>17.843033426763476</v>
      </c>
      <c r="DV75" s="6">
        <v>17.843033426763476</v>
      </c>
      <c r="DW75" s="6">
        <v>17.843033426763476</v>
      </c>
      <c r="DX75" s="6">
        <v>17.843033426763476</v>
      </c>
      <c r="DY75" s="6">
        <v>17.843033426763476</v>
      </c>
      <c r="DZ75" s="6">
        <v>17.843033426763476</v>
      </c>
      <c r="EA75" s="6">
        <v>17.843033426763476</v>
      </c>
      <c r="EB75" s="6">
        <v>17.843033426763476</v>
      </c>
      <c r="EC75" s="6">
        <v>17.843033426763476</v>
      </c>
      <c r="ED75" s="6">
        <v>17.843033426763476</v>
      </c>
      <c r="EE75" s="6">
        <v>17.843033426763476</v>
      </c>
      <c r="EF75" s="6">
        <v>17.843033426763476</v>
      </c>
      <c r="EG75" s="6">
        <v>17.843033426763476</v>
      </c>
      <c r="EH75" s="6">
        <v>17.843033426763476</v>
      </c>
      <c r="EI75" s="6">
        <v>17.843033426763476</v>
      </c>
      <c r="EJ75" s="6">
        <v>17.267450346591243</v>
      </c>
      <c r="EK75" s="6">
        <v>17.267450346591243</v>
      </c>
      <c r="EL75" s="6">
        <v>17.267450346591243</v>
      </c>
      <c r="EM75" s="6">
        <v>17.267450346591243</v>
      </c>
      <c r="EN75" s="6">
        <v>17.267450346591243</v>
      </c>
      <c r="EO75" s="6">
        <v>17.267450346591243</v>
      </c>
      <c r="EP75" s="6">
        <v>17.267450346591243</v>
      </c>
      <c r="EQ75" s="6">
        <v>17.267450346591243</v>
      </c>
      <c r="ER75" s="6">
        <v>17.267450346591243</v>
      </c>
      <c r="ES75" s="6">
        <v>17.267450346591243</v>
      </c>
      <c r="ET75" s="6">
        <v>17.267450346591243</v>
      </c>
      <c r="EU75" s="6">
        <v>17.267450346591243</v>
      </c>
      <c r="EV75" s="6">
        <v>17.267450346591243</v>
      </c>
      <c r="EW75" s="6">
        <v>17.267450346591243</v>
      </c>
      <c r="EX75" s="6">
        <v>17.267450346591243</v>
      </c>
      <c r="EY75" s="6">
        <v>17.267450346591243</v>
      </c>
      <c r="EZ75" s="6">
        <v>17.267450346591243</v>
      </c>
      <c r="FA75" s="6">
        <v>17.267450346591243</v>
      </c>
      <c r="FB75" s="6">
        <v>17.267450346591243</v>
      </c>
      <c r="FC75" s="6">
        <v>17.267450346591243</v>
      </c>
      <c r="FD75" s="6">
        <v>17.267450346591243</v>
      </c>
      <c r="FE75" s="6">
        <v>17.267450346591243</v>
      </c>
      <c r="FF75" s="6">
        <v>17.267450346591243</v>
      </c>
      <c r="FG75" s="6">
        <v>17.267450346591243</v>
      </c>
      <c r="FH75" s="6">
        <v>17.267450346591243</v>
      </c>
      <c r="FI75" s="6">
        <v>17.267450346591243</v>
      </c>
      <c r="FJ75" s="6">
        <v>17.267450346591243</v>
      </c>
      <c r="FK75" s="6">
        <v>17.267450346591243</v>
      </c>
      <c r="FL75" s="6">
        <v>17.267450346591243</v>
      </c>
      <c r="FM75" s="6">
        <v>17.267450346591243</v>
      </c>
      <c r="FN75" s="6">
        <v>17.267450346591243</v>
      </c>
      <c r="FO75" s="6">
        <v>14.800671671028109</v>
      </c>
      <c r="FP75" s="6">
        <v>14.800671671028109</v>
      </c>
      <c r="FQ75" s="6">
        <v>14.800671671028109</v>
      </c>
      <c r="FR75" s="6">
        <v>14.800671671028109</v>
      </c>
      <c r="FS75" s="6">
        <v>14.800671671028109</v>
      </c>
      <c r="FT75" s="6">
        <v>14.800671671028109</v>
      </c>
      <c r="FU75" s="6">
        <v>14.800671671028109</v>
      </c>
      <c r="FV75" s="6">
        <v>14.800671671028109</v>
      </c>
      <c r="FW75" s="6">
        <v>14.800671671028109</v>
      </c>
      <c r="FX75" s="6">
        <v>14.800671671028109</v>
      </c>
      <c r="FY75" s="6">
        <v>14.800671671028109</v>
      </c>
      <c r="FZ75" s="6">
        <v>14.800671671028109</v>
      </c>
      <c r="GA75" s="6">
        <v>14.800671671028109</v>
      </c>
      <c r="GB75" s="6">
        <v>14.800671671028109</v>
      </c>
      <c r="GC75" s="6">
        <v>14.800671671028109</v>
      </c>
      <c r="GD75" s="6">
        <v>14.800671671028109</v>
      </c>
      <c r="GE75" s="6">
        <v>14.800671671028109</v>
      </c>
      <c r="GF75" s="6">
        <v>14.800671671028109</v>
      </c>
      <c r="GG75" s="6">
        <v>14.800671671028109</v>
      </c>
      <c r="GH75" s="6">
        <v>14.800671671028109</v>
      </c>
      <c r="GI75" s="6">
        <v>14.800671671028109</v>
      </c>
      <c r="GJ75" s="6">
        <v>14.800671671028109</v>
      </c>
      <c r="GK75" s="6">
        <v>14.800671671028109</v>
      </c>
      <c r="GL75" s="6">
        <v>14.800671671028109</v>
      </c>
      <c r="GM75" s="6">
        <v>14.800671671028109</v>
      </c>
      <c r="GN75" s="6">
        <v>14.800671671028109</v>
      </c>
      <c r="GO75" s="6">
        <v>14.800671671028109</v>
      </c>
      <c r="GP75" s="6">
        <v>14.800671671028109</v>
      </c>
      <c r="GQ75" s="6">
        <v>14.800671671028109</v>
      </c>
      <c r="GR75" s="6">
        <v>14.800671671028109</v>
      </c>
      <c r="GS75" s="6">
        <v>14.800671671028109</v>
      </c>
      <c r="GT75" s="6">
        <v>15.294027559081011</v>
      </c>
      <c r="GU75" s="6">
        <v>15.294027559081011</v>
      </c>
      <c r="GV75" s="6">
        <v>15.294027559081011</v>
      </c>
      <c r="GW75" s="6">
        <v>15.294027559081011</v>
      </c>
      <c r="GX75" s="6">
        <v>15.294027559081011</v>
      </c>
      <c r="GY75" s="6">
        <v>15.294027559081011</v>
      </c>
      <c r="GZ75" s="6">
        <v>15.294027559081011</v>
      </c>
      <c r="HA75" s="6">
        <v>15.294027559081011</v>
      </c>
      <c r="HB75" s="6">
        <v>15.294027559081011</v>
      </c>
      <c r="HC75" s="6">
        <v>15.294027559081011</v>
      </c>
      <c r="HD75" s="6">
        <v>15.294027559081011</v>
      </c>
      <c r="HE75" s="6">
        <v>15.294027559081011</v>
      </c>
      <c r="HF75" s="6">
        <v>15.294027559081011</v>
      </c>
      <c r="HG75" s="6">
        <v>0</v>
      </c>
      <c r="HH75" s="6">
        <v>0</v>
      </c>
      <c r="HI75" s="6">
        <v>0</v>
      </c>
      <c r="HJ75" s="6">
        <v>0</v>
      </c>
      <c r="HK75" s="6">
        <v>0</v>
      </c>
      <c r="HL75" s="6">
        <v>0</v>
      </c>
      <c r="HM75" s="6">
        <v>0</v>
      </c>
      <c r="HN75" s="6">
        <v>0</v>
      </c>
      <c r="HO75" s="6">
        <v>0</v>
      </c>
      <c r="HP75" s="6">
        <v>0</v>
      </c>
      <c r="HQ75" s="6">
        <v>0</v>
      </c>
      <c r="HR75" s="6">
        <v>0</v>
      </c>
      <c r="HS75" s="6">
        <v>0</v>
      </c>
      <c r="HT75" s="6">
        <v>0</v>
      </c>
      <c r="HU75" s="6">
        <v>0</v>
      </c>
      <c r="HV75" s="6">
        <v>0</v>
      </c>
      <c r="HW75" s="198">
        <v>0</v>
      </c>
      <c r="HX75" s="63">
        <v>0</v>
      </c>
      <c r="HY75" s="28">
        <v>3456.9581648015333</v>
      </c>
      <c r="IA75" s="20">
        <v>57.548583167892943</v>
      </c>
      <c r="IB75" s="23">
        <v>28.774291583946471</v>
      </c>
      <c r="II75" s="73" t="s">
        <v>233</v>
      </c>
      <c r="JE75" s="73" t="s">
        <v>233</v>
      </c>
      <c r="JF75" s="263">
        <v>39.11447548234969</v>
      </c>
      <c r="JG75" s="263">
        <v>426.58866369166702</v>
      </c>
      <c r="JH75" s="263">
        <v>541.6628387996376</v>
      </c>
      <c r="JI75" s="263">
        <v>554.0886167832748</v>
      </c>
      <c r="JJ75" s="263">
        <v>541.98212838948177</v>
      </c>
      <c r="JK75" s="263">
        <v>540.4712084658787</v>
      </c>
      <c r="JL75" s="263">
        <v>481.02182988193965</v>
      </c>
      <c r="JM75" s="263">
        <v>332.02840330730612</v>
      </c>
      <c r="JP75" s="264"/>
      <c r="JQ75" s="271"/>
    </row>
    <row r="76" spans="2:277" ht="15" outlineLevel="1" thickBot="1">
      <c r="B76" t="s">
        <v>21</v>
      </c>
      <c r="C76" s="74" t="s">
        <v>149</v>
      </c>
      <c r="D76" s="6">
        <v>0</v>
      </c>
      <c r="E76" s="6">
        <v>0</v>
      </c>
      <c r="F76" s="6">
        <v>0</v>
      </c>
      <c r="G76" s="6">
        <v>0.95587672244256316</v>
      </c>
      <c r="H76" s="6">
        <v>0</v>
      </c>
      <c r="I76" s="6">
        <v>0.76470137795405058</v>
      </c>
      <c r="J76" s="6">
        <v>0.76470137795405058</v>
      </c>
      <c r="K76" s="6">
        <v>1.5294027559081012</v>
      </c>
      <c r="L76" s="6">
        <v>0.76470137795405058</v>
      </c>
      <c r="M76" s="6">
        <v>2.6764548228391769</v>
      </c>
      <c r="N76" s="6">
        <v>1.7205781003966139</v>
      </c>
      <c r="O76" s="6">
        <v>0.95587672244256316</v>
      </c>
      <c r="P76" s="6">
        <v>1.1470520669310758</v>
      </c>
      <c r="Q76" s="6">
        <v>0.95587672244256316</v>
      </c>
      <c r="R76" s="6">
        <v>3.8235068897702527</v>
      </c>
      <c r="S76" s="6">
        <v>7.838189124029018</v>
      </c>
      <c r="T76" s="6">
        <v>1.9117534448851263</v>
      </c>
      <c r="U76" s="6">
        <v>1.5294027559081012</v>
      </c>
      <c r="V76" s="6">
        <v>0.95587672244256316</v>
      </c>
      <c r="W76" s="6">
        <v>1.5294027559081012</v>
      </c>
      <c r="X76" s="6">
        <v>0</v>
      </c>
      <c r="Y76" s="6">
        <v>0</v>
      </c>
      <c r="Z76" s="6">
        <v>0</v>
      </c>
      <c r="AA76" s="6">
        <v>0</v>
      </c>
      <c r="AB76" s="6">
        <v>0</v>
      </c>
      <c r="AC76" s="6">
        <v>0</v>
      </c>
      <c r="AD76" s="6">
        <v>0</v>
      </c>
      <c r="AE76" s="6">
        <v>0</v>
      </c>
      <c r="AF76" s="6">
        <v>0</v>
      </c>
      <c r="AG76" s="6">
        <v>0</v>
      </c>
      <c r="AH76" s="6">
        <v>0</v>
      </c>
      <c r="AI76" s="6">
        <v>0</v>
      </c>
      <c r="AJ76" s="6">
        <v>0</v>
      </c>
      <c r="AK76" s="6">
        <v>0</v>
      </c>
      <c r="AL76" s="6">
        <v>0</v>
      </c>
      <c r="AM76" s="6">
        <v>0</v>
      </c>
      <c r="AN76" s="6">
        <v>0</v>
      </c>
      <c r="AO76" s="6">
        <v>0</v>
      </c>
      <c r="AP76" s="6">
        <v>0</v>
      </c>
      <c r="AQ76" s="6">
        <v>0</v>
      </c>
      <c r="AR76" s="6">
        <v>0</v>
      </c>
      <c r="AS76" s="6">
        <v>0</v>
      </c>
      <c r="AT76" s="6">
        <v>0</v>
      </c>
      <c r="AU76" s="6">
        <v>0</v>
      </c>
      <c r="AV76" s="6">
        <v>0</v>
      </c>
      <c r="AW76" s="6">
        <v>0</v>
      </c>
      <c r="AX76" s="6">
        <v>0</v>
      </c>
      <c r="AY76" s="6">
        <v>0</v>
      </c>
      <c r="AZ76" s="6">
        <v>0</v>
      </c>
      <c r="BA76" s="6">
        <v>0</v>
      </c>
      <c r="BB76" s="6">
        <v>0</v>
      </c>
      <c r="BC76" s="6">
        <v>0</v>
      </c>
      <c r="BD76" s="6">
        <v>0</v>
      </c>
      <c r="BE76" s="6">
        <v>0</v>
      </c>
      <c r="BF76" s="6">
        <v>0</v>
      </c>
      <c r="BG76" s="6">
        <v>0</v>
      </c>
      <c r="BH76" s="6">
        <v>0</v>
      </c>
      <c r="BI76" s="6">
        <v>0</v>
      </c>
      <c r="BJ76" s="6">
        <v>0</v>
      </c>
      <c r="BK76" s="6">
        <v>0</v>
      </c>
      <c r="BL76" s="6">
        <v>0</v>
      </c>
      <c r="BM76" s="6">
        <v>0</v>
      </c>
      <c r="BN76" s="6">
        <v>0</v>
      </c>
      <c r="BO76" s="6">
        <v>0</v>
      </c>
      <c r="BP76" s="6">
        <v>24.279268750041105</v>
      </c>
      <c r="BQ76" s="6">
        <v>0</v>
      </c>
      <c r="BR76" s="6">
        <v>0</v>
      </c>
      <c r="BS76" s="6">
        <v>0</v>
      </c>
      <c r="BT76" s="6">
        <v>0</v>
      </c>
      <c r="BU76" s="6">
        <v>0</v>
      </c>
      <c r="BV76" s="6">
        <v>0</v>
      </c>
      <c r="BW76" s="6">
        <v>0</v>
      </c>
      <c r="BX76" s="6">
        <v>0</v>
      </c>
      <c r="BY76" s="6">
        <v>0</v>
      </c>
      <c r="BZ76" s="6">
        <v>0</v>
      </c>
      <c r="CA76" s="6">
        <v>1.3382274114195885</v>
      </c>
      <c r="CB76" s="6">
        <v>1.1470520669310758</v>
      </c>
      <c r="CC76" s="6">
        <v>0</v>
      </c>
      <c r="CD76" s="6">
        <v>0</v>
      </c>
      <c r="CE76" s="6">
        <v>0</v>
      </c>
      <c r="CF76" s="6">
        <v>4.588208267724303</v>
      </c>
      <c r="CG76" s="6">
        <v>0</v>
      </c>
      <c r="CH76" s="6">
        <v>5.7352603346553792</v>
      </c>
      <c r="CI76" s="6">
        <v>0</v>
      </c>
      <c r="CJ76" s="6">
        <v>2.2941041338621515</v>
      </c>
      <c r="CK76" s="6">
        <v>1.9117534448851263</v>
      </c>
      <c r="CL76" s="6">
        <v>1.9117534448851263</v>
      </c>
      <c r="CM76" s="6">
        <v>2.6764548228391769</v>
      </c>
      <c r="CN76" s="6">
        <v>0.95587672244256316</v>
      </c>
      <c r="CO76" s="6">
        <v>4.0146822342587658</v>
      </c>
      <c r="CP76" s="6">
        <v>1.9117534448851263</v>
      </c>
      <c r="CQ76" s="6">
        <v>1.5294027559081012</v>
      </c>
      <c r="CR76" s="6">
        <v>1.3382274114195885</v>
      </c>
      <c r="CS76" s="6">
        <v>1.3382274114195885</v>
      </c>
      <c r="CT76" s="6">
        <v>1.1470520669310758</v>
      </c>
      <c r="CU76" s="6">
        <v>1.5294027559081012</v>
      </c>
      <c r="CV76" s="6">
        <v>0.95587672244256316</v>
      </c>
      <c r="CW76" s="6">
        <v>2.1029287893736393</v>
      </c>
      <c r="CX76" s="6">
        <v>0</v>
      </c>
      <c r="CY76" s="6">
        <v>1.9117534448851263</v>
      </c>
      <c r="CZ76" s="6">
        <v>1.5294027559081012</v>
      </c>
      <c r="DA76" s="6">
        <v>0</v>
      </c>
      <c r="DB76" s="6">
        <v>3.0588055118162023</v>
      </c>
      <c r="DC76" s="6">
        <v>1.3382274114195885</v>
      </c>
      <c r="DD76" s="6">
        <v>1.1470520669310758</v>
      </c>
      <c r="DE76" s="6">
        <v>1.3382274114195885</v>
      </c>
      <c r="DF76" s="6">
        <v>1.5294027559081012</v>
      </c>
      <c r="DG76" s="6">
        <v>1.5294027559081012</v>
      </c>
      <c r="DH76" s="6">
        <v>0</v>
      </c>
      <c r="DI76" s="6">
        <v>0</v>
      </c>
      <c r="DJ76" s="6">
        <v>2.6764548228391769</v>
      </c>
      <c r="DK76" s="6">
        <v>0</v>
      </c>
      <c r="DL76" s="6">
        <v>1.1470520669310758</v>
      </c>
      <c r="DM76" s="6">
        <v>0</v>
      </c>
      <c r="DN76" s="6">
        <v>0</v>
      </c>
      <c r="DO76" s="6">
        <v>1.1470520669310758</v>
      </c>
      <c r="DP76" s="6">
        <v>1.9117534448851263</v>
      </c>
      <c r="DQ76" s="6">
        <v>1.9117534448851263</v>
      </c>
      <c r="DR76" s="6">
        <v>1.1470520669310758</v>
      </c>
      <c r="DS76" s="6">
        <v>0</v>
      </c>
      <c r="DT76" s="6">
        <v>2.6764548228391769</v>
      </c>
      <c r="DU76" s="6">
        <v>0.95587672244256316</v>
      </c>
      <c r="DV76" s="6">
        <v>0</v>
      </c>
      <c r="DW76" s="6">
        <v>1.1470520669310758</v>
      </c>
      <c r="DX76" s="6">
        <v>0</v>
      </c>
      <c r="DY76" s="6">
        <v>0</v>
      </c>
      <c r="DZ76" s="6">
        <v>0</v>
      </c>
      <c r="EA76" s="6">
        <v>1.5294027559081012</v>
      </c>
      <c r="EB76" s="6">
        <v>2.4852794783506642</v>
      </c>
      <c r="EC76" s="6">
        <v>1.1470520669310758</v>
      </c>
      <c r="ED76" s="6">
        <v>1.5294027559081012</v>
      </c>
      <c r="EE76" s="6">
        <v>1.1470520669310758</v>
      </c>
      <c r="EF76" s="6">
        <v>1.5294027559081012</v>
      </c>
      <c r="EG76" s="6">
        <v>0.95587672244256316</v>
      </c>
      <c r="EH76" s="6">
        <v>0.95587672244256316</v>
      </c>
      <c r="EI76" s="6">
        <v>1.3382274114195885</v>
      </c>
      <c r="EJ76" s="6">
        <v>1.1470520669310758</v>
      </c>
      <c r="EK76" s="6">
        <v>1.1470520669310758</v>
      </c>
      <c r="EL76" s="6">
        <v>4.588208267724303</v>
      </c>
      <c r="EM76" s="6">
        <v>4.9705589567013284</v>
      </c>
      <c r="EN76" s="6">
        <v>5.1617343011898411</v>
      </c>
      <c r="EO76" s="6">
        <v>1.1470520669310758</v>
      </c>
      <c r="EP76" s="6">
        <v>1.1470520669310758</v>
      </c>
      <c r="EQ76" s="6">
        <v>1.1470520669310758</v>
      </c>
      <c r="ER76" s="6">
        <v>0</v>
      </c>
      <c r="ES76" s="6">
        <v>1.5294027559081012</v>
      </c>
      <c r="ET76" s="6">
        <v>1.1470520669310758</v>
      </c>
      <c r="EU76" s="6">
        <v>1.1470520669310758</v>
      </c>
      <c r="EV76" s="6">
        <v>2.2941041338621515</v>
      </c>
      <c r="EW76" s="6">
        <v>1.1470520669310758</v>
      </c>
      <c r="EX76" s="6">
        <v>3.8235068897702527</v>
      </c>
      <c r="EY76" s="6">
        <v>1.1470520669310758</v>
      </c>
      <c r="EZ76" s="6">
        <v>3.249980856304715</v>
      </c>
      <c r="FA76" s="6">
        <v>0</v>
      </c>
      <c r="FB76" s="6">
        <v>0</v>
      </c>
      <c r="FC76" s="6">
        <v>0</v>
      </c>
      <c r="FD76" s="6">
        <v>1.1470520669310758</v>
      </c>
      <c r="FE76" s="6">
        <v>1.9117534448851263</v>
      </c>
      <c r="FF76" s="6">
        <v>1.1470520669310758</v>
      </c>
      <c r="FG76" s="6">
        <v>1.5294027559081012</v>
      </c>
      <c r="FH76" s="6">
        <v>3.8235068897702527</v>
      </c>
      <c r="FI76" s="6">
        <v>3.0588055118162023</v>
      </c>
      <c r="FJ76" s="6">
        <v>1.7205781003966139</v>
      </c>
      <c r="FK76" s="6">
        <v>1.1470520669310758</v>
      </c>
      <c r="FL76" s="6">
        <v>1.1470520669310758</v>
      </c>
      <c r="FM76" s="6">
        <v>1.5294027559081012</v>
      </c>
      <c r="FN76" s="6">
        <v>1.5294027559081012</v>
      </c>
      <c r="FO76" s="6">
        <v>1.3382274114195885</v>
      </c>
      <c r="FP76" s="6">
        <v>1.1470520669310758</v>
      </c>
      <c r="FQ76" s="6">
        <v>1.5294027559081012</v>
      </c>
      <c r="FR76" s="6">
        <v>1.5294027559081012</v>
      </c>
      <c r="FS76" s="6">
        <v>3.4411562007932277</v>
      </c>
      <c r="FT76" s="6">
        <v>1.1470520669310758</v>
      </c>
      <c r="FU76" s="6">
        <v>1.5294027559081012</v>
      </c>
      <c r="FV76" s="6">
        <v>0</v>
      </c>
      <c r="FW76" s="6">
        <v>1.3382274114195885</v>
      </c>
      <c r="FX76" s="6">
        <v>2.4852794783506642</v>
      </c>
      <c r="FY76" s="6">
        <v>1.3382274114195885</v>
      </c>
      <c r="FZ76" s="6">
        <v>1.1470520669310758</v>
      </c>
      <c r="GA76" s="6">
        <v>1.1470520669310758</v>
      </c>
      <c r="GB76" s="6">
        <v>1.1470520669310758</v>
      </c>
      <c r="GC76" s="6">
        <v>0</v>
      </c>
      <c r="GD76" s="6">
        <v>1.5294027559081012</v>
      </c>
      <c r="GE76" s="6">
        <v>1.1470520669310758</v>
      </c>
      <c r="GF76" s="6">
        <v>1.5294027559081012</v>
      </c>
      <c r="GG76" s="6">
        <v>0</v>
      </c>
      <c r="GH76" s="6">
        <v>1.1470520669310758</v>
      </c>
      <c r="GI76" s="6">
        <v>1.3382274114195885</v>
      </c>
      <c r="GJ76" s="6">
        <v>0</v>
      </c>
      <c r="GK76" s="6">
        <v>1.1470520669310758</v>
      </c>
      <c r="GL76" s="6">
        <v>1.1470520669310758</v>
      </c>
      <c r="GM76" s="6">
        <v>1.3382274114195885</v>
      </c>
      <c r="GN76" s="6">
        <v>0</v>
      </c>
      <c r="GO76" s="6">
        <v>1.3382274114195885</v>
      </c>
      <c r="GP76" s="6">
        <v>1.3382274114195885</v>
      </c>
      <c r="GQ76" s="6">
        <v>3.8235068897702527</v>
      </c>
      <c r="GR76" s="6">
        <v>4.588208267724303</v>
      </c>
      <c r="GS76" s="6">
        <v>1.1470520669310758</v>
      </c>
      <c r="GT76" s="6">
        <v>1.1470520669310758</v>
      </c>
      <c r="GU76" s="6">
        <v>0.95587672244256316</v>
      </c>
      <c r="GV76" s="6">
        <v>0</v>
      </c>
      <c r="GW76" s="6">
        <v>0</v>
      </c>
      <c r="GX76" s="6">
        <v>0</v>
      </c>
      <c r="GY76" s="6">
        <v>0</v>
      </c>
      <c r="GZ76" s="6">
        <v>0</v>
      </c>
      <c r="HA76" s="6">
        <v>1.1470520669310758</v>
      </c>
      <c r="HB76" s="6">
        <v>1.9117534448851263</v>
      </c>
      <c r="HC76" s="6">
        <v>1.5294027559081012</v>
      </c>
      <c r="HD76" s="6">
        <v>2.6764548228391769</v>
      </c>
      <c r="HE76" s="6">
        <v>0</v>
      </c>
      <c r="HF76" s="6">
        <v>2.6764548228391769</v>
      </c>
      <c r="HG76" s="6">
        <v>0</v>
      </c>
      <c r="HH76" s="6">
        <v>0</v>
      </c>
      <c r="HI76" s="6">
        <v>0</v>
      </c>
      <c r="HJ76" s="6">
        <v>0</v>
      </c>
      <c r="HK76" s="6">
        <v>0</v>
      </c>
      <c r="HL76" s="6">
        <v>0</v>
      </c>
      <c r="HM76" s="6">
        <v>0</v>
      </c>
      <c r="HN76" s="6">
        <v>0</v>
      </c>
      <c r="HO76" s="6">
        <v>0</v>
      </c>
      <c r="HP76" s="6">
        <v>0</v>
      </c>
      <c r="HQ76" s="6">
        <v>0</v>
      </c>
      <c r="HR76" s="6">
        <v>0</v>
      </c>
      <c r="HS76" s="6">
        <v>0</v>
      </c>
      <c r="HT76" s="6">
        <v>0</v>
      </c>
      <c r="HU76" s="6">
        <v>0</v>
      </c>
      <c r="HV76" s="6">
        <v>0</v>
      </c>
      <c r="HW76" s="198">
        <v>0</v>
      </c>
      <c r="HX76" s="63">
        <v>0</v>
      </c>
      <c r="HY76" s="28">
        <v>243.74856422285373</v>
      </c>
      <c r="IA76" s="20">
        <v>0.71304980877300572</v>
      </c>
      <c r="IB76" s="23">
        <v>0.35652490438650286</v>
      </c>
      <c r="II76" s="74" t="s">
        <v>149</v>
      </c>
      <c r="JE76" s="74" t="s">
        <v>149</v>
      </c>
      <c r="JF76" s="265">
        <v>0.95587672244256316</v>
      </c>
      <c r="JG76" s="265">
        <v>28.86747701776541</v>
      </c>
      <c r="JH76" s="265">
        <v>24.279268750041105</v>
      </c>
      <c r="JI76" s="265">
        <v>35.367438730374836</v>
      </c>
      <c r="JJ76" s="265">
        <v>31.161581151627551</v>
      </c>
      <c r="JK76" s="265">
        <v>51.617343011898406</v>
      </c>
      <c r="JL76" s="265">
        <v>43.587978543380871</v>
      </c>
      <c r="JM76" s="265">
        <v>27.911600295322842</v>
      </c>
      <c r="JQ76" s="142"/>
    </row>
    <row r="77" spans="2:277" outlineLevel="1">
      <c r="B77" t="s">
        <v>23</v>
      </c>
      <c r="C77" s="72" t="s">
        <v>23</v>
      </c>
      <c r="D77" s="6">
        <v>0</v>
      </c>
      <c r="E77" s="6">
        <v>0</v>
      </c>
      <c r="F77" s="6">
        <v>7.6470137795405053</v>
      </c>
      <c r="G77" s="6">
        <v>0</v>
      </c>
      <c r="H77" s="6">
        <v>0</v>
      </c>
      <c r="I77" s="6">
        <v>0</v>
      </c>
      <c r="J77" s="6">
        <v>0</v>
      </c>
      <c r="K77" s="6">
        <v>4.9705589567013284</v>
      </c>
      <c r="L77" s="6">
        <v>0</v>
      </c>
      <c r="M77" s="6">
        <v>7.6470137795405053</v>
      </c>
      <c r="N77" s="6">
        <v>0</v>
      </c>
      <c r="O77" s="6">
        <v>0</v>
      </c>
      <c r="P77" s="6">
        <v>0</v>
      </c>
      <c r="Q77" s="6">
        <v>0</v>
      </c>
      <c r="R77" s="6">
        <v>0</v>
      </c>
      <c r="S77" s="6">
        <v>0</v>
      </c>
      <c r="T77" s="6">
        <v>0</v>
      </c>
      <c r="U77" s="6">
        <v>0</v>
      </c>
      <c r="V77" s="6">
        <v>0</v>
      </c>
      <c r="W77" s="6">
        <v>0.95587672244256316</v>
      </c>
      <c r="X77" s="6">
        <v>0</v>
      </c>
      <c r="Y77" s="6">
        <v>0</v>
      </c>
      <c r="Z77" s="6">
        <v>0</v>
      </c>
      <c r="AA77" s="6">
        <v>0</v>
      </c>
      <c r="AB77" s="6">
        <v>11.470520669310758</v>
      </c>
      <c r="AC77" s="6">
        <v>0.38235068897702529</v>
      </c>
      <c r="AD77" s="6">
        <v>0</v>
      </c>
      <c r="AE77" s="6">
        <v>0</v>
      </c>
      <c r="AF77" s="6">
        <v>0</v>
      </c>
      <c r="AG77" s="6">
        <v>0</v>
      </c>
      <c r="AH77" s="6">
        <v>0</v>
      </c>
      <c r="AI77" s="6">
        <v>0</v>
      </c>
      <c r="AJ77" s="6">
        <v>0</v>
      </c>
      <c r="AK77" s="6">
        <v>0</v>
      </c>
      <c r="AL77" s="6">
        <v>0</v>
      </c>
      <c r="AM77" s="6">
        <v>0</v>
      </c>
      <c r="AN77" s="6">
        <v>0</v>
      </c>
      <c r="AO77" s="6">
        <v>0</v>
      </c>
      <c r="AP77" s="6">
        <v>0</v>
      </c>
      <c r="AQ77" s="6">
        <v>3.8235068897702527</v>
      </c>
      <c r="AR77" s="6">
        <v>0</v>
      </c>
      <c r="AS77" s="6">
        <v>5.7352603346553792</v>
      </c>
      <c r="AT77" s="6">
        <v>0</v>
      </c>
      <c r="AU77" s="6">
        <v>0</v>
      </c>
      <c r="AV77" s="6">
        <v>19.117534448851263</v>
      </c>
      <c r="AW77" s="6">
        <v>0</v>
      </c>
      <c r="AX77" s="6">
        <v>0</v>
      </c>
      <c r="AY77" s="6">
        <v>0</v>
      </c>
      <c r="AZ77" s="6">
        <v>0</v>
      </c>
      <c r="BA77" s="6">
        <v>0</v>
      </c>
      <c r="BB77" s="6">
        <v>7.6470137795405053</v>
      </c>
      <c r="BC77" s="6">
        <v>3.4411562007932277</v>
      </c>
      <c r="BD77" s="6">
        <v>0</v>
      </c>
      <c r="BE77" s="6">
        <v>0</v>
      </c>
      <c r="BF77" s="6">
        <v>0</v>
      </c>
      <c r="BG77" s="6">
        <v>0</v>
      </c>
      <c r="BH77" s="6">
        <v>0</v>
      </c>
      <c r="BI77" s="6">
        <v>1.9117534448851263</v>
      </c>
      <c r="BJ77" s="6">
        <v>0</v>
      </c>
      <c r="BK77" s="6">
        <v>0</v>
      </c>
      <c r="BL77" s="6">
        <v>0</v>
      </c>
      <c r="BM77" s="6">
        <v>0</v>
      </c>
      <c r="BN77" s="6">
        <v>59.723177618211352</v>
      </c>
      <c r="BO77" s="6">
        <v>2.6764548228391769</v>
      </c>
      <c r="BP77" s="6">
        <v>4.588208267724303</v>
      </c>
      <c r="BQ77" s="6">
        <v>24.164563543347999</v>
      </c>
      <c r="BR77" s="6">
        <v>7.6470137795405053</v>
      </c>
      <c r="BS77" s="6">
        <v>7.6470137795405053</v>
      </c>
      <c r="BT77" s="6">
        <v>0</v>
      </c>
      <c r="BU77" s="6">
        <v>0</v>
      </c>
      <c r="BV77" s="6">
        <v>0</v>
      </c>
      <c r="BW77" s="6">
        <v>0</v>
      </c>
      <c r="BX77" s="6">
        <v>0</v>
      </c>
      <c r="BY77" s="6">
        <v>0</v>
      </c>
      <c r="BZ77" s="6">
        <v>0</v>
      </c>
      <c r="CA77" s="6">
        <v>0</v>
      </c>
      <c r="CB77" s="6">
        <v>0</v>
      </c>
      <c r="CC77" s="6">
        <v>0</v>
      </c>
      <c r="CD77" s="6">
        <v>11.470520669310758</v>
      </c>
      <c r="CE77" s="6">
        <v>12.99992342521886</v>
      </c>
      <c r="CF77" s="6">
        <v>11.470520669310758</v>
      </c>
      <c r="CG77" s="6">
        <v>0</v>
      </c>
      <c r="CH77" s="6">
        <v>0</v>
      </c>
      <c r="CI77" s="6">
        <v>0</v>
      </c>
      <c r="CJ77" s="6">
        <v>3.8235068897702527</v>
      </c>
      <c r="CK77" s="6">
        <v>0</v>
      </c>
      <c r="CL77" s="6">
        <v>3.8235068897702527</v>
      </c>
      <c r="CM77" s="6">
        <v>3.8235068897702527</v>
      </c>
      <c r="CN77" s="6">
        <v>0</v>
      </c>
      <c r="CO77" s="6">
        <v>0</v>
      </c>
      <c r="CP77" s="6">
        <v>0</v>
      </c>
      <c r="CQ77" s="6">
        <v>0</v>
      </c>
      <c r="CR77" s="6">
        <v>0</v>
      </c>
      <c r="CS77" s="6">
        <v>0</v>
      </c>
      <c r="CT77" s="6">
        <v>0</v>
      </c>
      <c r="CU77" s="6">
        <v>0</v>
      </c>
      <c r="CV77" s="6">
        <v>0</v>
      </c>
      <c r="CW77" s="6">
        <v>0</v>
      </c>
      <c r="CX77" s="6">
        <v>0</v>
      </c>
      <c r="CY77" s="6">
        <v>0</v>
      </c>
      <c r="CZ77" s="6">
        <v>0</v>
      </c>
      <c r="DA77" s="6">
        <v>0</v>
      </c>
      <c r="DB77" s="6">
        <v>0</v>
      </c>
      <c r="DC77" s="6">
        <v>0</v>
      </c>
      <c r="DD77" s="6">
        <v>0</v>
      </c>
      <c r="DE77" s="6">
        <v>0</v>
      </c>
      <c r="DF77" s="6">
        <v>0</v>
      </c>
      <c r="DG77" s="6">
        <v>0</v>
      </c>
      <c r="DH77" s="6">
        <v>0</v>
      </c>
      <c r="DI77" s="6">
        <v>0</v>
      </c>
      <c r="DJ77" s="6">
        <v>0</v>
      </c>
      <c r="DK77" s="6">
        <v>0</v>
      </c>
      <c r="DL77" s="6">
        <v>0</v>
      </c>
      <c r="DM77" s="6">
        <v>0</v>
      </c>
      <c r="DN77" s="6">
        <v>0</v>
      </c>
      <c r="DO77" s="6">
        <v>0</v>
      </c>
      <c r="DP77" s="6">
        <v>0</v>
      </c>
      <c r="DQ77" s="6">
        <v>0</v>
      </c>
      <c r="DR77" s="6">
        <v>0</v>
      </c>
      <c r="DS77" s="6">
        <v>0</v>
      </c>
      <c r="DT77" s="6">
        <v>0</v>
      </c>
      <c r="DU77" s="6">
        <v>0</v>
      </c>
      <c r="DV77" s="6">
        <v>0</v>
      </c>
      <c r="DW77" s="6">
        <v>0</v>
      </c>
      <c r="DX77" s="6">
        <v>0</v>
      </c>
      <c r="DY77" s="6">
        <v>0</v>
      </c>
      <c r="DZ77" s="6">
        <v>0</v>
      </c>
      <c r="EA77" s="6">
        <v>0</v>
      </c>
      <c r="EB77" s="6">
        <v>0</v>
      </c>
      <c r="EC77" s="6">
        <v>0</v>
      </c>
      <c r="ED77" s="6">
        <v>0</v>
      </c>
      <c r="EE77" s="6">
        <v>0</v>
      </c>
      <c r="EF77" s="6">
        <v>0</v>
      </c>
      <c r="EG77" s="6">
        <v>0</v>
      </c>
      <c r="EH77" s="6">
        <v>0</v>
      </c>
      <c r="EI77" s="6">
        <v>0</v>
      </c>
      <c r="EJ77" s="6">
        <v>0</v>
      </c>
      <c r="EK77" s="6">
        <v>0</v>
      </c>
      <c r="EL77" s="6">
        <v>7.2646630905634808</v>
      </c>
      <c r="EM77" s="6">
        <v>0</v>
      </c>
      <c r="EN77" s="6">
        <v>0</v>
      </c>
      <c r="EO77" s="6">
        <v>0</v>
      </c>
      <c r="EP77" s="6">
        <v>0</v>
      </c>
      <c r="EQ77" s="6">
        <v>0</v>
      </c>
      <c r="ER77" s="6">
        <v>0</v>
      </c>
      <c r="ES77" s="6">
        <v>0</v>
      </c>
      <c r="ET77" s="6">
        <v>0</v>
      </c>
      <c r="EU77" s="6">
        <v>7.6470137795405053</v>
      </c>
      <c r="EV77" s="6">
        <v>0</v>
      </c>
      <c r="EW77" s="6">
        <v>0</v>
      </c>
      <c r="EX77" s="6">
        <v>0</v>
      </c>
      <c r="EY77" s="6">
        <v>0</v>
      </c>
      <c r="EZ77" s="6">
        <v>0</v>
      </c>
      <c r="FA77" s="6">
        <v>0</v>
      </c>
      <c r="FB77" s="6">
        <v>0</v>
      </c>
      <c r="FC77" s="6">
        <v>3.0588055118162023</v>
      </c>
      <c r="FD77" s="6">
        <v>0</v>
      </c>
      <c r="FE77" s="6">
        <v>0</v>
      </c>
      <c r="FF77" s="6">
        <v>0</v>
      </c>
      <c r="FG77" s="6">
        <v>0</v>
      </c>
      <c r="FH77" s="6">
        <v>0</v>
      </c>
      <c r="FI77" s="6">
        <v>0</v>
      </c>
      <c r="FJ77" s="6">
        <v>0</v>
      </c>
      <c r="FK77" s="6">
        <v>0</v>
      </c>
      <c r="FL77" s="6">
        <v>0</v>
      </c>
      <c r="FM77" s="6">
        <v>0</v>
      </c>
      <c r="FN77" s="6">
        <v>4.588208267724303</v>
      </c>
      <c r="FO77" s="6">
        <v>0</v>
      </c>
      <c r="FP77" s="6">
        <v>0</v>
      </c>
      <c r="FQ77" s="6">
        <v>0</v>
      </c>
      <c r="FR77" s="6">
        <v>0</v>
      </c>
      <c r="FS77" s="6">
        <v>0</v>
      </c>
      <c r="FT77" s="6">
        <v>0</v>
      </c>
      <c r="FU77" s="6">
        <v>0</v>
      </c>
      <c r="FV77" s="6">
        <v>0</v>
      </c>
      <c r="FW77" s="6">
        <v>0</v>
      </c>
      <c r="FX77" s="6">
        <v>0</v>
      </c>
      <c r="FY77" s="6">
        <v>0</v>
      </c>
      <c r="FZ77" s="6">
        <v>0</v>
      </c>
      <c r="GA77" s="6">
        <v>0</v>
      </c>
      <c r="GB77" s="6">
        <v>0</v>
      </c>
      <c r="GC77" s="6">
        <v>0</v>
      </c>
      <c r="GD77" s="6">
        <v>0</v>
      </c>
      <c r="GE77" s="6">
        <v>0</v>
      </c>
      <c r="GF77" s="6">
        <v>0</v>
      </c>
      <c r="GG77" s="6">
        <v>0</v>
      </c>
      <c r="GH77" s="6">
        <v>0</v>
      </c>
      <c r="GI77" s="6">
        <v>0</v>
      </c>
      <c r="GJ77" s="6">
        <v>0</v>
      </c>
      <c r="GK77" s="6">
        <v>0</v>
      </c>
      <c r="GL77" s="6">
        <v>0</v>
      </c>
      <c r="GM77" s="6">
        <v>0</v>
      </c>
      <c r="GN77" s="6">
        <v>0</v>
      </c>
      <c r="GO77" s="6">
        <v>0</v>
      </c>
      <c r="GP77" s="6">
        <v>5.7352603346553792</v>
      </c>
      <c r="GQ77" s="6">
        <v>0</v>
      </c>
      <c r="GR77" s="6">
        <v>0</v>
      </c>
      <c r="GS77" s="6">
        <v>0</v>
      </c>
      <c r="GT77" s="6">
        <v>0</v>
      </c>
      <c r="GU77" s="6">
        <v>0</v>
      </c>
      <c r="GV77" s="6">
        <v>0</v>
      </c>
      <c r="GW77" s="6">
        <v>0</v>
      </c>
      <c r="GX77" s="6">
        <v>0</v>
      </c>
      <c r="GY77" s="6">
        <v>0</v>
      </c>
      <c r="GZ77" s="6">
        <v>0</v>
      </c>
      <c r="HA77" s="6">
        <v>0</v>
      </c>
      <c r="HB77" s="6">
        <v>0</v>
      </c>
      <c r="HC77" s="6">
        <v>0</v>
      </c>
      <c r="HD77" s="6">
        <v>0</v>
      </c>
      <c r="HE77" s="6">
        <v>0</v>
      </c>
      <c r="HF77" s="6">
        <v>19.117534448851263</v>
      </c>
      <c r="HG77" s="6">
        <v>0</v>
      </c>
      <c r="HH77" s="6">
        <v>0</v>
      </c>
      <c r="HI77" s="6">
        <v>0</v>
      </c>
      <c r="HJ77" s="6">
        <v>0</v>
      </c>
      <c r="HK77" s="6">
        <v>0</v>
      </c>
      <c r="HL77" s="6">
        <v>0</v>
      </c>
      <c r="HM77" s="6">
        <v>0</v>
      </c>
      <c r="HN77" s="6">
        <v>0</v>
      </c>
      <c r="HO77" s="6">
        <v>0</v>
      </c>
      <c r="HP77" s="6">
        <v>0</v>
      </c>
      <c r="HQ77" s="6">
        <v>0</v>
      </c>
      <c r="HR77" s="6">
        <v>0</v>
      </c>
      <c r="HS77" s="6">
        <v>0</v>
      </c>
      <c r="HT77" s="6">
        <v>0</v>
      </c>
      <c r="HU77" s="6">
        <v>0</v>
      </c>
      <c r="HV77" s="6">
        <v>0</v>
      </c>
      <c r="HW77" s="198">
        <v>0</v>
      </c>
      <c r="HX77" s="63">
        <v>0</v>
      </c>
      <c r="HY77" s="28">
        <v>276.01896237251452</v>
      </c>
      <c r="IA77" s="20">
        <v>1.3890580690383227</v>
      </c>
      <c r="IB77" s="20">
        <v>1.3890580690383227</v>
      </c>
      <c r="II77" s="72" t="s">
        <v>23</v>
      </c>
      <c r="JE77" s="72" t="s">
        <v>23</v>
      </c>
      <c r="JF77" s="265">
        <v>7.6470137795405053</v>
      </c>
      <c r="JG77" s="265">
        <v>25.426320816972176</v>
      </c>
      <c r="JH77" s="265">
        <v>132.8286293506186</v>
      </c>
      <c r="JI77" s="265">
        <v>62.705512992232137</v>
      </c>
      <c r="JJ77" s="265">
        <v>0</v>
      </c>
      <c r="JK77" s="265">
        <v>17.970482381920188</v>
      </c>
      <c r="JL77" s="265">
        <v>4.588208267724303</v>
      </c>
      <c r="JM77" s="265">
        <v>24.852794783506642</v>
      </c>
      <c r="JQ77" s="142"/>
    </row>
    <row r="78" spans="2:277" outlineLevel="1">
      <c r="B78" t="s">
        <v>23</v>
      </c>
      <c r="C78" s="73" t="s">
        <v>151</v>
      </c>
      <c r="D78" s="6">
        <v>0</v>
      </c>
      <c r="E78" s="6">
        <v>0</v>
      </c>
      <c r="F78" s="6">
        <v>0</v>
      </c>
      <c r="G78" s="6">
        <v>0</v>
      </c>
      <c r="H78" s="6">
        <v>0</v>
      </c>
      <c r="I78" s="6">
        <v>0</v>
      </c>
      <c r="J78" s="6">
        <v>0</v>
      </c>
      <c r="K78" s="6">
        <v>0</v>
      </c>
      <c r="L78" s="6">
        <v>0</v>
      </c>
      <c r="M78" s="6">
        <v>0</v>
      </c>
      <c r="N78" s="6">
        <v>0</v>
      </c>
      <c r="O78" s="6">
        <v>0</v>
      </c>
      <c r="P78" s="6">
        <v>0</v>
      </c>
      <c r="Q78" s="6">
        <v>0</v>
      </c>
      <c r="R78" s="6">
        <v>0</v>
      </c>
      <c r="S78" s="6">
        <v>0</v>
      </c>
      <c r="T78" s="6">
        <v>0</v>
      </c>
      <c r="U78" s="6">
        <v>0</v>
      </c>
      <c r="V78" s="6">
        <v>0</v>
      </c>
      <c r="W78" s="6">
        <v>0</v>
      </c>
      <c r="X78" s="6">
        <v>0</v>
      </c>
      <c r="Y78" s="6">
        <v>0</v>
      </c>
      <c r="Z78" s="6">
        <v>0</v>
      </c>
      <c r="AA78" s="6">
        <v>0</v>
      </c>
      <c r="AB78" s="6">
        <v>0</v>
      </c>
      <c r="AC78" s="6">
        <v>0</v>
      </c>
      <c r="AD78" s="6">
        <v>3.8235068897702527</v>
      </c>
      <c r="AE78" s="6">
        <v>0</v>
      </c>
      <c r="AF78" s="6">
        <v>7.6470137795405053</v>
      </c>
      <c r="AG78" s="6">
        <v>0</v>
      </c>
      <c r="AH78" s="6">
        <v>0</v>
      </c>
      <c r="AI78" s="6">
        <v>0</v>
      </c>
      <c r="AJ78" s="6">
        <v>0</v>
      </c>
      <c r="AK78" s="6">
        <v>0</v>
      </c>
      <c r="AL78" s="6">
        <v>0</v>
      </c>
      <c r="AM78" s="6">
        <v>0</v>
      </c>
      <c r="AN78" s="6">
        <v>0</v>
      </c>
      <c r="AO78" s="6">
        <v>7.6470137795405053</v>
      </c>
      <c r="AP78" s="6">
        <v>0</v>
      </c>
      <c r="AQ78" s="6">
        <v>0</v>
      </c>
      <c r="AR78" s="6">
        <v>0</v>
      </c>
      <c r="AS78" s="6">
        <v>0</v>
      </c>
      <c r="AT78" s="6">
        <v>0</v>
      </c>
      <c r="AU78" s="6">
        <v>0</v>
      </c>
      <c r="AV78" s="6">
        <v>0</v>
      </c>
      <c r="AW78" s="6">
        <v>0</v>
      </c>
      <c r="AX78" s="6">
        <v>0</v>
      </c>
      <c r="AY78" s="6">
        <v>0</v>
      </c>
      <c r="AZ78" s="6">
        <v>0</v>
      </c>
      <c r="BA78" s="6">
        <v>0</v>
      </c>
      <c r="BB78" s="6">
        <v>0</v>
      </c>
      <c r="BC78" s="6">
        <v>0</v>
      </c>
      <c r="BD78" s="6">
        <v>0</v>
      </c>
      <c r="BE78" s="6">
        <v>0</v>
      </c>
      <c r="BF78" s="6">
        <v>0</v>
      </c>
      <c r="BG78" s="6">
        <v>0</v>
      </c>
      <c r="BH78" s="6">
        <v>0</v>
      </c>
      <c r="BI78" s="6">
        <v>0</v>
      </c>
      <c r="BJ78" s="6">
        <v>17.205781003966138</v>
      </c>
      <c r="BK78" s="6">
        <v>0</v>
      </c>
      <c r="BL78" s="6">
        <v>0</v>
      </c>
      <c r="BM78" s="6">
        <v>0</v>
      </c>
      <c r="BN78" s="6">
        <v>0</v>
      </c>
      <c r="BO78" s="6">
        <v>0</v>
      </c>
      <c r="BP78" s="6">
        <v>0</v>
      </c>
      <c r="BQ78" s="6">
        <v>0</v>
      </c>
      <c r="BR78" s="6">
        <v>0</v>
      </c>
      <c r="BS78" s="6">
        <v>0</v>
      </c>
      <c r="BT78" s="6">
        <v>0</v>
      </c>
      <c r="BU78" s="6">
        <v>0</v>
      </c>
      <c r="BV78" s="6">
        <v>0</v>
      </c>
      <c r="BW78" s="6">
        <v>0</v>
      </c>
      <c r="BX78" s="6">
        <v>9.5587672244256314</v>
      </c>
      <c r="BY78" s="6">
        <v>0</v>
      </c>
      <c r="BZ78" s="6">
        <v>0</v>
      </c>
      <c r="CA78" s="6">
        <v>0</v>
      </c>
      <c r="CB78" s="6">
        <v>7.6470137795405053</v>
      </c>
      <c r="CC78" s="6">
        <v>0</v>
      </c>
      <c r="CD78" s="6">
        <v>0</v>
      </c>
      <c r="CE78" s="6">
        <v>0</v>
      </c>
      <c r="CF78" s="6">
        <v>0</v>
      </c>
      <c r="CG78" s="6">
        <v>0</v>
      </c>
      <c r="CH78" s="6">
        <v>0</v>
      </c>
      <c r="CI78" s="6">
        <v>0</v>
      </c>
      <c r="CJ78" s="6">
        <v>0</v>
      </c>
      <c r="CK78" s="6">
        <v>0</v>
      </c>
      <c r="CL78" s="6">
        <v>0</v>
      </c>
      <c r="CM78" s="6">
        <v>0</v>
      </c>
      <c r="CN78" s="6">
        <v>0</v>
      </c>
      <c r="CO78" s="6">
        <v>0</v>
      </c>
      <c r="CP78" s="6">
        <v>0</v>
      </c>
      <c r="CQ78" s="6">
        <v>0</v>
      </c>
      <c r="CR78" s="6">
        <v>15.294027559081011</v>
      </c>
      <c r="CS78" s="6">
        <v>0</v>
      </c>
      <c r="CT78" s="6">
        <v>0</v>
      </c>
      <c r="CU78" s="6">
        <v>0</v>
      </c>
      <c r="CV78" s="6">
        <v>0</v>
      </c>
      <c r="CW78" s="6">
        <v>7.6470137795405053</v>
      </c>
      <c r="CX78" s="6">
        <v>0</v>
      </c>
      <c r="CY78" s="6">
        <v>0</v>
      </c>
      <c r="CZ78" s="6">
        <v>7.6470137795405053</v>
      </c>
      <c r="DA78" s="6">
        <v>0</v>
      </c>
      <c r="DB78" s="6">
        <v>0</v>
      </c>
      <c r="DC78" s="6">
        <v>7.6470137795405053</v>
      </c>
      <c r="DD78" s="6">
        <v>0</v>
      </c>
      <c r="DE78" s="6">
        <v>0</v>
      </c>
      <c r="DF78" s="6">
        <v>0</v>
      </c>
      <c r="DG78" s="6">
        <v>7.6470137795405053</v>
      </c>
      <c r="DH78" s="6">
        <v>11.470520669310758</v>
      </c>
      <c r="DI78" s="6">
        <v>19.117534448851263</v>
      </c>
      <c r="DJ78" s="6">
        <v>0</v>
      </c>
      <c r="DK78" s="6">
        <v>3.0588055118162023</v>
      </c>
      <c r="DL78" s="6">
        <v>0</v>
      </c>
      <c r="DM78" s="6">
        <v>0</v>
      </c>
      <c r="DN78" s="6">
        <v>0</v>
      </c>
      <c r="DO78" s="6">
        <v>11.470520669310758</v>
      </c>
      <c r="DP78" s="6">
        <v>0</v>
      </c>
      <c r="DQ78" s="6">
        <v>0</v>
      </c>
      <c r="DR78" s="6">
        <v>0</v>
      </c>
      <c r="DS78" s="6">
        <v>0</v>
      </c>
      <c r="DT78" s="6">
        <v>0</v>
      </c>
      <c r="DU78" s="6">
        <v>0</v>
      </c>
      <c r="DV78" s="6">
        <v>0</v>
      </c>
      <c r="DW78" s="6">
        <v>0</v>
      </c>
      <c r="DX78" s="6">
        <v>0</v>
      </c>
      <c r="DY78" s="6">
        <v>9.5587672244256314</v>
      </c>
      <c r="DZ78" s="6">
        <v>0</v>
      </c>
      <c r="EA78" s="6">
        <v>0</v>
      </c>
      <c r="EB78" s="6">
        <v>0</v>
      </c>
      <c r="EC78" s="6">
        <v>0</v>
      </c>
      <c r="ED78" s="6">
        <v>0</v>
      </c>
      <c r="EE78" s="6">
        <v>0</v>
      </c>
      <c r="EF78" s="6">
        <v>9.176416535448606</v>
      </c>
      <c r="EG78" s="6">
        <v>0</v>
      </c>
      <c r="EH78" s="6">
        <v>0</v>
      </c>
      <c r="EI78" s="6">
        <v>0</v>
      </c>
      <c r="EJ78" s="6">
        <v>0</v>
      </c>
      <c r="EK78" s="6">
        <v>7.6470137795405053</v>
      </c>
      <c r="EL78" s="6">
        <v>0</v>
      </c>
      <c r="EM78" s="6">
        <v>11.470520669310758</v>
      </c>
      <c r="EN78" s="6">
        <v>0</v>
      </c>
      <c r="EO78" s="6">
        <v>0</v>
      </c>
      <c r="EP78" s="6">
        <v>0</v>
      </c>
      <c r="EQ78" s="6">
        <v>5.7352603346553792</v>
      </c>
      <c r="ER78" s="6">
        <v>0</v>
      </c>
      <c r="ES78" s="6">
        <v>0</v>
      </c>
      <c r="ET78" s="6">
        <v>0</v>
      </c>
      <c r="EU78" s="6">
        <v>0</v>
      </c>
      <c r="EV78" s="6">
        <v>0</v>
      </c>
      <c r="EW78" s="6">
        <v>0</v>
      </c>
      <c r="EX78" s="6">
        <v>0</v>
      </c>
      <c r="EY78" s="6">
        <v>7.6470137795405053</v>
      </c>
      <c r="EZ78" s="6">
        <v>0</v>
      </c>
      <c r="FA78" s="6">
        <v>0</v>
      </c>
      <c r="FB78" s="6">
        <v>0</v>
      </c>
      <c r="FC78" s="6">
        <v>0</v>
      </c>
      <c r="FD78" s="6">
        <v>0</v>
      </c>
      <c r="FE78" s="6">
        <v>0</v>
      </c>
      <c r="FF78" s="6">
        <v>0</v>
      </c>
      <c r="FG78" s="6">
        <v>0</v>
      </c>
      <c r="FH78" s="6">
        <v>0</v>
      </c>
      <c r="FI78" s="6">
        <v>0</v>
      </c>
      <c r="FJ78" s="6">
        <v>0</v>
      </c>
      <c r="FK78" s="6">
        <v>0</v>
      </c>
      <c r="FL78" s="6">
        <v>0</v>
      </c>
      <c r="FM78" s="6">
        <v>26.764548228391771</v>
      </c>
      <c r="FN78" s="6">
        <v>0</v>
      </c>
      <c r="FO78" s="6">
        <v>0</v>
      </c>
      <c r="FP78" s="6">
        <v>0</v>
      </c>
      <c r="FQ78" s="6">
        <v>0</v>
      </c>
      <c r="FR78" s="6">
        <v>0</v>
      </c>
      <c r="FS78" s="6">
        <v>0</v>
      </c>
      <c r="FT78" s="6">
        <v>0</v>
      </c>
      <c r="FU78" s="6">
        <v>0</v>
      </c>
      <c r="FV78" s="6">
        <v>0</v>
      </c>
      <c r="FW78" s="6">
        <v>0</v>
      </c>
      <c r="FX78" s="6">
        <v>0</v>
      </c>
      <c r="FY78" s="6">
        <v>0</v>
      </c>
      <c r="FZ78" s="6">
        <v>0</v>
      </c>
      <c r="GA78" s="6">
        <v>0</v>
      </c>
      <c r="GB78" s="6">
        <v>0</v>
      </c>
      <c r="GC78" s="6">
        <v>7.6470137795405053</v>
      </c>
      <c r="GD78" s="6">
        <v>0</v>
      </c>
      <c r="GE78" s="6">
        <v>11.470520669310758</v>
      </c>
      <c r="GF78" s="6">
        <v>0</v>
      </c>
      <c r="GG78" s="6">
        <v>0</v>
      </c>
      <c r="GH78" s="6">
        <v>0</v>
      </c>
      <c r="GI78" s="6">
        <v>0</v>
      </c>
      <c r="GJ78" s="6">
        <v>0</v>
      </c>
      <c r="GK78" s="6">
        <v>0</v>
      </c>
      <c r="GL78" s="6">
        <v>0</v>
      </c>
      <c r="GM78" s="6">
        <v>0</v>
      </c>
      <c r="GN78" s="6">
        <v>0</v>
      </c>
      <c r="GO78" s="6">
        <v>0</v>
      </c>
      <c r="GP78" s="6">
        <v>0</v>
      </c>
      <c r="GQ78" s="6">
        <v>0</v>
      </c>
      <c r="GR78" s="6">
        <v>0</v>
      </c>
      <c r="GS78" s="6">
        <v>0</v>
      </c>
      <c r="GT78" s="6">
        <v>0</v>
      </c>
      <c r="GU78" s="6">
        <v>0</v>
      </c>
      <c r="GV78" s="6">
        <v>0</v>
      </c>
      <c r="GW78" s="6">
        <v>0</v>
      </c>
      <c r="GX78" s="6">
        <v>0</v>
      </c>
      <c r="GY78" s="6">
        <v>0</v>
      </c>
      <c r="GZ78" s="6">
        <v>0</v>
      </c>
      <c r="HA78" s="6">
        <v>0</v>
      </c>
      <c r="HB78" s="6">
        <v>0</v>
      </c>
      <c r="HC78" s="6">
        <v>0</v>
      </c>
      <c r="HD78" s="6">
        <v>0</v>
      </c>
      <c r="HE78" s="6">
        <v>0</v>
      </c>
      <c r="HF78" s="6">
        <v>0</v>
      </c>
      <c r="HG78" s="6">
        <v>0</v>
      </c>
      <c r="HH78" s="6">
        <v>0</v>
      </c>
      <c r="HI78" s="6">
        <v>0</v>
      </c>
      <c r="HJ78" s="6">
        <v>0</v>
      </c>
      <c r="HK78" s="6">
        <v>0</v>
      </c>
      <c r="HL78" s="6">
        <v>0</v>
      </c>
      <c r="HM78" s="6">
        <v>0</v>
      </c>
      <c r="HN78" s="6">
        <v>0</v>
      </c>
      <c r="HO78" s="6">
        <v>0</v>
      </c>
      <c r="HP78" s="6">
        <v>0</v>
      </c>
      <c r="HQ78" s="6">
        <v>0</v>
      </c>
      <c r="HR78" s="6">
        <v>0</v>
      </c>
      <c r="HS78" s="6">
        <v>0</v>
      </c>
      <c r="HT78" s="6">
        <v>0</v>
      </c>
      <c r="HU78" s="6">
        <v>0</v>
      </c>
      <c r="HV78" s="6">
        <v>0</v>
      </c>
      <c r="HW78" s="198">
        <v>0</v>
      </c>
      <c r="HX78" s="63">
        <v>0</v>
      </c>
      <c r="HY78" s="28">
        <v>241.64563543347995</v>
      </c>
      <c r="IA78" s="20">
        <v>1.4816619403075444</v>
      </c>
      <c r="IB78" s="20">
        <v>1.4816619403075444</v>
      </c>
      <c r="II78" s="73" t="s">
        <v>151</v>
      </c>
      <c r="JE78" s="73" t="s">
        <v>151</v>
      </c>
      <c r="JF78" s="6">
        <v>0</v>
      </c>
      <c r="JG78" s="265">
        <v>11.470520669310758</v>
      </c>
      <c r="JH78" s="265">
        <v>24.852794783506642</v>
      </c>
      <c r="JI78" s="265">
        <v>32.499808563047146</v>
      </c>
      <c r="JJ78" s="265">
        <v>85.264203641876634</v>
      </c>
      <c r="JK78" s="265">
        <v>41.676225098495756</v>
      </c>
      <c r="JL78" s="265">
        <v>45.882082677243034</v>
      </c>
      <c r="JM78" s="265">
        <v>0</v>
      </c>
      <c r="JP78" s="266"/>
      <c r="JQ78" s="272"/>
    </row>
    <row r="79" spans="2:277" ht="15" outlineLevel="1" thickBot="1">
      <c r="B79" t="s">
        <v>23</v>
      </c>
      <c r="C79" s="74" t="s">
        <v>8</v>
      </c>
      <c r="D79" s="6">
        <v>0</v>
      </c>
      <c r="E79" s="6">
        <v>0</v>
      </c>
      <c r="F79" s="6">
        <v>0</v>
      </c>
      <c r="G79" s="6">
        <v>0</v>
      </c>
      <c r="H79" s="6">
        <v>0</v>
      </c>
      <c r="I79" s="6">
        <v>0</v>
      </c>
      <c r="J79" s="6">
        <v>0</v>
      </c>
      <c r="K79" s="6">
        <v>0</v>
      </c>
      <c r="L79" s="6">
        <v>0</v>
      </c>
      <c r="M79" s="6">
        <v>0</v>
      </c>
      <c r="N79" s="6">
        <v>0</v>
      </c>
      <c r="O79" s="6">
        <v>0</v>
      </c>
      <c r="P79" s="6">
        <v>0</v>
      </c>
      <c r="Q79" s="6">
        <v>64.043740403651739</v>
      </c>
      <c r="R79" s="6">
        <v>0</v>
      </c>
      <c r="S79" s="6">
        <v>0</v>
      </c>
      <c r="T79" s="6">
        <v>0</v>
      </c>
      <c r="U79" s="6">
        <v>0</v>
      </c>
      <c r="V79" s="6">
        <v>0</v>
      </c>
      <c r="W79" s="6">
        <v>0</v>
      </c>
      <c r="X79" s="6">
        <v>72.89</v>
      </c>
      <c r="Y79" s="6">
        <v>72.89</v>
      </c>
      <c r="Z79" s="6">
        <v>72.89</v>
      </c>
      <c r="AA79" s="6">
        <v>0</v>
      </c>
      <c r="AB79" s="6">
        <v>0</v>
      </c>
      <c r="AC79" s="6">
        <v>0</v>
      </c>
      <c r="AD79" s="6">
        <v>0</v>
      </c>
      <c r="AE79" s="6">
        <v>0</v>
      </c>
      <c r="AF79" s="6">
        <v>0</v>
      </c>
      <c r="AG79" s="6">
        <v>7.6470137795405053</v>
      </c>
      <c r="AH79" s="6">
        <v>3.8235068897702527</v>
      </c>
      <c r="AI79" s="6">
        <v>0</v>
      </c>
      <c r="AJ79" s="6">
        <v>0</v>
      </c>
      <c r="AK79" s="6">
        <v>0</v>
      </c>
      <c r="AL79" s="6">
        <v>0</v>
      </c>
      <c r="AM79" s="6">
        <v>0</v>
      </c>
      <c r="AN79" s="6">
        <v>0</v>
      </c>
      <c r="AO79" s="6">
        <v>0</v>
      </c>
      <c r="AP79" s="6">
        <v>0</v>
      </c>
      <c r="AQ79" s="6">
        <v>0</v>
      </c>
      <c r="AR79" s="6">
        <v>0</v>
      </c>
      <c r="AS79" s="6">
        <v>0</v>
      </c>
      <c r="AT79" s="6">
        <v>0</v>
      </c>
      <c r="AU79" s="6">
        <v>0</v>
      </c>
      <c r="AV79" s="6">
        <v>0</v>
      </c>
      <c r="AW79" s="6">
        <v>0</v>
      </c>
      <c r="AX79" s="6">
        <v>0</v>
      </c>
      <c r="AY79" s="6">
        <v>0</v>
      </c>
      <c r="AZ79" s="6">
        <v>0</v>
      </c>
      <c r="BA79" s="6">
        <v>0</v>
      </c>
      <c r="BB79" s="6">
        <v>0</v>
      </c>
      <c r="BC79" s="6">
        <v>0</v>
      </c>
      <c r="BD79" s="6">
        <v>0</v>
      </c>
      <c r="BE79" s="6">
        <v>0</v>
      </c>
      <c r="BF79" s="6">
        <v>0</v>
      </c>
      <c r="BG79" s="6">
        <v>0</v>
      </c>
      <c r="BH79" s="6">
        <v>0</v>
      </c>
      <c r="BI79" s="6">
        <v>0</v>
      </c>
      <c r="BJ79" s="6">
        <v>0</v>
      </c>
      <c r="BK79" s="6">
        <v>0</v>
      </c>
      <c r="BL79" s="6">
        <v>0</v>
      </c>
      <c r="BM79" s="6">
        <v>0</v>
      </c>
      <c r="BN79" s="6">
        <v>0</v>
      </c>
      <c r="BO79" s="6">
        <v>0</v>
      </c>
      <c r="BP79" s="6">
        <v>0</v>
      </c>
      <c r="BQ79" s="6">
        <v>0</v>
      </c>
      <c r="BR79" s="6">
        <v>0</v>
      </c>
      <c r="BS79" s="6">
        <v>0</v>
      </c>
      <c r="BT79" s="6">
        <v>0</v>
      </c>
      <c r="BU79" s="6">
        <v>0</v>
      </c>
      <c r="BV79" s="6">
        <v>0</v>
      </c>
      <c r="BW79" s="6">
        <v>0</v>
      </c>
      <c r="BX79" s="6">
        <v>0</v>
      </c>
      <c r="BY79" s="6">
        <v>0</v>
      </c>
      <c r="BZ79" s="6">
        <v>0</v>
      </c>
      <c r="CA79" s="6">
        <v>0</v>
      </c>
      <c r="CB79" s="6">
        <v>0</v>
      </c>
      <c r="CC79" s="6">
        <v>0</v>
      </c>
      <c r="CD79" s="6">
        <v>13.382274114195885</v>
      </c>
      <c r="CE79" s="6">
        <v>19.117534448851263</v>
      </c>
      <c r="CF79" s="6">
        <v>0</v>
      </c>
      <c r="CG79" s="6">
        <v>0</v>
      </c>
      <c r="CH79" s="6">
        <v>0</v>
      </c>
      <c r="CI79" s="6">
        <v>0</v>
      </c>
      <c r="CJ79" s="6">
        <v>0</v>
      </c>
      <c r="CK79" s="6">
        <v>0</v>
      </c>
      <c r="CL79" s="6">
        <v>0</v>
      </c>
      <c r="CM79" s="6">
        <v>0</v>
      </c>
      <c r="CN79" s="6">
        <v>0</v>
      </c>
      <c r="CO79" s="6">
        <v>0</v>
      </c>
      <c r="CP79" s="6">
        <v>0</v>
      </c>
      <c r="CQ79" s="6">
        <v>0</v>
      </c>
      <c r="CR79" s="6">
        <v>0</v>
      </c>
      <c r="CS79" s="6">
        <v>0</v>
      </c>
      <c r="CT79" s="6">
        <v>0</v>
      </c>
      <c r="CU79" s="6">
        <v>0</v>
      </c>
      <c r="CV79" s="6">
        <v>0</v>
      </c>
      <c r="CW79" s="6">
        <v>0</v>
      </c>
      <c r="CX79" s="6">
        <v>0</v>
      </c>
      <c r="CY79" s="6">
        <v>0</v>
      </c>
      <c r="CZ79" s="6">
        <v>0</v>
      </c>
      <c r="DA79" s="6">
        <v>0</v>
      </c>
      <c r="DB79" s="6">
        <v>0</v>
      </c>
      <c r="DC79" s="6">
        <v>0</v>
      </c>
      <c r="DD79" s="6">
        <v>0</v>
      </c>
      <c r="DE79" s="6">
        <v>0</v>
      </c>
      <c r="DF79" s="6">
        <v>0</v>
      </c>
      <c r="DG79" s="6">
        <v>16.020493868137358</v>
      </c>
      <c r="DH79" s="6">
        <v>16.020493868137358</v>
      </c>
      <c r="DI79" s="6">
        <v>16.020493868137358</v>
      </c>
      <c r="DJ79" s="6">
        <v>0</v>
      </c>
      <c r="DK79" s="6">
        <v>0</v>
      </c>
      <c r="DL79" s="6">
        <v>0</v>
      </c>
      <c r="DM79" s="6">
        <v>0</v>
      </c>
      <c r="DN79" s="6">
        <v>0</v>
      </c>
      <c r="DO79" s="6">
        <v>0</v>
      </c>
      <c r="DP79" s="6">
        <v>0</v>
      </c>
      <c r="DQ79" s="6">
        <v>0</v>
      </c>
      <c r="DR79" s="6">
        <v>0</v>
      </c>
      <c r="DS79" s="6">
        <v>202.64586515782341</v>
      </c>
      <c r="DT79" s="6">
        <v>0</v>
      </c>
      <c r="DU79" s="6">
        <v>0</v>
      </c>
      <c r="DV79" s="6">
        <v>0</v>
      </c>
      <c r="DW79" s="6">
        <v>0</v>
      </c>
      <c r="DX79" s="6">
        <v>0</v>
      </c>
      <c r="DY79" s="6">
        <v>22.941041338621517</v>
      </c>
      <c r="DZ79" s="6">
        <v>15.294027559081011</v>
      </c>
      <c r="EA79" s="6">
        <v>0</v>
      </c>
      <c r="EB79" s="6">
        <v>0</v>
      </c>
      <c r="EC79" s="6">
        <v>0</v>
      </c>
      <c r="ED79" s="6">
        <v>0</v>
      </c>
      <c r="EE79" s="6">
        <v>0</v>
      </c>
      <c r="EF79" s="6">
        <v>0</v>
      </c>
      <c r="EG79" s="6">
        <v>0</v>
      </c>
      <c r="EH79" s="6">
        <v>0</v>
      </c>
      <c r="EI79" s="6">
        <v>0</v>
      </c>
      <c r="EJ79" s="6">
        <v>0</v>
      </c>
      <c r="EK79" s="6">
        <v>0</v>
      </c>
      <c r="EL79" s="6">
        <v>13.764624803172911</v>
      </c>
      <c r="EM79" s="6">
        <v>13.764624803172911</v>
      </c>
      <c r="EN79" s="6">
        <v>13.764624803172911</v>
      </c>
      <c r="EO79" s="6">
        <v>0</v>
      </c>
      <c r="EP79" s="6">
        <v>0</v>
      </c>
      <c r="EQ79" s="6">
        <v>0</v>
      </c>
      <c r="ER79" s="6">
        <v>0</v>
      </c>
      <c r="ES79" s="6">
        <v>0</v>
      </c>
      <c r="ET79" s="6">
        <v>0</v>
      </c>
      <c r="EU79" s="6">
        <v>0</v>
      </c>
      <c r="EV79" s="6">
        <v>0</v>
      </c>
      <c r="EW79" s="6">
        <v>0</v>
      </c>
      <c r="EX79" s="6">
        <v>0</v>
      </c>
      <c r="EY79" s="6">
        <v>0</v>
      </c>
      <c r="EZ79" s="6">
        <v>0</v>
      </c>
      <c r="FA79" s="6">
        <v>42.058575787472783</v>
      </c>
      <c r="FB79" s="6">
        <v>42.058575787472783</v>
      </c>
      <c r="FC79" s="6">
        <v>0</v>
      </c>
      <c r="FD79" s="6">
        <v>0</v>
      </c>
      <c r="FE79" s="6">
        <v>0</v>
      </c>
      <c r="FF79" s="6">
        <v>0</v>
      </c>
      <c r="FG79" s="6">
        <v>0</v>
      </c>
      <c r="FH79" s="6">
        <v>0</v>
      </c>
      <c r="FI79" s="6">
        <v>0</v>
      </c>
      <c r="FJ79" s="6">
        <v>0</v>
      </c>
      <c r="FK79" s="6">
        <v>0</v>
      </c>
      <c r="FL79" s="6">
        <v>0</v>
      </c>
      <c r="FM79" s="6">
        <v>0</v>
      </c>
      <c r="FN79" s="6">
        <v>0</v>
      </c>
      <c r="FO79" s="6">
        <v>0</v>
      </c>
      <c r="FP79" s="6">
        <v>0</v>
      </c>
      <c r="FQ79" s="6">
        <v>0</v>
      </c>
      <c r="FR79" s="6">
        <v>0</v>
      </c>
      <c r="FS79" s="6">
        <v>0</v>
      </c>
      <c r="FT79" s="6">
        <v>0</v>
      </c>
      <c r="FU79" s="6">
        <v>0</v>
      </c>
      <c r="FV79" s="6">
        <v>0</v>
      </c>
      <c r="FW79" s="6">
        <v>0</v>
      </c>
      <c r="FX79" s="6">
        <v>0</v>
      </c>
      <c r="FY79" s="6">
        <v>0</v>
      </c>
      <c r="FZ79" s="6">
        <v>0</v>
      </c>
      <c r="GA79" s="6">
        <v>0</v>
      </c>
      <c r="GB79" s="6">
        <v>0</v>
      </c>
      <c r="GC79" s="6">
        <v>42.058575787472783</v>
      </c>
      <c r="GD79" s="6">
        <v>0</v>
      </c>
      <c r="GE79" s="6">
        <v>0</v>
      </c>
      <c r="GF79" s="6">
        <v>0</v>
      </c>
      <c r="GG79" s="6">
        <v>0</v>
      </c>
      <c r="GH79" s="6">
        <v>0</v>
      </c>
      <c r="GI79" s="6">
        <v>0</v>
      </c>
      <c r="GJ79" s="6">
        <v>0</v>
      </c>
      <c r="GK79" s="6">
        <v>0</v>
      </c>
      <c r="GL79" s="6">
        <v>0</v>
      </c>
      <c r="GM79" s="6">
        <v>0</v>
      </c>
      <c r="GN79" s="6">
        <v>0</v>
      </c>
      <c r="GO79" s="6">
        <v>0</v>
      </c>
      <c r="GP79" s="6">
        <v>0</v>
      </c>
      <c r="GQ79" s="6">
        <v>0</v>
      </c>
      <c r="GR79" s="6">
        <v>0</v>
      </c>
      <c r="GS79" s="6">
        <v>0</v>
      </c>
      <c r="GT79" s="6">
        <v>0</v>
      </c>
      <c r="GU79" s="6">
        <v>0</v>
      </c>
      <c r="GV79" s="6">
        <v>0</v>
      </c>
      <c r="GW79" s="6">
        <v>0</v>
      </c>
      <c r="GX79" s="6">
        <v>0</v>
      </c>
      <c r="GY79" s="6">
        <v>22.941041338621517</v>
      </c>
      <c r="GZ79" s="6">
        <v>22.941041338621517</v>
      </c>
      <c r="HA79" s="6">
        <v>19.117534448851263</v>
      </c>
      <c r="HB79" s="6">
        <v>0</v>
      </c>
      <c r="HC79" s="6">
        <v>0</v>
      </c>
      <c r="HD79" s="6">
        <v>0</v>
      </c>
      <c r="HE79" s="6">
        <v>0</v>
      </c>
      <c r="HF79" s="6">
        <v>0</v>
      </c>
      <c r="HG79" s="6">
        <v>0</v>
      </c>
      <c r="HH79" s="6">
        <v>0</v>
      </c>
      <c r="HI79" s="6">
        <v>0</v>
      </c>
      <c r="HJ79" s="6">
        <v>0</v>
      </c>
      <c r="HK79" s="6">
        <v>0</v>
      </c>
      <c r="HL79" s="6">
        <v>0</v>
      </c>
      <c r="HM79" s="6">
        <v>0</v>
      </c>
      <c r="HN79" s="6">
        <v>0</v>
      </c>
      <c r="HO79" s="6">
        <v>0</v>
      </c>
      <c r="HP79" s="6">
        <v>0</v>
      </c>
      <c r="HQ79" s="6">
        <v>0</v>
      </c>
      <c r="HR79" s="6">
        <v>0</v>
      </c>
      <c r="HS79" s="6">
        <v>0</v>
      </c>
      <c r="HT79" s="6">
        <v>0</v>
      </c>
      <c r="HU79" s="6">
        <v>0</v>
      </c>
      <c r="HV79" s="6">
        <v>0</v>
      </c>
      <c r="HW79" s="198">
        <v>0</v>
      </c>
      <c r="HX79" s="63">
        <v>0</v>
      </c>
      <c r="HY79" s="28">
        <v>848.09570419397892</v>
      </c>
      <c r="IA79" s="20">
        <v>0</v>
      </c>
      <c r="IB79" s="20">
        <v>0</v>
      </c>
      <c r="II79" s="74" t="s">
        <v>8</v>
      </c>
      <c r="JE79" s="74" t="s">
        <v>8</v>
      </c>
      <c r="JF79" s="6">
        <v>0</v>
      </c>
      <c r="JG79" s="265">
        <v>294.1842610729625</v>
      </c>
      <c r="JH79" s="265">
        <v>0</v>
      </c>
      <c r="JI79" s="265">
        <v>32.499808563047146</v>
      </c>
      <c r="JJ79" s="265">
        <v>288.94241565993804</v>
      </c>
      <c r="JK79" s="265">
        <v>125.41102598446432</v>
      </c>
      <c r="JL79" s="265">
        <v>42.058575787472783</v>
      </c>
      <c r="JM79" s="265">
        <v>64.999617126094293</v>
      </c>
      <c r="JO79" s="268"/>
      <c r="JQ79" s="142"/>
    </row>
    <row r="80" spans="2:277" outlineLevel="1">
      <c r="B80" t="s">
        <v>25</v>
      </c>
      <c r="C80" s="72" t="s">
        <v>150</v>
      </c>
      <c r="D80" s="6">
        <v>0</v>
      </c>
      <c r="E80" s="6">
        <v>30</v>
      </c>
      <c r="F80" s="6">
        <v>14.146975492149936</v>
      </c>
      <c r="G80" s="6">
        <v>0</v>
      </c>
      <c r="H80" s="6">
        <v>0.95587672244256316</v>
      </c>
      <c r="I80" s="6">
        <v>0</v>
      </c>
      <c r="J80" s="6">
        <v>0</v>
      </c>
      <c r="K80" s="6">
        <v>0</v>
      </c>
      <c r="L80" s="6">
        <v>0</v>
      </c>
      <c r="M80" s="6">
        <v>0</v>
      </c>
      <c r="N80" s="6">
        <v>0</v>
      </c>
      <c r="O80" s="6">
        <v>0</v>
      </c>
      <c r="P80" s="6">
        <v>0</v>
      </c>
      <c r="Q80" s="6">
        <v>0</v>
      </c>
      <c r="R80" s="6">
        <v>0</v>
      </c>
      <c r="S80" s="6">
        <v>0</v>
      </c>
      <c r="T80" s="6">
        <v>0</v>
      </c>
      <c r="U80" s="6">
        <v>0</v>
      </c>
      <c r="V80" s="6">
        <v>0</v>
      </c>
      <c r="W80" s="6">
        <v>0</v>
      </c>
      <c r="X80" s="6">
        <v>16.249904281523573</v>
      </c>
      <c r="Y80" s="6">
        <v>22.941041338621517</v>
      </c>
      <c r="Z80" s="6">
        <v>0.76470137795405058</v>
      </c>
      <c r="AA80" s="6">
        <v>16.249904281523573</v>
      </c>
      <c r="AB80" s="6">
        <v>11.470520669310758</v>
      </c>
      <c r="AC80" s="6">
        <v>0</v>
      </c>
      <c r="AD80" s="6">
        <v>0</v>
      </c>
      <c r="AE80" s="6">
        <v>0</v>
      </c>
      <c r="AF80" s="6">
        <v>0</v>
      </c>
      <c r="AG80" s="6">
        <v>0</v>
      </c>
      <c r="AH80" s="6">
        <v>0</v>
      </c>
      <c r="AI80" s="6">
        <v>0</v>
      </c>
      <c r="AJ80" s="6">
        <v>0</v>
      </c>
      <c r="AK80" s="6">
        <v>0</v>
      </c>
      <c r="AL80" s="6">
        <v>0</v>
      </c>
      <c r="AM80" s="6">
        <v>0</v>
      </c>
      <c r="AN80" s="6">
        <v>0</v>
      </c>
      <c r="AO80" s="6">
        <v>0</v>
      </c>
      <c r="AP80" s="6">
        <v>0</v>
      </c>
      <c r="AQ80" s="6">
        <v>0</v>
      </c>
      <c r="AR80" s="6">
        <v>0</v>
      </c>
      <c r="AS80" s="6">
        <v>0</v>
      </c>
      <c r="AT80" s="6">
        <v>0</v>
      </c>
      <c r="AU80" s="6">
        <v>0</v>
      </c>
      <c r="AV80" s="6">
        <v>0</v>
      </c>
      <c r="AW80" s="6">
        <v>0</v>
      </c>
      <c r="AX80" s="6">
        <v>0</v>
      </c>
      <c r="AY80" s="6">
        <v>0</v>
      </c>
      <c r="AZ80" s="6">
        <v>0</v>
      </c>
      <c r="BA80" s="6">
        <v>0</v>
      </c>
      <c r="BB80" s="6">
        <v>0</v>
      </c>
      <c r="BC80" s="6">
        <v>0</v>
      </c>
      <c r="BD80" s="6">
        <v>0</v>
      </c>
      <c r="BE80" s="6">
        <v>0</v>
      </c>
      <c r="BF80" s="6">
        <v>0</v>
      </c>
      <c r="BG80" s="6">
        <v>0</v>
      </c>
      <c r="BH80" s="6">
        <v>0</v>
      </c>
      <c r="BI80" s="6">
        <v>0</v>
      </c>
      <c r="BJ80" s="6">
        <v>0</v>
      </c>
      <c r="BK80" s="6">
        <v>0</v>
      </c>
      <c r="BL80" s="6">
        <v>17.205781003966138</v>
      </c>
      <c r="BM80" s="6">
        <v>17.205781003966138</v>
      </c>
      <c r="BN80" s="6">
        <v>0</v>
      </c>
      <c r="BO80" s="6">
        <v>0</v>
      </c>
      <c r="BP80" s="6">
        <v>0</v>
      </c>
      <c r="BQ80" s="6">
        <v>0</v>
      </c>
      <c r="BR80" s="6">
        <v>0</v>
      </c>
      <c r="BS80" s="6">
        <v>0</v>
      </c>
      <c r="BT80" s="6">
        <v>0</v>
      </c>
      <c r="BU80" s="6">
        <v>0</v>
      </c>
      <c r="BV80" s="6">
        <v>0</v>
      </c>
      <c r="BW80" s="6">
        <v>0</v>
      </c>
      <c r="BX80" s="6">
        <v>0</v>
      </c>
      <c r="BY80" s="6">
        <v>0</v>
      </c>
      <c r="BZ80" s="6">
        <v>0</v>
      </c>
      <c r="CA80" s="6">
        <v>0</v>
      </c>
      <c r="CB80" s="6">
        <v>0</v>
      </c>
      <c r="CC80" s="6">
        <v>0</v>
      </c>
      <c r="CD80" s="6">
        <v>3.8235068897702527</v>
      </c>
      <c r="CE80" s="6">
        <v>68.823124015864551</v>
      </c>
      <c r="CF80" s="6">
        <v>1.9117534448851263</v>
      </c>
      <c r="CG80" s="6">
        <v>0</v>
      </c>
      <c r="CH80" s="6">
        <v>0</v>
      </c>
      <c r="CI80" s="6">
        <v>0</v>
      </c>
      <c r="CJ80" s="6">
        <v>0</v>
      </c>
      <c r="CK80" s="6">
        <v>0</v>
      </c>
      <c r="CL80" s="6">
        <v>0</v>
      </c>
      <c r="CM80" s="6">
        <v>0</v>
      </c>
      <c r="CN80" s="6">
        <v>0</v>
      </c>
      <c r="CO80" s="6">
        <v>0</v>
      </c>
      <c r="CP80" s="6">
        <v>0</v>
      </c>
      <c r="CQ80" s="6">
        <v>0</v>
      </c>
      <c r="CR80" s="6">
        <v>0</v>
      </c>
      <c r="CS80" s="6">
        <v>0</v>
      </c>
      <c r="CT80" s="6">
        <v>0</v>
      </c>
      <c r="CU80" s="6">
        <v>0</v>
      </c>
      <c r="CV80" s="6">
        <v>0</v>
      </c>
      <c r="CW80" s="6">
        <v>0</v>
      </c>
      <c r="CX80" s="6">
        <v>0</v>
      </c>
      <c r="CY80" s="6">
        <v>0</v>
      </c>
      <c r="CZ80" s="6">
        <v>0</v>
      </c>
      <c r="DA80" s="6">
        <v>0</v>
      </c>
      <c r="DB80" s="6">
        <v>0</v>
      </c>
      <c r="DC80" s="6">
        <v>0</v>
      </c>
      <c r="DD80" s="6">
        <v>0</v>
      </c>
      <c r="DE80" s="6">
        <v>0</v>
      </c>
      <c r="DF80" s="6">
        <v>0</v>
      </c>
      <c r="DG80" s="6">
        <v>10.323468602379682</v>
      </c>
      <c r="DH80" s="6">
        <v>0</v>
      </c>
      <c r="DI80" s="6">
        <v>4.9705589567013284</v>
      </c>
      <c r="DJ80" s="6">
        <v>10.323468602379682</v>
      </c>
      <c r="DK80" s="6">
        <v>0</v>
      </c>
      <c r="DL80" s="6">
        <v>0</v>
      </c>
      <c r="DM80" s="6">
        <v>28.293950984299872</v>
      </c>
      <c r="DN80" s="6">
        <v>0</v>
      </c>
      <c r="DO80" s="6">
        <v>0</v>
      </c>
      <c r="DP80" s="6">
        <v>0</v>
      </c>
      <c r="DQ80" s="6">
        <v>0</v>
      </c>
      <c r="DR80" s="6">
        <v>0</v>
      </c>
      <c r="DS80" s="6">
        <v>1.9117534448851263</v>
      </c>
      <c r="DT80" s="6">
        <v>1.9117534448851263</v>
      </c>
      <c r="DU80" s="6">
        <v>0</v>
      </c>
      <c r="DV80" s="6">
        <v>0</v>
      </c>
      <c r="DW80" s="6">
        <v>0</v>
      </c>
      <c r="DX80" s="6">
        <v>0</v>
      </c>
      <c r="DY80" s="6">
        <v>22.941041338621517</v>
      </c>
      <c r="DZ80" s="6">
        <v>5.7352603346553792</v>
      </c>
      <c r="EA80" s="6">
        <v>9.176416535448606</v>
      </c>
      <c r="EB80" s="6">
        <v>0</v>
      </c>
      <c r="EC80" s="6">
        <v>0</v>
      </c>
      <c r="ED80" s="6">
        <v>0</v>
      </c>
      <c r="EE80" s="6">
        <v>0</v>
      </c>
      <c r="EF80" s="6">
        <v>0</v>
      </c>
      <c r="EG80" s="6">
        <v>0</v>
      </c>
      <c r="EH80" s="6">
        <v>0</v>
      </c>
      <c r="EI80" s="6">
        <v>0</v>
      </c>
      <c r="EJ80" s="6">
        <v>0</v>
      </c>
      <c r="EK80" s="6">
        <v>0</v>
      </c>
      <c r="EL80" s="6">
        <v>0</v>
      </c>
      <c r="EM80" s="6">
        <v>0</v>
      </c>
      <c r="EN80" s="6">
        <v>0</v>
      </c>
      <c r="EO80" s="6">
        <v>16.249904281523573</v>
      </c>
      <c r="EP80" s="6">
        <v>0</v>
      </c>
      <c r="EQ80" s="6">
        <v>0</v>
      </c>
      <c r="ER80" s="6">
        <v>0</v>
      </c>
      <c r="ES80" s="6">
        <v>0</v>
      </c>
      <c r="ET80" s="6">
        <v>0</v>
      </c>
      <c r="EU80" s="6">
        <v>0</v>
      </c>
      <c r="EV80" s="6">
        <v>0</v>
      </c>
      <c r="EW80" s="6">
        <v>0</v>
      </c>
      <c r="EX80" s="6">
        <v>0</v>
      </c>
      <c r="EY80" s="6">
        <v>0</v>
      </c>
      <c r="EZ80" s="6">
        <v>0</v>
      </c>
      <c r="FA80" s="6">
        <v>35.940964763840377</v>
      </c>
      <c r="FB80" s="6">
        <v>19.882235826805314</v>
      </c>
      <c r="FC80" s="6">
        <v>35.940964763840377</v>
      </c>
      <c r="FD80" s="6">
        <v>0</v>
      </c>
      <c r="FE80" s="6">
        <v>0</v>
      </c>
      <c r="FF80" s="6">
        <v>0</v>
      </c>
      <c r="FG80" s="6">
        <v>0</v>
      </c>
      <c r="FH80" s="6">
        <v>0</v>
      </c>
      <c r="FI80" s="6">
        <v>0</v>
      </c>
      <c r="FJ80" s="6">
        <v>0</v>
      </c>
      <c r="FK80" s="6">
        <v>0</v>
      </c>
      <c r="FL80" s="6">
        <v>0</v>
      </c>
      <c r="FM80" s="6">
        <v>0</v>
      </c>
      <c r="FN80" s="6">
        <v>0</v>
      </c>
      <c r="FO80" s="6">
        <v>0</v>
      </c>
      <c r="FP80" s="6">
        <v>0</v>
      </c>
      <c r="FQ80" s="6">
        <v>0</v>
      </c>
      <c r="FR80" s="6">
        <v>0</v>
      </c>
      <c r="FS80" s="6">
        <v>0</v>
      </c>
      <c r="FT80" s="6">
        <v>0</v>
      </c>
      <c r="FU80" s="6">
        <v>0</v>
      </c>
      <c r="FV80" s="6">
        <v>0</v>
      </c>
      <c r="FW80" s="6">
        <v>0</v>
      </c>
      <c r="FX80" s="6">
        <v>0</v>
      </c>
      <c r="FY80" s="6">
        <v>0</v>
      </c>
      <c r="FZ80" s="6">
        <v>0</v>
      </c>
      <c r="GA80" s="6">
        <v>0</v>
      </c>
      <c r="GB80" s="6">
        <v>0</v>
      </c>
      <c r="GC80" s="6">
        <v>43.970329232357905</v>
      </c>
      <c r="GD80" s="6">
        <v>0</v>
      </c>
      <c r="GE80" s="6">
        <v>0</v>
      </c>
      <c r="GF80" s="6">
        <v>0</v>
      </c>
      <c r="GG80" s="6">
        <v>0</v>
      </c>
      <c r="GH80" s="6">
        <v>0</v>
      </c>
      <c r="GI80" s="6">
        <v>0</v>
      </c>
      <c r="GJ80" s="6">
        <v>0</v>
      </c>
      <c r="GK80" s="6">
        <v>0</v>
      </c>
      <c r="GL80" s="6">
        <v>0</v>
      </c>
      <c r="GM80" s="6">
        <v>0</v>
      </c>
      <c r="GN80" s="6">
        <v>0</v>
      </c>
      <c r="GO80" s="6">
        <v>0</v>
      </c>
      <c r="GP80" s="6">
        <v>0</v>
      </c>
      <c r="GQ80" s="6">
        <v>0</v>
      </c>
      <c r="GR80" s="6">
        <v>0</v>
      </c>
      <c r="GS80" s="6">
        <v>0</v>
      </c>
      <c r="GT80" s="6">
        <v>0</v>
      </c>
      <c r="GU80" s="6">
        <v>0</v>
      </c>
      <c r="GV80" s="6">
        <v>26.382197539414744</v>
      </c>
      <c r="GW80" s="6">
        <v>0</v>
      </c>
      <c r="GX80" s="6">
        <v>0</v>
      </c>
      <c r="GY80" s="6">
        <v>45.117381299288986</v>
      </c>
      <c r="GZ80" s="6">
        <v>13.191098769707372</v>
      </c>
      <c r="HA80" s="6">
        <v>13.382274114195885</v>
      </c>
      <c r="HB80" s="6">
        <v>45.117381299288986</v>
      </c>
      <c r="HC80" s="6">
        <v>0</v>
      </c>
      <c r="HD80" s="6">
        <v>0</v>
      </c>
      <c r="HE80" s="6">
        <v>0</v>
      </c>
      <c r="HF80" s="6">
        <v>0</v>
      </c>
      <c r="HG80" s="6">
        <v>19.117534448851263</v>
      </c>
      <c r="HH80" s="6">
        <v>33</v>
      </c>
      <c r="HI80" s="6">
        <v>0</v>
      </c>
      <c r="HJ80" s="6">
        <v>0</v>
      </c>
      <c r="HK80" s="6">
        <v>0</v>
      </c>
      <c r="HL80" s="6">
        <v>0</v>
      </c>
      <c r="HM80" s="6">
        <v>0</v>
      </c>
      <c r="HN80" s="6">
        <v>0</v>
      </c>
      <c r="HO80" s="6">
        <v>0</v>
      </c>
      <c r="HP80" s="6">
        <v>0</v>
      </c>
      <c r="HQ80" s="6">
        <v>0</v>
      </c>
      <c r="HR80" s="6">
        <v>0</v>
      </c>
      <c r="HS80" s="6">
        <v>0</v>
      </c>
      <c r="HT80" s="6">
        <v>0</v>
      </c>
      <c r="HU80" s="6">
        <v>0</v>
      </c>
      <c r="HV80" s="6">
        <v>0</v>
      </c>
      <c r="HW80" s="198">
        <v>0</v>
      </c>
      <c r="HX80" s="63">
        <v>0</v>
      </c>
      <c r="HY80" s="28">
        <v>664.62880910534943</v>
      </c>
      <c r="IA80" s="20">
        <v>9.6011457449589646</v>
      </c>
      <c r="IB80" s="20">
        <v>9.6011457449589646</v>
      </c>
      <c r="II80" s="72" t="s">
        <v>150</v>
      </c>
      <c r="JE80" s="72" t="s">
        <v>150</v>
      </c>
      <c r="JF80" s="267">
        <v>45.102852214592495</v>
      </c>
      <c r="JG80" s="265">
        <v>67.676071948933469</v>
      </c>
      <c r="JH80" s="265">
        <v>34.411562007932275</v>
      </c>
      <c r="JI80" s="265">
        <v>74.55838435051993</v>
      </c>
      <c r="JJ80" s="265">
        <v>86.411255708807715</v>
      </c>
      <c r="JK80" s="265">
        <v>117.19048617145825</v>
      </c>
      <c r="JL80" s="265">
        <v>43.970329232357905</v>
      </c>
      <c r="JM80" s="265">
        <v>195.30786747074723</v>
      </c>
      <c r="JQ80" s="142"/>
    </row>
    <row r="81" spans="1:284" ht="15" outlineLevel="1" thickBot="1">
      <c r="B81" t="s">
        <v>25</v>
      </c>
      <c r="C81" s="74" t="s">
        <v>144</v>
      </c>
      <c r="D81" s="6">
        <v>0</v>
      </c>
      <c r="E81" s="6">
        <v>901.84137057097939</v>
      </c>
      <c r="F81" s="6">
        <v>0</v>
      </c>
      <c r="G81" s="6">
        <v>0</v>
      </c>
      <c r="H81" s="6">
        <v>0</v>
      </c>
      <c r="I81" s="6">
        <v>0</v>
      </c>
      <c r="J81" s="6">
        <v>0</v>
      </c>
      <c r="K81" s="6">
        <v>0</v>
      </c>
      <c r="L81" s="6">
        <v>0</v>
      </c>
      <c r="M81" s="6">
        <v>0</v>
      </c>
      <c r="N81" s="6">
        <v>0</v>
      </c>
      <c r="O81" s="6">
        <v>0</v>
      </c>
      <c r="P81" s="6">
        <v>0</v>
      </c>
      <c r="Q81" s="6">
        <v>0</v>
      </c>
      <c r="R81" s="6">
        <v>0</v>
      </c>
      <c r="S81" s="6">
        <v>0</v>
      </c>
      <c r="T81" s="6">
        <v>0</v>
      </c>
      <c r="U81" s="6">
        <v>0</v>
      </c>
      <c r="V81" s="6">
        <v>0</v>
      </c>
      <c r="W81" s="6">
        <v>0</v>
      </c>
      <c r="X81" s="6">
        <v>168.23430314989113</v>
      </c>
      <c r="Y81" s="6">
        <v>0</v>
      </c>
      <c r="Z81" s="6">
        <v>0</v>
      </c>
      <c r="AA81" s="6">
        <v>0</v>
      </c>
      <c r="AB81" s="6">
        <v>0</v>
      </c>
      <c r="AC81" s="6">
        <v>0</v>
      </c>
      <c r="AD81" s="6">
        <v>0</v>
      </c>
      <c r="AE81" s="6">
        <v>0</v>
      </c>
      <c r="AF81" s="6">
        <v>0</v>
      </c>
      <c r="AG81" s="6">
        <v>0</v>
      </c>
      <c r="AH81" s="6">
        <v>0</v>
      </c>
      <c r="AI81" s="6">
        <v>0</v>
      </c>
      <c r="AJ81" s="6">
        <v>0</v>
      </c>
      <c r="AK81" s="6">
        <v>0</v>
      </c>
      <c r="AL81" s="6">
        <v>0</v>
      </c>
      <c r="AM81" s="6">
        <v>63.087863681209171</v>
      </c>
      <c r="AN81" s="6">
        <v>0</v>
      </c>
      <c r="AO81" s="6">
        <v>0</v>
      </c>
      <c r="AP81" s="6">
        <v>0</v>
      </c>
      <c r="AQ81" s="6">
        <v>0</v>
      </c>
      <c r="AR81" s="6">
        <v>0</v>
      </c>
      <c r="AS81" s="6">
        <v>0</v>
      </c>
      <c r="AT81" s="6">
        <v>0</v>
      </c>
      <c r="AU81" s="6">
        <v>0</v>
      </c>
      <c r="AV81" s="6">
        <v>0</v>
      </c>
      <c r="AW81" s="6">
        <v>0</v>
      </c>
      <c r="AX81" s="6">
        <v>0</v>
      </c>
      <c r="AY81" s="6">
        <v>0</v>
      </c>
      <c r="AZ81" s="6">
        <v>0</v>
      </c>
      <c r="BA81" s="6">
        <v>0</v>
      </c>
      <c r="BB81" s="6">
        <v>0</v>
      </c>
      <c r="BC81" s="6">
        <v>0</v>
      </c>
      <c r="BD81" s="6">
        <v>0</v>
      </c>
      <c r="BE81" s="6">
        <v>0</v>
      </c>
      <c r="BF81" s="6">
        <v>0</v>
      </c>
      <c r="BG81" s="6">
        <v>0</v>
      </c>
      <c r="BH81" s="6">
        <v>0</v>
      </c>
      <c r="BI81" s="6">
        <v>0</v>
      </c>
      <c r="BJ81" s="6">
        <v>0</v>
      </c>
      <c r="BK81" s="6">
        <v>0</v>
      </c>
      <c r="BL81" s="6">
        <v>0</v>
      </c>
      <c r="BM81" s="6">
        <v>0</v>
      </c>
      <c r="BN81" s="6">
        <v>0</v>
      </c>
      <c r="BO81" s="6">
        <v>0</v>
      </c>
      <c r="BP81" s="6">
        <v>0</v>
      </c>
      <c r="BQ81" s="6">
        <v>64.999617126094293</v>
      </c>
      <c r="BR81" s="6">
        <v>0</v>
      </c>
      <c r="BS81" s="6">
        <v>0</v>
      </c>
      <c r="BT81" s="6">
        <v>0</v>
      </c>
      <c r="BU81" s="6">
        <v>0</v>
      </c>
      <c r="BV81" s="6">
        <v>0</v>
      </c>
      <c r="BW81" s="6">
        <v>0</v>
      </c>
      <c r="BX81" s="6">
        <v>0</v>
      </c>
      <c r="BY81" s="6">
        <v>0</v>
      </c>
      <c r="BZ81" s="6">
        <v>26.764548228391771</v>
      </c>
      <c r="CA81" s="6">
        <v>0</v>
      </c>
      <c r="CB81" s="6">
        <v>0</v>
      </c>
      <c r="CC81" s="6">
        <v>0</v>
      </c>
      <c r="CD81" s="6">
        <v>0</v>
      </c>
      <c r="CE81" s="6">
        <v>0</v>
      </c>
      <c r="CF81" s="6">
        <v>0</v>
      </c>
      <c r="CG81" s="6">
        <v>0</v>
      </c>
      <c r="CH81" s="6">
        <v>0</v>
      </c>
      <c r="CI81" s="6">
        <v>12.426397391753321</v>
      </c>
      <c r="CJ81" s="6">
        <v>279.88070433118253</v>
      </c>
      <c r="CK81" s="6">
        <v>0</v>
      </c>
      <c r="CL81" s="6">
        <v>0</v>
      </c>
      <c r="CM81" s="6">
        <v>0</v>
      </c>
      <c r="CN81" s="6">
        <v>16.249904281523573</v>
      </c>
      <c r="CO81" s="6">
        <v>0</v>
      </c>
      <c r="CP81" s="6">
        <v>13.955800147661423</v>
      </c>
      <c r="CQ81" s="6">
        <v>0</v>
      </c>
      <c r="CR81" s="6">
        <v>0</v>
      </c>
      <c r="CS81" s="6">
        <v>0</v>
      </c>
      <c r="CT81" s="6">
        <v>0</v>
      </c>
      <c r="CU81" s="6">
        <v>0</v>
      </c>
      <c r="CV81" s="6">
        <v>0</v>
      </c>
      <c r="CW81" s="6">
        <v>0</v>
      </c>
      <c r="CX81" s="6">
        <v>0</v>
      </c>
      <c r="CY81" s="6">
        <v>0</v>
      </c>
      <c r="CZ81" s="6">
        <v>0</v>
      </c>
      <c r="DA81" s="6">
        <v>0</v>
      </c>
      <c r="DB81" s="6">
        <v>0</v>
      </c>
      <c r="DC81" s="6">
        <v>0</v>
      </c>
      <c r="DD81" s="6">
        <v>0</v>
      </c>
      <c r="DE81" s="6">
        <v>0</v>
      </c>
      <c r="DF81" s="6">
        <v>0</v>
      </c>
      <c r="DG81" s="6">
        <v>0</v>
      </c>
      <c r="DH81" s="6">
        <v>0</v>
      </c>
      <c r="DI81" s="6">
        <v>0</v>
      </c>
      <c r="DJ81" s="6">
        <v>0</v>
      </c>
      <c r="DK81" s="6">
        <v>0</v>
      </c>
      <c r="DL81" s="6">
        <v>0</v>
      </c>
      <c r="DM81" s="6">
        <v>0</v>
      </c>
      <c r="DN81" s="6">
        <v>0</v>
      </c>
      <c r="DO81" s="6">
        <v>0</v>
      </c>
      <c r="DP81" s="6">
        <v>0</v>
      </c>
      <c r="DQ81" s="6">
        <v>0</v>
      </c>
      <c r="DR81" s="6">
        <v>0</v>
      </c>
      <c r="DS81" s="6">
        <v>0</v>
      </c>
      <c r="DT81" s="6">
        <v>0</v>
      </c>
      <c r="DU81" s="6">
        <v>0</v>
      </c>
      <c r="DV81" s="6">
        <v>0</v>
      </c>
      <c r="DW81" s="6">
        <v>0</v>
      </c>
      <c r="DX81" s="6">
        <v>0</v>
      </c>
      <c r="DY81" s="6">
        <v>0</v>
      </c>
      <c r="DZ81" s="6">
        <v>0</v>
      </c>
      <c r="EA81" s="6">
        <v>0</v>
      </c>
      <c r="EB81" s="6">
        <v>0</v>
      </c>
      <c r="EC81" s="6">
        <v>0</v>
      </c>
      <c r="ED81" s="6">
        <v>0</v>
      </c>
      <c r="EE81" s="6">
        <v>0</v>
      </c>
      <c r="EF81" s="6">
        <v>0</v>
      </c>
      <c r="EG81" s="6">
        <v>0</v>
      </c>
      <c r="EH81" s="6">
        <v>0</v>
      </c>
      <c r="EI81" s="6">
        <v>0</v>
      </c>
      <c r="EJ81" s="6">
        <v>0</v>
      </c>
      <c r="EK81" s="6">
        <v>0</v>
      </c>
      <c r="EL81" s="6">
        <v>106.29349153561303</v>
      </c>
      <c r="EM81" s="6">
        <v>0</v>
      </c>
      <c r="EN81" s="6">
        <v>0</v>
      </c>
      <c r="EO81" s="6">
        <v>0</v>
      </c>
      <c r="EP81" s="6">
        <v>0</v>
      </c>
      <c r="EQ81" s="6">
        <v>0</v>
      </c>
      <c r="ER81" s="6">
        <v>0</v>
      </c>
      <c r="ES81" s="6">
        <v>0</v>
      </c>
      <c r="ET81" s="6">
        <v>618.77</v>
      </c>
      <c r="EU81" s="6">
        <v>43.37</v>
      </c>
      <c r="EV81" s="6">
        <v>-525.69000000000005</v>
      </c>
      <c r="EW81" s="6">
        <v>0</v>
      </c>
      <c r="EX81" s="6">
        <v>0</v>
      </c>
      <c r="EY81" s="6">
        <v>0</v>
      </c>
      <c r="EZ81" s="6">
        <v>0</v>
      </c>
      <c r="FA81" s="6">
        <v>0</v>
      </c>
      <c r="FB81" s="6">
        <v>0</v>
      </c>
      <c r="FC81" s="6">
        <v>0</v>
      </c>
      <c r="FD81" s="6">
        <v>0</v>
      </c>
      <c r="FE81" s="6">
        <v>0</v>
      </c>
      <c r="FF81" s="6">
        <v>0</v>
      </c>
      <c r="FG81" s="6">
        <v>0</v>
      </c>
      <c r="FH81" s="6">
        <v>0</v>
      </c>
      <c r="FI81" s="6">
        <v>96.617343011898413</v>
      </c>
      <c r="FJ81" s="6">
        <v>0</v>
      </c>
      <c r="FK81" s="6">
        <v>0</v>
      </c>
      <c r="FL81" s="6">
        <v>0</v>
      </c>
      <c r="FM81" s="6">
        <v>0</v>
      </c>
      <c r="FN81" s="6">
        <v>0</v>
      </c>
      <c r="FO81" s="6">
        <v>0</v>
      </c>
      <c r="FP81" s="6">
        <v>0</v>
      </c>
      <c r="FQ81" s="6">
        <v>0</v>
      </c>
      <c r="FR81" s="6">
        <v>0</v>
      </c>
      <c r="FS81" s="6">
        <v>0</v>
      </c>
      <c r="FT81" s="6">
        <v>0</v>
      </c>
      <c r="FU81" s="6">
        <v>0</v>
      </c>
      <c r="FV81" s="6">
        <v>0</v>
      </c>
      <c r="FW81" s="6">
        <v>0</v>
      </c>
      <c r="FX81" s="6">
        <v>0</v>
      </c>
      <c r="FY81" s="6">
        <v>0</v>
      </c>
      <c r="FZ81" s="6">
        <v>0</v>
      </c>
      <c r="GA81" s="6">
        <v>0</v>
      </c>
      <c r="GB81" s="6">
        <v>0</v>
      </c>
      <c r="GC81" s="6">
        <v>0</v>
      </c>
      <c r="GD81" s="6">
        <v>0</v>
      </c>
      <c r="GE81" s="6">
        <v>0</v>
      </c>
      <c r="GF81" s="6">
        <v>63.087863681209171</v>
      </c>
      <c r="GG81" s="6">
        <v>0</v>
      </c>
      <c r="GH81" s="6">
        <v>0</v>
      </c>
      <c r="GI81" s="6">
        <v>0</v>
      </c>
      <c r="GJ81" s="6">
        <v>0</v>
      </c>
      <c r="GK81" s="6">
        <v>0</v>
      </c>
      <c r="GL81" s="6">
        <v>0</v>
      </c>
      <c r="GM81" s="6">
        <v>0</v>
      </c>
      <c r="GN81" s="6">
        <v>0</v>
      </c>
      <c r="GO81" s="6">
        <v>0</v>
      </c>
      <c r="GP81" s="6">
        <v>0</v>
      </c>
      <c r="GQ81" s="6">
        <v>0</v>
      </c>
      <c r="GR81" s="6">
        <v>0</v>
      </c>
      <c r="GS81" s="6">
        <v>0</v>
      </c>
      <c r="GT81" s="6">
        <v>0</v>
      </c>
      <c r="GU81" s="6">
        <v>0</v>
      </c>
      <c r="GV81" s="6">
        <v>0</v>
      </c>
      <c r="GW81" s="6">
        <v>0</v>
      </c>
      <c r="GX81" s="6">
        <v>0</v>
      </c>
      <c r="GY81" s="6">
        <v>0</v>
      </c>
      <c r="GZ81" s="6">
        <v>0</v>
      </c>
      <c r="HA81" s="6">
        <v>0</v>
      </c>
      <c r="HB81" s="6">
        <v>0</v>
      </c>
      <c r="HC81" s="6">
        <v>0</v>
      </c>
      <c r="HD81" s="6">
        <v>0</v>
      </c>
      <c r="HE81" s="6">
        <v>0</v>
      </c>
      <c r="HF81" s="6">
        <v>0</v>
      </c>
      <c r="HG81" s="6">
        <v>0</v>
      </c>
      <c r="HH81" s="6">
        <v>0</v>
      </c>
      <c r="HI81" s="6">
        <v>0</v>
      </c>
      <c r="HJ81" s="6">
        <v>0</v>
      </c>
      <c r="HK81" s="6">
        <v>0</v>
      </c>
      <c r="HL81" s="6">
        <v>0</v>
      </c>
      <c r="HM81" s="6">
        <v>0</v>
      </c>
      <c r="HN81" s="6">
        <v>0</v>
      </c>
      <c r="HO81" s="6">
        <v>0</v>
      </c>
      <c r="HP81" s="6">
        <v>0</v>
      </c>
      <c r="HQ81" s="6">
        <v>0</v>
      </c>
      <c r="HR81" s="6">
        <v>0</v>
      </c>
      <c r="HS81" s="6">
        <v>0</v>
      </c>
      <c r="HT81" s="6">
        <v>0</v>
      </c>
      <c r="HU81" s="6">
        <v>0</v>
      </c>
      <c r="HV81" s="6">
        <v>0</v>
      </c>
      <c r="HW81" s="198">
        <v>0</v>
      </c>
      <c r="HX81" s="63">
        <v>0</v>
      </c>
      <c r="HY81" s="28">
        <v>1949.8892071374073</v>
      </c>
      <c r="IA81" s="20">
        <v>38.214285714285715</v>
      </c>
      <c r="IB81" s="20">
        <v>38.214285714285715</v>
      </c>
      <c r="II81" s="74" t="s">
        <v>144</v>
      </c>
      <c r="JE81" s="74" t="s">
        <v>144</v>
      </c>
      <c r="JF81" s="267">
        <v>901.84137057097939</v>
      </c>
      <c r="JG81" s="265">
        <v>231.3221668311003</v>
      </c>
      <c r="JH81" s="265">
        <v>64.999617126094293</v>
      </c>
      <c r="JI81" s="265">
        <v>349.27735438051263</v>
      </c>
      <c r="JJ81" s="265">
        <v>0</v>
      </c>
      <c r="JK81" s="265">
        <v>242.74349153561297</v>
      </c>
      <c r="JL81" s="265">
        <v>159.70520669310758</v>
      </c>
      <c r="JM81" s="265">
        <v>0</v>
      </c>
      <c r="JQ81" s="142"/>
    </row>
    <row r="82" spans="1:284" outlineLevel="1">
      <c r="B82" t="s">
        <v>24</v>
      </c>
      <c r="C82" s="72" t="s">
        <v>145</v>
      </c>
      <c r="D82" s="6">
        <v>0</v>
      </c>
      <c r="E82" s="6">
        <v>0</v>
      </c>
      <c r="F82" s="6">
        <v>0</v>
      </c>
      <c r="G82" s="6">
        <v>0</v>
      </c>
      <c r="H82" s="6">
        <v>0</v>
      </c>
      <c r="I82" s="6">
        <v>0</v>
      </c>
      <c r="J82" s="6">
        <v>0</v>
      </c>
      <c r="K82" s="6">
        <v>0</v>
      </c>
      <c r="L82" s="6">
        <v>0</v>
      </c>
      <c r="M82" s="6">
        <v>0</v>
      </c>
      <c r="N82" s="6">
        <v>0</v>
      </c>
      <c r="O82" s="6">
        <v>0</v>
      </c>
      <c r="P82" s="6">
        <v>0</v>
      </c>
      <c r="Q82" s="6">
        <v>0</v>
      </c>
      <c r="R82" s="6">
        <v>0</v>
      </c>
      <c r="S82" s="6">
        <v>0</v>
      </c>
      <c r="T82" s="6">
        <v>1.9117534448851263</v>
      </c>
      <c r="U82" s="6">
        <v>0</v>
      </c>
      <c r="V82" s="6">
        <v>0</v>
      </c>
      <c r="W82" s="6">
        <v>0</v>
      </c>
      <c r="X82" s="6">
        <v>0</v>
      </c>
      <c r="Y82" s="6">
        <v>5.7352603346553792</v>
      </c>
      <c r="Z82" s="6">
        <v>0</v>
      </c>
      <c r="AA82" s="6">
        <v>0</v>
      </c>
      <c r="AB82" s="6">
        <v>0</v>
      </c>
      <c r="AC82" s="6">
        <v>0</v>
      </c>
      <c r="AD82" s="6">
        <v>0</v>
      </c>
      <c r="AE82" s="6">
        <v>11.470520669310758</v>
      </c>
      <c r="AF82" s="6">
        <v>0</v>
      </c>
      <c r="AG82" s="6">
        <v>0</v>
      </c>
      <c r="AH82" s="6">
        <v>4.2058575787472785</v>
      </c>
      <c r="AI82" s="6">
        <v>0</v>
      </c>
      <c r="AJ82" s="6">
        <v>0</v>
      </c>
      <c r="AK82" s="6">
        <v>0</v>
      </c>
      <c r="AL82" s="6">
        <v>0</v>
      </c>
      <c r="AM82" s="6">
        <v>0</v>
      </c>
      <c r="AN82" s="6">
        <v>0</v>
      </c>
      <c r="AO82" s="6">
        <v>0</v>
      </c>
      <c r="AP82" s="6">
        <v>4.588208267724303</v>
      </c>
      <c r="AQ82" s="6">
        <v>0</v>
      </c>
      <c r="AR82" s="6">
        <v>0</v>
      </c>
      <c r="AS82" s="6">
        <v>0</v>
      </c>
      <c r="AT82" s="6">
        <v>0</v>
      </c>
      <c r="AU82" s="6">
        <v>0</v>
      </c>
      <c r="AV82" s="6">
        <v>0</v>
      </c>
      <c r="AW82" s="6">
        <v>0</v>
      </c>
      <c r="AX82" s="6">
        <v>0</v>
      </c>
      <c r="AY82" s="6">
        <v>0</v>
      </c>
      <c r="AZ82" s="6">
        <v>0</v>
      </c>
      <c r="BA82" s="6">
        <v>0</v>
      </c>
      <c r="BB82" s="6">
        <v>0</v>
      </c>
      <c r="BC82" s="6">
        <v>0</v>
      </c>
      <c r="BD82" s="6">
        <v>0</v>
      </c>
      <c r="BE82" s="6">
        <v>0</v>
      </c>
      <c r="BF82" s="6">
        <v>0</v>
      </c>
      <c r="BG82" s="6">
        <v>0</v>
      </c>
      <c r="BH82" s="6">
        <v>0</v>
      </c>
      <c r="BI82" s="6">
        <v>7.6470137795405053</v>
      </c>
      <c r="BJ82" s="6">
        <v>0</v>
      </c>
      <c r="BK82" s="6">
        <v>0</v>
      </c>
      <c r="BL82" s="6">
        <v>0</v>
      </c>
      <c r="BM82" s="6">
        <v>0</v>
      </c>
      <c r="BN82" s="6">
        <v>0</v>
      </c>
      <c r="BO82" s="6">
        <v>0</v>
      </c>
      <c r="BP82" s="6">
        <v>0</v>
      </c>
      <c r="BQ82" s="6">
        <v>0</v>
      </c>
      <c r="BR82" s="6">
        <v>0</v>
      </c>
      <c r="BS82" s="6">
        <v>0</v>
      </c>
      <c r="BT82" s="6">
        <v>0</v>
      </c>
      <c r="BU82" s="6">
        <v>0</v>
      </c>
      <c r="BV82" s="6">
        <v>0</v>
      </c>
      <c r="BW82" s="6">
        <v>0</v>
      </c>
      <c r="BX82" s="6">
        <v>0</v>
      </c>
      <c r="BY82" s="6">
        <v>0</v>
      </c>
      <c r="BZ82" s="6">
        <v>14.529326181126962</v>
      </c>
      <c r="CA82" s="6">
        <v>0</v>
      </c>
      <c r="CB82" s="6">
        <v>0</v>
      </c>
      <c r="CC82" s="6">
        <v>0</v>
      </c>
      <c r="CD82" s="6">
        <v>0</v>
      </c>
      <c r="CE82" s="6">
        <v>0</v>
      </c>
      <c r="CF82" s="6">
        <v>0</v>
      </c>
      <c r="CG82" s="6">
        <v>4.588208267724303</v>
      </c>
      <c r="CH82" s="6">
        <v>0</v>
      </c>
      <c r="CI82" s="6">
        <v>107.05819291356708</v>
      </c>
      <c r="CJ82" s="6">
        <v>0</v>
      </c>
      <c r="CK82" s="6">
        <v>0</v>
      </c>
      <c r="CL82" s="6">
        <v>0</v>
      </c>
      <c r="CM82" s="6">
        <v>0</v>
      </c>
      <c r="CN82" s="6">
        <v>0</v>
      </c>
      <c r="CO82" s="6">
        <v>0</v>
      </c>
      <c r="CP82" s="6">
        <v>0</v>
      </c>
      <c r="CQ82" s="6">
        <v>0</v>
      </c>
      <c r="CR82" s="6">
        <v>0</v>
      </c>
      <c r="CS82" s="6">
        <v>0</v>
      </c>
      <c r="CT82" s="6">
        <v>0</v>
      </c>
      <c r="CU82" s="6">
        <v>0</v>
      </c>
      <c r="CV82" s="6">
        <v>0</v>
      </c>
      <c r="CW82" s="6">
        <v>0</v>
      </c>
      <c r="CX82" s="6">
        <v>0</v>
      </c>
      <c r="CY82" s="6">
        <v>0</v>
      </c>
      <c r="CZ82" s="6">
        <v>0</v>
      </c>
      <c r="DA82" s="6">
        <v>0</v>
      </c>
      <c r="DB82" s="6">
        <v>0</v>
      </c>
      <c r="DC82" s="6">
        <v>0</v>
      </c>
      <c r="DD82" s="6">
        <v>0</v>
      </c>
      <c r="DE82" s="6">
        <v>0</v>
      </c>
      <c r="DF82" s="6">
        <v>0</v>
      </c>
      <c r="DG82" s="6">
        <v>0</v>
      </c>
      <c r="DH82" s="6">
        <v>0</v>
      </c>
      <c r="DI82" s="6">
        <v>0</v>
      </c>
      <c r="DJ82" s="6">
        <v>0</v>
      </c>
      <c r="DK82" s="6">
        <v>0</v>
      </c>
      <c r="DL82" s="6">
        <v>0</v>
      </c>
      <c r="DM82" s="6">
        <v>0</v>
      </c>
      <c r="DN82" s="6">
        <v>0</v>
      </c>
      <c r="DO82" s="6">
        <v>0</v>
      </c>
      <c r="DP82" s="6">
        <v>0</v>
      </c>
      <c r="DQ82" s="6">
        <v>0</v>
      </c>
      <c r="DR82" s="6">
        <v>0</v>
      </c>
      <c r="DS82" s="6">
        <v>0</v>
      </c>
      <c r="DT82" s="6">
        <v>0</v>
      </c>
      <c r="DU82" s="6">
        <v>0</v>
      </c>
      <c r="DV82" s="6">
        <v>0</v>
      </c>
      <c r="DW82" s="6">
        <v>11.470520669310758</v>
      </c>
      <c r="DX82" s="6">
        <v>0</v>
      </c>
      <c r="DY82" s="6">
        <v>0</v>
      </c>
      <c r="DZ82" s="6">
        <v>0</v>
      </c>
      <c r="EA82" s="6">
        <v>0</v>
      </c>
      <c r="EB82" s="6">
        <v>0</v>
      </c>
      <c r="EC82" s="6">
        <v>0</v>
      </c>
      <c r="ED82" s="6">
        <v>0</v>
      </c>
      <c r="EE82" s="6">
        <v>0</v>
      </c>
      <c r="EF82" s="6">
        <v>0</v>
      </c>
      <c r="EG82" s="6">
        <v>0</v>
      </c>
      <c r="EH82" s="6">
        <v>0</v>
      </c>
      <c r="EI82" s="6">
        <v>0</v>
      </c>
      <c r="EJ82" s="6">
        <v>0</v>
      </c>
      <c r="EK82" s="6">
        <v>0</v>
      </c>
      <c r="EL82" s="6">
        <v>0</v>
      </c>
      <c r="EM82" s="6">
        <v>0</v>
      </c>
      <c r="EN82" s="6">
        <v>0</v>
      </c>
      <c r="EO82" s="6">
        <v>0</v>
      </c>
      <c r="EP82" s="6">
        <v>0</v>
      </c>
      <c r="EQ82" s="6">
        <v>0</v>
      </c>
      <c r="ER82" s="6">
        <v>0</v>
      </c>
      <c r="ES82" s="6">
        <v>0</v>
      </c>
      <c r="ET82" s="6">
        <v>0</v>
      </c>
      <c r="EU82" s="6">
        <v>0</v>
      </c>
      <c r="EV82" s="6">
        <v>0</v>
      </c>
      <c r="EW82" s="6">
        <v>5.7352603346553792</v>
      </c>
      <c r="EX82" s="6">
        <v>0</v>
      </c>
      <c r="EY82" s="6">
        <v>0</v>
      </c>
      <c r="EZ82" s="6">
        <v>0</v>
      </c>
      <c r="FA82" s="6">
        <v>0</v>
      </c>
      <c r="FB82" s="6">
        <v>0</v>
      </c>
      <c r="FC82" s="6">
        <v>0</v>
      </c>
      <c r="FD82" s="6">
        <v>0</v>
      </c>
      <c r="FE82" s="6">
        <v>0</v>
      </c>
      <c r="FF82" s="6">
        <v>0</v>
      </c>
      <c r="FG82" s="6">
        <v>0</v>
      </c>
      <c r="FH82" s="6">
        <v>0</v>
      </c>
      <c r="FI82" s="6">
        <v>0</v>
      </c>
      <c r="FJ82" s="6">
        <v>0</v>
      </c>
      <c r="FK82" s="6">
        <v>26.191022194926234</v>
      </c>
      <c r="FL82" s="6">
        <v>0</v>
      </c>
      <c r="FM82" s="6">
        <v>0</v>
      </c>
      <c r="FN82" s="6">
        <v>0</v>
      </c>
      <c r="FO82" s="6">
        <v>0</v>
      </c>
      <c r="FP82" s="6">
        <v>0</v>
      </c>
      <c r="FQ82" s="6">
        <v>0</v>
      </c>
      <c r="FR82" s="6">
        <v>0</v>
      </c>
      <c r="FS82" s="6">
        <v>0</v>
      </c>
      <c r="FT82" s="6">
        <v>0</v>
      </c>
      <c r="FU82" s="6">
        <v>0</v>
      </c>
      <c r="FV82" s="6">
        <v>0</v>
      </c>
      <c r="FW82" s="6">
        <v>0</v>
      </c>
      <c r="FX82" s="6">
        <v>0</v>
      </c>
      <c r="FY82" s="6">
        <v>0</v>
      </c>
      <c r="FZ82" s="6">
        <v>0</v>
      </c>
      <c r="GA82" s="6">
        <v>0</v>
      </c>
      <c r="GB82" s="6">
        <v>0</v>
      </c>
      <c r="GC82" s="6">
        <v>0</v>
      </c>
      <c r="GD82" s="6">
        <v>0</v>
      </c>
      <c r="GE82" s="6">
        <v>0</v>
      </c>
      <c r="GF82" s="6">
        <v>0</v>
      </c>
      <c r="GG82" s="6">
        <v>0</v>
      </c>
      <c r="GH82" s="6">
        <v>0</v>
      </c>
      <c r="GI82" s="6">
        <v>0</v>
      </c>
      <c r="GJ82" s="6">
        <v>0</v>
      </c>
      <c r="GK82" s="6">
        <v>0</v>
      </c>
      <c r="GL82" s="6">
        <v>0</v>
      </c>
      <c r="GM82" s="6">
        <v>0</v>
      </c>
      <c r="GN82" s="6">
        <v>0</v>
      </c>
      <c r="GO82" s="6">
        <v>0</v>
      </c>
      <c r="GP82" s="6">
        <v>0</v>
      </c>
      <c r="GQ82" s="6">
        <v>0</v>
      </c>
      <c r="GR82" s="6">
        <v>0</v>
      </c>
      <c r="GS82" s="6">
        <v>0</v>
      </c>
      <c r="GT82" s="6">
        <v>0</v>
      </c>
      <c r="GU82" s="6">
        <v>0</v>
      </c>
      <c r="GV82" s="6">
        <v>0</v>
      </c>
      <c r="GW82" s="6">
        <v>0</v>
      </c>
      <c r="GX82" s="6">
        <v>0</v>
      </c>
      <c r="GY82" s="6">
        <v>0</v>
      </c>
      <c r="GZ82" s="6">
        <v>0</v>
      </c>
      <c r="HA82" s="6">
        <v>0</v>
      </c>
      <c r="HB82" s="6">
        <v>0</v>
      </c>
      <c r="HC82" s="6">
        <v>0</v>
      </c>
      <c r="HD82" s="6">
        <v>0</v>
      </c>
      <c r="HE82" s="6">
        <v>72.073104872169267</v>
      </c>
      <c r="HF82" s="6">
        <v>21.793989271690442</v>
      </c>
      <c r="HG82" s="6">
        <v>7.6470137795405053</v>
      </c>
      <c r="HH82" s="6">
        <v>0</v>
      </c>
      <c r="HI82" s="6">
        <v>0</v>
      </c>
      <c r="HJ82" s="6">
        <v>0</v>
      </c>
      <c r="HK82" s="6">
        <v>0</v>
      </c>
      <c r="HL82" s="6">
        <v>0</v>
      </c>
      <c r="HM82" s="6">
        <v>0</v>
      </c>
      <c r="HN82" s="6">
        <v>0</v>
      </c>
      <c r="HO82" s="6">
        <v>0</v>
      </c>
      <c r="HP82" s="6">
        <v>0</v>
      </c>
      <c r="HQ82" s="6">
        <v>0</v>
      </c>
      <c r="HR82" s="6">
        <v>0</v>
      </c>
      <c r="HS82" s="6">
        <v>0</v>
      </c>
      <c r="HT82" s="6">
        <v>0</v>
      </c>
      <c r="HU82" s="6">
        <v>0</v>
      </c>
      <c r="HV82" s="6">
        <v>0</v>
      </c>
      <c r="HW82" s="198">
        <v>0</v>
      </c>
      <c r="HX82" s="63">
        <v>0</v>
      </c>
      <c r="HY82" s="28">
        <v>306.64525255957426</v>
      </c>
      <c r="IA82" s="20">
        <v>6.8341656996685485</v>
      </c>
      <c r="IB82" s="20">
        <v>6.8341656996685485</v>
      </c>
      <c r="II82" s="72" t="s">
        <v>145</v>
      </c>
      <c r="JE82" s="72" t="s">
        <v>145</v>
      </c>
      <c r="JF82" s="6">
        <v>0</v>
      </c>
      <c r="JG82" s="269">
        <v>23.32339202759854</v>
      </c>
      <c r="JH82" s="269">
        <v>12.235222047264809</v>
      </c>
      <c r="JI82" s="269">
        <v>126.17572736241834</v>
      </c>
      <c r="JJ82" s="269">
        <v>11.470520669310758</v>
      </c>
      <c r="JK82" s="269">
        <v>5.7352603346553792</v>
      </c>
      <c r="JL82" s="269">
        <v>26.191022194926234</v>
      </c>
      <c r="JM82" s="269">
        <v>101.5141079234002</v>
      </c>
      <c r="JQ82" s="142"/>
    </row>
    <row r="83" spans="1:284" outlineLevel="2">
      <c r="B83" t="s">
        <v>24</v>
      </c>
      <c r="C83" s="73" t="s">
        <v>206</v>
      </c>
      <c r="D83" s="6">
        <v>0</v>
      </c>
      <c r="E83" s="6">
        <v>0</v>
      </c>
      <c r="F83" s="6">
        <v>0</v>
      </c>
      <c r="G83" s="6">
        <v>0</v>
      </c>
      <c r="H83" s="6">
        <v>0</v>
      </c>
      <c r="I83" s="6">
        <v>0</v>
      </c>
      <c r="J83" s="6">
        <v>0</v>
      </c>
      <c r="K83" s="6">
        <v>0</v>
      </c>
      <c r="L83" s="6">
        <v>24.852794783506642</v>
      </c>
      <c r="M83" s="6">
        <v>22.941041338621517</v>
      </c>
      <c r="N83" s="6">
        <v>0</v>
      </c>
      <c r="O83" s="6">
        <v>0</v>
      </c>
      <c r="P83" s="6">
        <v>0</v>
      </c>
      <c r="Q83" s="6">
        <v>0</v>
      </c>
      <c r="R83" s="6">
        <v>0</v>
      </c>
      <c r="S83" s="6">
        <v>0</v>
      </c>
      <c r="T83" s="6">
        <v>0</v>
      </c>
      <c r="U83" s="6">
        <v>0</v>
      </c>
      <c r="V83" s="6">
        <v>30.588055118162021</v>
      </c>
      <c r="W83" s="6">
        <v>0</v>
      </c>
      <c r="X83" s="6">
        <v>0</v>
      </c>
      <c r="Y83" s="6">
        <v>0</v>
      </c>
      <c r="Z83" s="6">
        <v>0</v>
      </c>
      <c r="AA83" s="6">
        <v>7.6470137795405053</v>
      </c>
      <c r="AB83" s="6">
        <v>0</v>
      </c>
      <c r="AC83" s="6">
        <v>0</v>
      </c>
      <c r="AD83" s="6">
        <v>0</v>
      </c>
      <c r="AE83" s="6">
        <v>0</v>
      </c>
      <c r="AF83" s="6">
        <v>0</v>
      </c>
      <c r="AG83" s="6">
        <v>10.323468602379682</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5.7352603346553792</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11.470520669310758</v>
      </c>
      <c r="EU83" s="6">
        <v>0</v>
      </c>
      <c r="EV83" s="6">
        <v>0</v>
      </c>
      <c r="EW83" s="6">
        <v>26.764548228391771</v>
      </c>
      <c r="EX83" s="6">
        <v>0</v>
      </c>
      <c r="EY83" s="6">
        <v>0</v>
      </c>
      <c r="EZ83" s="6">
        <v>0</v>
      </c>
      <c r="FA83" s="6">
        <v>0</v>
      </c>
      <c r="FB83" s="6">
        <v>0</v>
      </c>
      <c r="FC83" s="6">
        <v>0</v>
      </c>
      <c r="FD83" s="6">
        <v>0</v>
      </c>
      <c r="FE83" s="6">
        <v>68.823124015864551</v>
      </c>
      <c r="FF83" s="6">
        <v>0</v>
      </c>
      <c r="FG83" s="6">
        <v>0</v>
      </c>
      <c r="FH83" s="6">
        <v>0</v>
      </c>
      <c r="FI83" s="6">
        <v>0</v>
      </c>
      <c r="FJ83" s="6">
        <v>0</v>
      </c>
      <c r="FK83" s="6">
        <v>0</v>
      </c>
      <c r="FL83" s="6">
        <v>0</v>
      </c>
      <c r="FM83" s="6">
        <v>0</v>
      </c>
      <c r="FN83" s="6">
        <v>0</v>
      </c>
      <c r="FO83" s="6">
        <v>0</v>
      </c>
      <c r="FP83" s="6">
        <v>0</v>
      </c>
      <c r="FQ83" s="6">
        <v>0</v>
      </c>
      <c r="FR83" s="6">
        <v>0</v>
      </c>
      <c r="FS83" s="6">
        <v>0</v>
      </c>
      <c r="FT83" s="6">
        <v>0</v>
      </c>
      <c r="FU83" s="6">
        <v>0</v>
      </c>
      <c r="FV83" s="6">
        <v>0</v>
      </c>
      <c r="FW83" s="6">
        <v>0</v>
      </c>
      <c r="FX83" s="6">
        <v>0</v>
      </c>
      <c r="FY83" s="6">
        <v>0</v>
      </c>
      <c r="FZ83" s="6">
        <v>0</v>
      </c>
      <c r="GA83" s="6">
        <v>0</v>
      </c>
      <c r="GB83" s="6">
        <v>0</v>
      </c>
      <c r="GC83" s="6">
        <v>0</v>
      </c>
      <c r="GD83" s="6">
        <v>0</v>
      </c>
      <c r="GE83" s="6">
        <v>0</v>
      </c>
      <c r="GF83" s="6">
        <v>0</v>
      </c>
      <c r="GG83" s="6">
        <v>0</v>
      </c>
      <c r="GH83" s="6">
        <v>0</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19.117534448851263</v>
      </c>
      <c r="HG83" s="6">
        <v>0</v>
      </c>
      <c r="HH83" s="6">
        <v>0</v>
      </c>
      <c r="HI83" s="6">
        <v>0</v>
      </c>
      <c r="HJ83" s="6">
        <v>0</v>
      </c>
      <c r="HK83" s="6">
        <v>0</v>
      </c>
      <c r="HL83" s="6">
        <v>0</v>
      </c>
      <c r="HM83" s="6">
        <v>0</v>
      </c>
      <c r="HN83" s="6">
        <v>0</v>
      </c>
      <c r="HO83" s="6">
        <v>0</v>
      </c>
      <c r="HP83" s="6">
        <v>0</v>
      </c>
      <c r="HQ83" s="6">
        <v>0</v>
      </c>
      <c r="HR83" s="6">
        <v>0</v>
      </c>
      <c r="HS83" s="6">
        <v>0</v>
      </c>
      <c r="HT83" s="6">
        <v>0</v>
      </c>
      <c r="HU83" s="6">
        <v>0</v>
      </c>
      <c r="HV83" s="6">
        <v>0</v>
      </c>
      <c r="HW83" s="198">
        <v>0</v>
      </c>
      <c r="HX83" s="63">
        <v>0</v>
      </c>
      <c r="HY83" s="28">
        <v>228.26336131928409</v>
      </c>
      <c r="IA83" s="20">
        <v>5.8247835028340331</v>
      </c>
      <c r="IB83" s="20">
        <v>5.8247835028340331</v>
      </c>
      <c r="II83" s="73" t="s">
        <v>206</v>
      </c>
      <c r="JE83" s="73" t="s">
        <v>206</v>
      </c>
      <c r="JF83" s="6">
        <v>0</v>
      </c>
      <c r="JG83" s="269">
        <v>96.352373622210351</v>
      </c>
      <c r="JH83" s="269">
        <v>5.7352603346553792</v>
      </c>
      <c r="JI83" s="269">
        <v>0</v>
      </c>
      <c r="JJ83" s="269">
        <v>0</v>
      </c>
      <c r="JK83" s="269">
        <v>107.05819291356708</v>
      </c>
      <c r="JL83" s="269">
        <v>0</v>
      </c>
      <c r="JM83" s="269">
        <v>19.117534448851263</v>
      </c>
      <c r="JP83" s="270"/>
      <c r="JQ83" s="273"/>
    </row>
    <row r="84" spans="1:284" ht="15" outlineLevel="1" thickBot="1">
      <c r="B84" t="s">
        <v>24</v>
      </c>
      <c r="C84" s="74" t="s">
        <v>136</v>
      </c>
      <c r="D84" s="6"/>
      <c r="E84" s="6">
        <v>337.34</v>
      </c>
      <c r="F84" s="6">
        <v>0</v>
      </c>
      <c r="G84" s="6">
        <v>0</v>
      </c>
      <c r="H84" s="6">
        <v>0</v>
      </c>
      <c r="I84" s="6">
        <v>0</v>
      </c>
      <c r="J84" s="6">
        <v>0</v>
      </c>
      <c r="K84" s="6">
        <v>0</v>
      </c>
      <c r="L84" s="6">
        <v>0</v>
      </c>
      <c r="M84" s="6">
        <v>0</v>
      </c>
      <c r="N84" s="6">
        <v>0</v>
      </c>
      <c r="O84" s="6">
        <v>0</v>
      </c>
      <c r="P84" s="6">
        <v>0</v>
      </c>
      <c r="Q84" s="6">
        <v>0</v>
      </c>
      <c r="R84" s="6">
        <v>9.5587672244256314</v>
      </c>
      <c r="S84" s="6">
        <v>0</v>
      </c>
      <c r="T84" s="6">
        <v>0</v>
      </c>
      <c r="U84" s="6">
        <v>1.9117534448851263</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c r="AS84" s="6">
        <v>0</v>
      </c>
      <c r="AT84" s="6">
        <v>0</v>
      </c>
      <c r="AU84" s="6">
        <v>0</v>
      </c>
      <c r="AV84" s="6">
        <v>0</v>
      </c>
      <c r="AW84" s="6">
        <v>0</v>
      </c>
      <c r="AX84" s="6">
        <v>0</v>
      </c>
      <c r="AY84" s="6">
        <v>0</v>
      </c>
      <c r="AZ84" s="6">
        <v>0</v>
      </c>
      <c r="BA84" s="6">
        <v>0</v>
      </c>
      <c r="BB84" s="6">
        <v>0</v>
      </c>
      <c r="BC84" s="6">
        <v>0</v>
      </c>
      <c r="BD84" s="6">
        <v>0</v>
      </c>
      <c r="BE84" s="6">
        <v>0</v>
      </c>
      <c r="BF84" s="6">
        <v>0</v>
      </c>
      <c r="BG84" s="6">
        <v>0</v>
      </c>
      <c r="BH84" s="6">
        <v>0</v>
      </c>
      <c r="BI84" s="6">
        <v>0</v>
      </c>
      <c r="BJ84" s="6">
        <v>0</v>
      </c>
      <c r="BK84" s="6">
        <v>0</v>
      </c>
      <c r="BL84" s="6">
        <v>0</v>
      </c>
      <c r="BM84" s="6">
        <v>0</v>
      </c>
      <c r="BN84" s="6">
        <v>0</v>
      </c>
      <c r="BO84" s="6">
        <v>0</v>
      </c>
      <c r="BP84" s="6">
        <v>0</v>
      </c>
      <c r="BQ84" s="6">
        <v>0</v>
      </c>
      <c r="BR84" s="6">
        <v>0</v>
      </c>
      <c r="BS84" s="6">
        <v>0</v>
      </c>
      <c r="BT84" s="6">
        <v>0</v>
      </c>
      <c r="BU84" s="6">
        <v>0</v>
      </c>
      <c r="BV84" s="6">
        <v>0</v>
      </c>
      <c r="BW84" s="6">
        <v>0</v>
      </c>
      <c r="BX84" s="6">
        <v>0</v>
      </c>
      <c r="BY84" s="6">
        <v>0</v>
      </c>
      <c r="BZ84" s="6">
        <v>0</v>
      </c>
      <c r="CA84" s="6">
        <v>0</v>
      </c>
      <c r="CB84" s="6">
        <v>0</v>
      </c>
      <c r="CC84" s="6">
        <v>0</v>
      </c>
      <c r="CD84" s="6">
        <v>0</v>
      </c>
      <c r="CE84" s="6">
        <v>0</v>
      </c>
      <c r="CF84" s="6">
        <v>0</v>
      </c>
      <c r="CG84" s="6">
        <v>0</v>
      </c>
      <c r="CH84" s="6">
        <v>0</v>
      </c>
      <c r="CI84" s="6">
        <v>0</v>
      </c>
      <c r="CJ84" s="6">
        <v>0</v>
      </c>
      <c r="CK84" s="6">
        <v>0</v>
      </c>
      <c r="CL84" s="6">
        <v>0</v>
      </c>
      <c r="CM84" s="6">
        <v>0</v>
      </c>
      <c r="CN84" s="6">
        <v>0</v>
      </c>
      <c r="CO84" s="6">
        <v>0</v>
      </c>
      <c r="CP84" s="6">
        <v>0</v>
      </c>
      <c r="CQ84" s="6">
        <v>0</v>
      </c>
      <c r="CR84" s="6">
        <v>0</v>
      </c>
      <c r="CS84" s="6">
        <v>0</v>
      </c>
      <c r="CT84" s="6">
        <v>0</v>
      </c>
      <c r="CU84" s="6">
        <v>0</v>
      </c>
      <c r="CV84" s="6">
        <v>0</v>
      </c>
      <c r="CW84" s="6">
        <v>0</v>
      </c>
      <c r="CX84" s="6">
        <v>0</v>
      </c>
      <c r="CY84" s="6">
        <v>0</v>
      </c>
      <c r="CZ84" s="6">
        <v>0</v>
      </c>
      <c r="DA84" s="6">
        <v>0</v>
      </c>
      <c r="DB84" s="6">
        <v>0</v>
      </c>
      <c r="DC84" s="6">
        <v>0</v>
      </c>
      <c r="DD84" s="6">
        <v>0</v>
      </c>
      <c r="DE84" s="6">
        <v>22.941041338621517</v>
      </c>
      <c r="DF84" s="6">
        <v>0</v>
      </c>
      <c r="DG84" s="6">
        <v>0</v>
      </c>
      <c r="DH84" s="6">
        <v>0</v>
      </c>
      <c r="DI84" s="6">
        <v>0</v>
      </c>
      <c r="DJ84" s="6">
        <v>0</v>
      </c>
      <c r="DK84" s="6">
        <v>0</v>
      </c>
      <c r="DL84" s="6">
        <v>0</v>
      </c>
      <c r="DM84" s="6">
        <v>0</v>
      </c>
      <c r="DN84" s="6">
        <v>24.852794783506642</v>
      </c>
      <c r="DO84" s="6">
        <v>0</v>
      </c>
      <c r="DP84" s="6">
        <v>0</v>
      </c>
      <c r="DQ84" s="6">
        <v>0</v>
      </c>
      <c r="DR84" s="6">
        <v>0</v>
      </c>
      <c r="DS84" s="6">
        <v>0</v>
      </c>
      <c r="DT84" s="6">
        <v>0</v>
      </c>
      <c r="DU84" s="6">
        <v>0</v>
      </c>
      <c r="DV84" s="6">
        <v>0</v>
      </c>
      <c r="DW84" s="6">
        <v>0</v>
      </c>
      <c r="DX84" s="6">
        <v>0</v>
      </c>
      <c r="DY84" s="6">
        <v>0</v>
      </c>
      <c r="DZ84" s="6">
        <v>0</v>
      </c>
      <c r="EA84" s="6">
        <v>0</v>
      </c>
      <c r="EB84" s="6">
        <v>0</v>
      </c>
      <c r="EC84" s="6">
        <v>0</v>
      </c>
      <c r="ED84" s="6">
        <v>0</v>
      </c>
      <c r="EE84" s="6">
        <v>0</v>
      </c>
      <c r="EF84" s="6">
        <v>0</v>
      </c>
      <c r="EG84" s="6">
        <v>0</v>
      </c>
      <c r="EH84" s="6">
        <v>0</v>
      </c>
      <c r="EI84" s="6">
        <v>0</v>
      </c>
      <c r="EJ84" s="6">
        <v>0</v>
      </c>
      <c r="EK84" s="6">
        <v>0</v>
      </c>
      <c r="EL84" s="6">
        <v>0</v>
      </c>
      <c r="EM84" s="6">
        <v>0</v>
      </c>
      <c r="EN84" s="6">
        <v>0</v>
      </c>
      <c r="EO84" s="6">
        <v>0</v>
      </c>
      <c r="EP84" s="6">
        <v>0</v>
      </c>
      <c r="EQ84" s="6">
        <v>0</v>
      </c>
      <c r="ER84" s="6">
        <v>0</v>
      </c>
      <c r="ES84" s="6">
        <v>0</v>
      </c>
      <c r="ET84" s="6">
        <v>95.587672244256325</v>
      </c>
      <c r="EU84" s="6">
        <v>0</v>
      </c>
      <c r="EV84" s="6">
        <v>0</v>
      </c>
      <c r="EW84" s="6">
        <v>0</v>
      </c>
      <c r="EX84" s="6">
        <v>0</v>
      </c>
      <c r="EY84" s="6">
        <v>0</v>
      </c>
      <c r="EZ84" s="6">
        <v>0</v>
      </c>
      <c r="FA84" s="6">
        <v>0</v>
      </c>
      <c r="FB84" s="6">
        <v>0</v>
      </c>
      <c r="FC84" s="6">
        <v>0</v>
      </c>
      <c r="FD84" s="6">
        <v>0</v>
      </c>
      <c r="FE84" s="6">
        <v>0</v>
      </c>
      <c r="FF84" s="6">
        <v>0</v>
      </c>
      <c r="FG84" s="6">
        <v>0</v>
      </c>
      <c r="FH84" s="6">
        <v>0</v>
      </c>
      <c r="FI84" s="6">
        <v>0</v>
      </c>
      <c r="FJ84" s="6">
        <v>0</v>
      </c>
      <c r="FK84" s="6">
        <v>0</v>
      </c>
      <c r="FL84" s="6">
        <v>0</v>
      </c>
      <c r="FM84" s="6">
        <v>37.852718208725506</v>
      </c>
      <c r="FN84" s="6">
        <v>0</v>
      </c>
      <c r="FO84" s="6">
        <v>22.941041338621517</v>
      </c>
      <c r="FP84" s="6">
        <v>0</v>
      </c>
      <c r="FQ84" s="6">
        <v>0</v>
      </c>
      <c r="FR84" s="6">
        <v>0</v>
      </c>
      <c r="FS84" s="6">
        <v>0</v>
      </c>
      <c r="FT84" s="6">
        <v>0</v>
      </c>
      <c r="FU84" s="6">
        <v>0</v>
      </c>
      <c r="FV84" s="6">
        <v>0</v>
      </c>
      <c r="FW84" s="6">
        <v>0</v>
      </c>
      <c r="FX84" s="6">
        <v>0</v>
      </c>
      <c r="FY84" s="6">
        <v>0</v>
      </c>
      <c r="FZ84" s="6">
        <v>19.117534448851263</v>
      </c>
      <c r="GA84" s="6">
        <v>0</v>
      </c>
      <c r="GB84" s="6">
        <v>0</v>
      </c>
      <c r="GC84" s="6">
        <v>0</v>
      </c>
      <c r="GD84" s="6">
        <v>0</v>
      </c>
      <c r="GE84" s="6">
        <v>0</v>
      </c>
      <c r="GF84" s="6">
        <v>0</v>
      </c>
      <c r="GG84" s="6">
        <v>0</v>
      </c>
      <c r="GH84" s="6">
        <v>0</v>
      </c>
      <c r="GI84" s="6">
        <v>0</v>
      </c>
      <c r="GJ84" s="6">
        <v>0</v>
      </c>
      <c r="GK84" s="6">
        <v>0</v>
      </c>
      <c r="GL84" s="6">
        <v>0</v>
      </c>
      <c r="GM84" s="6">
        <v>0</v>
      </c>
      <c r="GN84" s="6">
        <v>95.587672244256325</v>
      </c>
      <c r="GO84" s="6">
        <v>0</v>
      </c>
      <c r="GP84" s="6">
        <v>0</v>
      </c>
      <c r="GQ84" s="6">
        <v>0</v>
      </c>
      <c r="GR84" s="6">
        <v>0</v>
      </c>
      <c r="GS84" s="6">
        <v>0</v>
      </c>
      <c r="GT84" s="6">
        <v>0</v>
      </c>
      <c r="GU84" s="6">
        <v>0</v>
      </c>
      <c r="GV84" s="6">
        <v>19.117534448851263</v>
      </c>
      <c r="GW84" s="6">
        <v>0</v>
      </c>
      <c r="GX84" s="6">
        <v>0</v>
      </c>
      <c r="GY84" s="6">
        <v>0</v>
      </c>
      <c r="GZ84" s="6">
        <v>0</v>
      </c>
      <c r="HA84" s="6">
        <v>0</v>
      </c>
      <c r="HB84" s="6">
        <v>6.1176110236324046</v>
      </c>
      <c r="HC84" s="6">
        <v>0</v>
      </c>
      <c r="HD84" s="6">
        <v>0</v>
      </c>
      <c r="HE84" s="6">
        <v>0</v>
      </c>
      <c r="HF84" s="6">
        <v>6.9587825393818603</v>
      </c>
      <c r="HG84" s="6">
        <v>15.294027559081011</v>
      </c>
      <c r="HH84" s="6">
        <v>0</v>
      </c>
      <c r="HI84" s="6">
        <v>0</v>
      </c>
      <c r="HJ84" s="6">
        <v>0</v>
      </c>
      <c r="HK84" s="6">
        <v>0</v>
      </c>
      <c r="HL84" s="6">
        <v>0</v>
      </c>
      <c r="HM84" s="6">
        <v>0</v>
      </c>
      <c r="HN84" s="6">
        <v>0</v>
      </c>
      <c r="HO84" s="6">
        <v>0</v>
      </c>
      <c r="HP84" s="6">
        <v>0</v>
      </c>
      <c r="HQ84" s="6">
        <v>0</v>
      </c>
      <c r="HR84" s="6">
        <v>0</v>
      </c>
      <c r="HS84" s="6">
        <v>0</v>
      </c>
      <c r="HT84" s="6">
        <v>0</v>
      </c>
      <c r="HU84" s="6">
        <v>0</v>
      </c>
      <c r="HV84" s="6">
        <v>0</v>
      </c>
      <c r="HW84" s="198">
        <v>0</v>
      </c>
      <c r="HX84" s="63">
        <v>0</v>
      </c>
      <c r="HY84" s="28">
        <v>715.17895084709642</v>
      </c>
      <c r="HZ84" s="16">
        <v>0</v>
      </c>
      <c r="II84" s="74" t="s">
        <v>136</v>
      </c>
      <c r="JE84" s="74" t="s">
        <v>136</v>
      </c>
      <c r="JF84" s="267">
        <v>337.34</v>
      </c>
      <c r="JG84" s="269">
        <v>11.470520669310758</v>
      </c>
      <c r="JH84" s="269">
        <v>0</v>
      </c>
      <c r="JI84" s="269">
        <v>0</v>
      </c>
      <c r="JJ84" s="269">
        <v>47.793836122128155</v>
      </c>
      <c r="JK84" s="269">
        <v>95.587672244256325</v>
      </c>
      <c r="JL84" s="269">
        <v>79.911293996198282</v>
      </c>
      <c r="JM84" s="269">
        <v>143.07562781520286</v>
      </c>
      <c r="JO84" s="268"/>
    </row>
    <row r="85" spans="1:284" outlineLevel="1">
      <c r="C85" s="9" t="s">
        <v>14</v>
      </c>
      <c r="D85" s="28">
        <v>0</v>
      </c>
      <c r="E85" s="28">
        <v>1276.8283843505199</v>
      </c>
      <c r="F85" s="28">
        <v>81.861282509981109</v>
      </c>
      <c r="G85" s="28">
        <v>34.067446387852947</v>
      </c>
      <c r="H85" s="28">
        <v>30.81746553154824</v>
      </c>
      <c r="I85" s="28">
        <v>29.670413464617162</v>
      </c>
      <c r="J85" s="28">
        <v>35.596849143761048</v>
      </c>
      <c r="K85" s="28">
        <v>49.170298602445456</v>
      </c>
      <c r="L85" s="28">
        <v>62.934923405618363</v>
      </c>
      <c r="M85" s="28">
        <v>53.643801663476644</v>
      </c>
      <c r="N85" s="28">
        <v>30.817465531548237</v>
      </c>
      <c r="O85" s="28">
        <v>27.37630933075501</v>
      </c>
      <c r="P85" s="28">
        <v>52.726160009931789</v>
      </c>
      <c r="Q85" s="28">
        <v>114.36109107302826</v>
      </c>
      <c r="R85" s="28">
        <v>40.720348376053195</v>
      </c>
      <c r="S85" s="28">
        <v>58.537890482382565</v>
      </c>
      <c r="T85" s="28">
        <v>44.008564301255618</v>
      </c>
      <c r="U85" s="28">
        <v>51.082052047330578</v>
      </c>
      <c r="V85" s="28">
        <v>54.714383592612315</v>
      </c>
      <c r="W85" s="28">
        <v>16.249904281523577</v>
      </c>
      <c r="X85" s="28">
        <v>288.72696392753079</v>
      </c>
      <c r="Y85" s="28">
        <v>122.40441422252478</v>
      </c>
      <c r="Z85" s="28">
        <v>102.71335374020798</v>
      </c>
      <c r="AA85" s="28">
        <v>65.955493848536847</v>
      </c>
      <c r="AB85" s="28">
        <v>91.38181466550904</v>
      </c>
      <c r="AC85" s="28">
        <v>28.102775639811359</v>
      </c>
      <c r="AD85" s="28">
        <v>54.102622490249075</v>
      </c>
      <c r="AE85" s="28">
        <v>43.205627854403858</v>
      </c>
      <c r="AF85" s="28">
        <v>82.778924163525971</v>
      </c>
      <c r="AG85" s="28">
        <v>53.720271801272048</v>
      </c>
      <c r="AH85" s="28">
        <v>48.367362155593696</v>
      </c>
      <c r="AI85" s="28">
        <v>32.117457874070126</v>
      </c>
      <c r="AJ85" s="28">
        <v>48.94088818905923</v>
      </c>
      <c r="AK85" s="28">
        <v>42.82327716542683</v>
      </c>
      <c r="AL85" s="28">
        <v>47.029134744174115</v>
      </c>
      <c r="AM85" s="28">
        <v>118.91106427185487</v>
      </c>
      <c r="AN85" s="28">
        <v>29.82335374020797</v>
      </c>
      <c r="AO85" s="28">
        <v>48.749712844570723</v>
      </c>
      <c r="AP85" s="28">
        <v>27.146898917368794</v>
      </c>
      <c r="AQ85" s="28">
        <v>61.176110236324043</v>
      </c>
      <c r="AR85" s="28">
        <v>31.735107185093099</v>
      </c>
      <c r="AS85" s="28">
        <v>54.179092628044486</v>
      </c>
      <c r="AT85" s="28">
        <v>42.82327716542683</v>
      </c>
      <c r="AU85" s="28">
        <v>53.146745767806522</v>
      </c>
      <c r="AV85" s="28">
        <v>47.029134744174108</v>
      </c>
      <c r="AW85" s="28">
        <v>33.742448302222485</v>
      </c>
      <c r="AX85" s="28">
        <v>43.301215526648114</v>
      </c>
      <c r="AY85" s="28">
        <v>38.139481225458269</v>
      </c>
      <c r="AZ85" s="28">
        <v>37.948305880969755</v>
      </c>
      <c r="BA85" s="28">
        <v>29.727766067963717</v>
      </c>
      <c r="BB85" s="28">
        <v>41.771812770740013</v>
      </c>
      <c r="BC85" s="28">
        <v>33.551272957733971</v>
      </c>
      <c r="BD85" s="28">
        <v>30.683642790406282</v>
      </c>
      <c r="BE85" s="28">
        <v>40.242410014831911</v>
      </c>
      <c r="BF85" s="28">
        <v>35.080675713642066</v>
      </c>
      <c r="BG85" s="28">
        <v>19.710178016765653</v>
      </c>
      <c r="BH85" s="28">
        <v>44.257092249090675</v>
      </c>
      <c r="BI85" s="28">
        <v>35.654201747107606</v>
      </c>
      <c r="BJ85" s="28">
        <v>54.962911540447386</v>
      </c>
      <c r="BK85" s="28">
        <v>38.521831914435296</v>
      </c>
      <c r="BL85" s="28">
        <v>52.668807406585231</v>
      </c>
      <c r="BM85" s="28">
        <v>42.874129807060775</v>
      </c>
      <c r="BN85" s="28">
        <v>87.953276037452056</v>
      </c>
      <c r="BO85" s="28">
        <v>42.759424600367666</v>
      </c>
      <c r="BP85" s="28">
        <v>57.671101470471655</v>
      </c>
      <c r="BQ85" s="28">
        <v>126.95304631310863</v>
      </c>
      <c r="BR85" s="28">
        <v>35.685936854292699</v>
      </c>
      <c r="BS85" s="28">
        <v>33.774183409407577</v>
      </c>
      <c r="BT85" s="28">
        <v>45.244704078718328</v>
      </c>
      <c r="BU85" s="28">
        <v>33.583008064919063</v>
      </c>
      <c r="BV85" s="28">
        <v>30.333027208614347</v>
      </c>
      <c r="BW85" s="28">
        <v>30.715377897591374</v>
      </c>
      <c r="BX85" s="28">
        <v>34.538884787361624</v>
      </c>
      <c r="BY85" s="28">
        <v>27.274221696798143</v>
      </c>
      <c r="BZ85" s="28">
        <v>78.891564708696563</v>
      </c>
      <c r="CA85" s="28">
        <v>55.759348025586533</v>
      </c>
      <c r="CB85" s="28">
        <v>41.16642545436202</v>
      </c>
      <c r="CC85" s="28">
        <v>29.122378751585721</v>
      </c>
      <c r="CD85" s="28">
        <v>72.901532639455127</v>
      </c>
      <c r="CE85" s="28">
        <v>135.79822097617577</v>
      </c>
      <c r="CF85" s="28">
        <v>46.710510444528886</v>
      </c>
      <c r="CG85" s="28">
        <v>52.828121468161292</v>
      </c>
      <c r="CH85" s="28">
        <v>43.460529588224169</v>
      </c>
      <c r="CI85" s="28">
        <v>143.06288406673926</v>
      </c>
      <c r="CJ85" s="28">
        <v>316.26774617333172</v>
      </c>
      <c r="CK85" s="28">
        <v>34.8576390862411</v>
      </c>
      <c r="CL85" s="28">
        <v>44.798756999643757</v>
      </c>
      <c r="CM85" s="28">
        <v>46.901685789017399</v>
      </c>
      <c r="CN85" s="28">
        <v>63.151590070540976</v>
      </c>
      <c r="CO85" s="28">
        <v>53.975173535092367</v>
      </c>
      <c r="CP85" s="28">
        <v>52.859982751073744</v>
      </c>
      <c r="CQ85" s="28">
        <v>53.242333440050778</v>
      </c>
      <c r="CR85" s="28">
        <v>51.139404650677136</v>
      </c>
      <c r="CS85" s="28">
        <v>34.124798991199505</v>
      </c>
      <c r="CT85" s="28">
        <v>37.757130536481249</v>
      </c>
      <c r="CU85" s="28">
        <v>71.021640477482435</v>
      </c>
      <c r="CV85" s="28">
        <v>33.551272957733964</v>
      </c>
      <c r="CW85" s="28">
        <v>50.183527928234568</v>
      </c>
      <c r="CX85" s="28">
        <v>29.536590723475204</v>
      </c>
      <c r="CY85" s="28">
        <v>66.242256865269624</v>
      </c>
      <c r="CZ85" s="28">
        <v>53.242333440050771</v>
      </c>
      <c r="DA85" s="28">
        <v>58.40406774124061</v>
      </c>
      <c r="DB85" s="28">
        <v>51.139404650677136</v>
      </c>
      <c r="DC85" s="28">
        <v>46.742371727441345</v>
      </c>
      <c r="DD85" s="28">
        <v>42.15416345971704</v>
      </c>
      <c r="DE85" s="28">
        <v>73.506919955833126</v>
      </c>
      <c r="DF85" s="28">
        <v>27.210625306700596</v>
      </c>
      <c r="DG85" s="28">
        <v>63.304530346131784</v>
      </c>
      <c r="DH85" s="28">
        <v>56.23104260005681</v>
      </c>
      <c r="DI85" s="28">
        <v>71.71624550362634</v>
      </c>
      <c r="DJ85" s="28">
        <v>44.416406310666737</v>
      </c>
      <c r="DK85" s="28">
        <v>36.195866497660688</v>
      </c>
      <c r="DL85" s="28">
        <v>38.107619942545817</v>
      </c>
      <c r="DM85" s="28">
        <v>107.69544533636441</v>
      </c>
      <c r="DN85" s="28">
        <v>60.475135247701786</v>
      </c>
      <c r="DO85" s="28">
        <v>43.460529588224162</v>
      </c>
      <c r="DP85" s="28">
        <v>49.960491300833603</v>
      </c>
      <c r="DQ85" s="28">
        <v>41.357600798850534</v>
      </c>
      <c r="DR85" s="28">
        <v>35.048814430729614</v>
      </c>
      <c r="DS85" s="28">
        <v>223.93005478538012</v>
      </c>
      <c r="DT85" s="28">
        <v>49.004614578391035</v>
      </c>
      <c r="DU85" s="28">
        <v>25.872397895281008</v>
      </c>
      <c r="DV85" s="28">
        <v>51.489894056741697</v>
      </c>
      <c r="DW85" s="28">
        <v>49.004614578391035</v>
      </c>
      <c r="DX85" s="28">
        <v>35.431165119706634</v>
      </c>
      <c r="DY85" s="28">
        <v>98.136678111938778</v>
      </c>
      <c r="DZ85" s="28">
        <v>60.666310592190307</v>
      </c>
      <c r="EA85" s="28">
        <v>41.931126832316068</v>
      </c>
      <c r="EB85" s="28">
        <v>47.742857304766851</v>
      </c>
      <c r="EC85" s="28">
        <v>41.357600798850534</v>
      </c>
      <c r="ED85" s="28">
        <v>39.445847353965405</v>
      </c>
      <c r="EE85" s="28">
        <v>42.313477521293088</v>
      </c>
      <c r="EF85" s="28">
        <v>62.004538003609895</v>
      </c>
      <c r="EG85" s="28">
        <v>37.916444598057303</v>
      </c>
      <c r="EH85" s="28">
        <v>28.548852718120184</v>
      </c>
      <c r="EI85" s="28">
        <v>33.251766192537595</v>
      </c>
      <c r="EJ85" s="28">
        <v>36.002634106465479</v>
      </c>
      <c r="EK85" s="28">
        <v>38.143797964736819</v>
      </c>
      <c r="EL85" s="28">
        <v>174.79593420512566</v>
      </c>
      <c r="EM85" s="28">
        <v>65.061286468719402</v>
      </c>
      <c r="EN85" s="28">
        <v>103.10518002193342</v>
      </c>
      <c r="EO85" s="28">
        <v>43.458472541517473</v>
      </c>
      <c r="EP85" s="28">
        <v>43.267297197028959</v>
      </c>
      <c r="EQ85" s="28">
        <v>76.53180713803016</v>
      </c>
      <c r="ER85" s="28">
        <v>47.281979431287724</v>
      </c>
      <c r="ES85" s="28">
        <v>39.634965651747216</v>
      </c>
      <c r="ET85" s="28">
        <v>762.02200236452097</v>
      </c>
      <c r="EU85" s="28">
        <v>85.299069785609362</v>
      </c>
      <c r="EV85" s="28">
        <v>-487.77561244864944</v>
      </c>
      <c r="EW85" s="28">
        <v>68.502442669512632</v>
      </c>
      <c r="EX85" s="28">
        <v>36.3467497265448</v>
      </c>
      <c r="EY85" s="28">
        <v>40.782017718678297</v>
      </c>
      <c r="EZ85" s="28">
        <v>35.811458761976972</v>
      </c>
      <c r="FA85" s="28">
        <v>138.47261875230828</v>
      </c>
      <c r="FB85" s="28">
        <v>109.03161570107731</v>
      </c>
      <c r="FC85" s="28">
        <v>87.811152462852419</v>
      </c>
      <c r="FD85" s="28">
        <v>31.414425838741177</v>
      </c>
      <c r="FE85" s="28">
        <v>122.98741584873875</v>
      </c>
      <c r="FF85" s="28">
        <v>33.70852997260333</v>
      </c>
      <c r="FG85" s="28">
        <v>49.002557531684339</v>
      </c>
      <c r="FH85" s="28">
        <v>57.414272689178894</v>
      </c>
      <c r="FI85" s="28">
        <v>137.78171141955374</v>
      </c>
      <c r="FJ85" s="28">
        <v>29.502672393856052</v>
      </c>
      <c r="FK85" s="28">
        <v>62.652477128164143</v>
      </c>
      <c r="FL85" s="28">
        <v>52.864299490352288</v>
      </c>
      <c r="FM85" s="28">
        <v>120.69331171487659</v>
      </c>
      <c r="FN85" s="28">
        <v>37.723212206862094</v>
      </c>
      <c r="FO85" s="28">
        <v>55.215139495899685</v>
      </c>
      <c r="FP85" s="28">
        <v>37.932888354138136</v>
      </c>
      <c r="FQ85" s="28">
        <v>49.976935056914435</v>
      </c>
      <c r="FR85" s="28">
        <v>31.624101986017223</v>
      </c>
      <c r="FS85" s="28">
        <v>36.594660942718555</v>
      </c>
      <c r="FT85" s="28">
        <v>36.900541493900171</v>
      </c>
      <c r="FU85" s="28">
        <v>43.285797999816495</v>
      </c>
      <c r="FV85" s="28">
        <v>36.212310253741521</v>
      </c>
      <c r="FW85" s="28">
        <v>36.785836287207061</v>
      </c>
      <c r="FX85" s="28">
        <v>43.476973344305001</v>
      </c>
      <c r="FY85" s="28">
        <v>26.997658649395216</v>
      </c>
      <c r="FZ85" s="28">
        <v>55.521020047081308</v>
      </c>
      <c r="GA85" s="28">
        <v>34.491732153344905</v>
      </c>
      <c r="GB85" s="28">
        <v>26.844718373804405</v>
      </c>
      <c r="GC85" s="28">
        <v>145.37343195668225</v>
      </c>
      <c r="GD85" s="28">
        <v>46.382838580530397</v>
      </c>
      <c r="GE85" s="28">
        <v>35.25643353129896</v>
      </c>
      <c r="GF85" s="28">
        <v>94.788435805021805</v>
      </c>
      <c r="GG85" s="28">
        <v>28.947647163178047</v>
      </c>
      <c r="GH85" s="28">
        <v>36.747601218309363</v>
      </c>
      <c r="GI85" s="28">
        <v>52.423979466367392</v>
      </c>
      <c r="GJ85" s="28">
        <v>34.682907497833426</v>
      </c>
      <c r="GK85" s="28">
        <v>32.312333226175866</v>
      </c>
      <c r="GL85" s="28">
        <v>50.741636434868489</v>
      </c>
      <c r="GM85" s="28">
        <v>32.197628019482757</v>
      </c>
      <c r="GN85" s="28">
        <v>125.30002078538843</v>
      </c>
      <c r="GO85" s="28">
        <v>40.226992488000285</v>
      </c>
      <c r="GP85" s="28">
        <v>36.021134909253007</v>
      </c>
      <c r="GQ85" s="28">
        <v>37.168186976184082</v>
      </c>
      <c r="GR85" s="28">
        <v>35.179963393503556</v>
      </c>
      <c r="GS85" s="28">
        <v>39.271115765557724</v>
      </c>
      <c r="GT85" s="28">
        <v>53.911447145760562</v>
      </c>
      <c r="GU85" s="28">
        <v>48.55853750008221</v>
      </c>
      <c r="GV85" s="28">
        <v>60.793759547347022</v>
      </c>
      <c r="GW85" s="28">
        <v>15.294027559081011</v>
      </c>
      <c r="GX85" s="28">
        <v>50.470290944967331</v>
      </c>
      <c r="GY85" s="28">
        <v>113.17580393719948</v>
      </c>
      <c r="GZ85" s="28">
        <v>77.617189862336119</v>
      </c>
      <c r="HA85" s="28">
        <v>95.970022933233338</v>
      </c>
      <c r="HB85" s="28">
        <v>106.10231619112452</v>
      </c>
      <c r="HC85" s="28">
        <v>32.499808563047146</v>
      </c>
      <c r="HD85" s="28">
        <v>26.573372883903254</v>
      </c>
      <c r="HE85" s="28">
        <v>125.41102598446429</v>
      </c>
      <c r="HF85" s="28">
        <v>151.10499228372041</v>
      </c>
      <c r="HG85" s="28">
        <v>64.234915748140253</v>
      </c>
      <c r="HH85" s="28">
        <v>33</v>
      </c>
      <c r="HI85" s="28">
        <v>0</v>
      </c>
      <c r="HJ85" s="28">
        <v>0</v>
      </c>
      <c r="HK85" s="28">
        <v>0</v>
      </c>
      <c r="HL85" s="28">
        <v>0</v>
      </c>
      <c r="HM85" s="28">
        <v>0</v>
      </c>
      <c r="HN85" s="28">
        <v>0</v>
      </c>
      <c r="HO85" s="28">
        <v>0</v>
      </c>
      <c r="HP85" s="28">
        <v>0</v>
      </c>
      <c r="HQ85" s="28">
        <v>0</v>
      </c>
      <c r="HR85" s="28">
        <v>0</v>
      </c>
      <c r="HS85" s="28">
        <v>0</v>
      </c>
      <c r="HT85" s="28">
        <v>0</v>
      </c>
      <c r="HU85" s="28">
        <v>0</v>
      </c>
      <c r="HV85" s="28">
        <v>0</v>
      </c>
      <c r="HW85" s="200">
        <v>0</v>
      </c>
      <c r="HX85" s="184">
        <v>0</v>
      </c>
      <c r="HY85" s="28">
        <v>13548.263061941838</v>
      </c>
      <c r="HZ85" s="13"/>
      <c r="IA85" s="20">
        <v>156.11770375879112</v>
      </c>
      <c r="IB85" s="20">
        <v>125.26445526485062</v>
      </c>
      <c r="II85" s="9" t="s">
        <v>14</v>
      </c>
      <c r="JE85" s="28" t="s">
        <v>97</v>
      </c>
      <c r="JF85" s="28">
        <v>1423.5745787799021</v>
      </c>
      <c r="JG85" s="28">
        <v>1992.8919020600906</v>
      </c>
      <c r="JH85" s="28">
        <v>1363.9844655825259</v>
      </c>
      <c r="JI85" s="28">
        <v>1830.9487426220505</v>
      </c>
      <c r="JJ85" s="28">
        <v>1773.4189923777869</v>
      </c>
      <c r="JK85" s="28">
        <v>2072.5012232320209</v>
      </c>
      <c r="JL85" s="28">
        <v>1607.8066342046372</v>
      </c>
      <c r="JM85" s="28">
        <v>1483.136523082821</v>
      </c>
      <c r="JO85">
        <v>0</v>
      </c>
    </row>
    <row r="86" spans="1:284" outlineLevel="1">
      <c r="D86" s="2">
        <v>0</v>
      </c>
      <c r="E86" s="6">
        <v>1276.8283843505199</v>
      </c>
      <c r="F86" s="6">
        <v>81.861282509981109</v>
      </c>
      <c r="G86" s="6">
        <v>34.067446387852954</v>
      </c>
      <c r="H86" s="6">
        <v>30.817465531548237</v>
      </c>
      <c r="I86" s="6">
        <v>29.670413464617162</v>
      </c>
      <c r="J86" s="6">
        <v>35.596849143761055</v>
      </c>
      <c r="K86" s="6">
        <v>49.170298602445449</v>
      </c>
      <c r="L86" s="6">
        <v>62.934923405618363</v>
      </c>
      <c r="M86" s="6">
        <v>53.643801663476644</v>
      </c>
      <c r="N86" s="6">
        <v>30.817465531548237</v>
      </c>
      <c r="O86" s="6">
        <v>27.37630933075501</v>
      </c>
      <c r="P86" s="6">
        <v>52.726160009931789</v>
      </c>
      <c r="Q86" s="6">
        <v>114.36109107302826</v>
      </c>
      <c r="R86" s="6">
        <v>40.720348376053195</v>
      </c>
      <c r="S86" s="6">
        <v>58.537890482382572</v>
      </c>
      <c r="T86" s="6">
        <v>44.00856430125561</v>
      </c>
      <c r="U86" s="6">
        <v>51.082052047330578</v>
      </c>
      <c r="V86" s="6">
        <v>54.714383592612322</v>
      </c>
      <c r="W86" s="6">
        <v>16.249904281523573</v>
      </c>
      <c r="X86" s="6">
        <v>288.72696392753079</v>
      </c>
      <c r="Y86" s="6">
        <v>122.40441422252478</v>
      </c>
      <c r="Z86" s="6">
        <v>102.71335374020796</v>
      </c>
      <c r="AA86" s="6">
        <v>65.955493848536861</v>
      </c>
      <c r="AB86" s="6">
        <v>91.38181466550904</v>
      </c>
      <c r="AC86" s="6">
        <v>28.102775639811359</v>
      </c>
      <c r="AD86" s="6">
        <v>54.102622490249075</v>
      </c>
      <c r="AE86" s="6">
        <v>43.205627854403858</v>
      </c>
      <c r="AF86" s="6">
        <v>82.778924163525971</v>
      </c>
      <c r="AG86" s="6">
        <v>53.720271801272055</v>
      </c>
      <c r="AH86" s="6">
        <v>48.367362155593696</v>
      </c>
      <c r="AI86" s="6">
        <v>32.117457874070126</v>
      </c>
      <c r="AJ86" s="6">
        <v>48.940888189059237</v>
      </c>
      <c r="AK86" s="6">
        <v>42.82327716542683</v>
      </c>
      <c r="AL86" s="6">
        <v>47.029134744174108</v>
      </c>
      <c r="AM86" s="6">
        <v>118.91106427185487</v>
      </c>
      <c r="AN86" s="6">
        <v>29.82335374020797</v>
      </c>
      <c r="AO86" s="6">
        <v>48.749712844570723</v>
      </c>
      <c r="AP86" s="6">
        <v>27.146898917368794</v>
      </c>
      <c r="AQ86" s="6">
        <v>61.176110236324043</v>
      </c>
      <c r="AR86" s="6">
        <v>31.735107185093099</v>
      </c>
      <c r="AS86" s="6">
        <v>54.179092628044479</v>
      </c>
      <c r="AT86" s="6">
        <v>42.82327716542683</v>
      </c>
      <c r="AU86" s="6">
        <v>53.146745767806514</v>
      </c>
      <c r="AV86" s="6">
        <v>47.029134744174108</v>
      </c>
      <c r="AW86" s="6">
        <v>33.742448302222485</v>
      </c>
      <c r="AX86" s="6">
        <v>43.301215526648114</v>
      </c>
      <c r="AY86" s="6">
        <v>38.139481225458269</v>
      </c>
      <c r="AZ86" s="6">
        <v>37.948305880969762</v>
      </c>
      <c r="BA86" s="6">
        <v>29.727766067963717</v>
      </c>
      <c r="BB86" s="6">
        <v>41.771812770740013</v>
      </c>
      <c r="BC86" s="6">
        <v>33.551272957733971</v>
      </c>
      <c r="BD86" s="6">
        <v>30.683642790406278</v>
      </c>
      <c r="BE86" s="6">
        <v>40.242410014831911</v>
      </c>
      <c r="BF86" s="6">
        <v>35.080675713642073</v>
      </c>
      <c r="BG86" s="6">
        <v>19.710178016765653</v>
      </c>
      <c r="BH86" s="6">
        <v>44.257092249090675</v>
      </c>
      <c r="BI86" s="6">
        <v>35.654201747107606</v>
      </c>
      <c r="BJ86" s="6">
        <v>54.962911540447386</v>
      </c>
      <c r="BK86" s="6">
        <v>38.521831914435296</v>
      </c>
      <c r="BL86" s="6">
        <v>52.668807406585231</v>
      </c>
      <c r="BM86" s="6">
        <v>42.874129807060775</v>
      </c>
      <c r="BN86" s="6">
        <v>87.953276037452056</v>
      </c>
      <c r="BO86" s="6">
        <v>42.759424600367666</v>
      </c>
      <c r="BP86" s="6">
        <v>57.671101470471655</v>
      </c>
      <c r="BQ86" s="6">
        <v>126.95304631310863</v>
      </c>
      <c r="BR86" s="6">
        <v>35.685936854292706</v>
      </c>
      <c r="BS86" s="6">
        <v>33.774183409407577</v>
      </c>
      <c r="BT86" s="6">
        <v>45.244704078718328</v>
      </c>
      <c r="BU86" s="6">
        <v>33.583008064919063</v>
      </c>
      <c r="BV86" s="6">
        <v>30.333027208614347</v>
      </c>
      <c r="BW86" s="6">
        <v>30.715377897591374</v>
      </c>
      <c r="BX86" s="6">
        <v>34.538884787361624</v>
      </c>
      <c r="BY86" s="6">
        <v>27.274221696798147</v>
      </c>
      <c r="BZ86" s="6">
        <v>78.891564708696549</v>
      </c>
      <c r="CA86" s="6">
        <v>55.759348025586526</v>
      </c>
      <c r="CB86" s="6">
        <v>41.16642545436202</v>
      </c>
      <c r="CC86" s="6">
        <v>29.122378751585721</v>
      </c>
      <c r="CD86" s="6">
        <v>74.813286084340248</v>
      </c>
      <c r="CE86" s="6">
        <v>140.38642924390007</v>
      </c>
      <c r="CF86" s="6">
        <v>51.681069401230211</v>
      </c>
      <c r="CG86" s="6">
        <v>52.828121468161292</v>
      </c>
      <c r="CH86" s="6">
        <v>43.460529588224169</v>
      </c>
      <c r="CI86" s="6">
        <v>143.06288406673926</v>
      </c>
      <c r="CJ86" s="6">
        <v>316.26774617333172</v>
      </c>
      <c r="CK86" s="6">
        <v>34.8576390862411</v>
      </c>
      <c r="CL86" s="6">
        <v>44.798756999643757</v>
      </c>
      <c r="CM86" s="6">
        <v>46.901685789017399</v>
      </c>
      <c r="CN86" s="6">
        <v>63.151590070540969</v>
      </c>
      <c r="CO86" s="6">
        <v>53.975173535092367</v>
      </c>
      <c r="CP86" s="6">
        <v>52.859982751073744</v>
      </c>
      <c r="CQ86" s="6">
        <v>53.242333440050771</v>
      </c>
      <c r="CR86" s="6">
        <v>51.139404650677129</v>
      </c>
      <c r="CS86" s="6">
        <v>34.124798991199505</v>
      </c>
      <c r="CT86" s="6">
        <v>37.757130536481249</v>
      </c>
      <c r="CU86" s="6">
        <v>71.02164047748245</v>
      </c>
      <c r="CV86" s="6">
        <v>33.551272957733971</v>
      </c>
      <c r="CW86" s="6">
        <v>50.183527928234568</v>
      </c>
      <c r="CX86" s="6">
        <v>29.536590723475204</v>
      </c>
      <c r="CY86" s="6">
        <v>66.242256865269624</v>
      </c>
      <c r="CZ86" s="6">
        <v>53.242333440050771</v>
      </c>
      <c r="DA86" s="6">
        <v>58.40406774124061</v>
      </c>
      <c r="DB86" s="6">
        <v>56.109963607378461</v>
      </c>
      <c r="DC86" s="6">
        <v>46.742371727441338</v>
      </c>
      <c r="DD86" s="6">
        <v>42.15416345971704</v>
      </c>
      <c r="DE86" s="6">
        <v>73.506919955833112</v>
      </c>
      <c r="DF86" s="6">
        <v>27.210625306700596</v>
      </c>
      <c r="DG86" s="6">
        <v>63.304530346131784</v>
      </c>
      <c r="DH86" s="6">
        <v>56.231042600056817</v>
      </c>
      <c r="DI86" s="6">
        <v>71.71624550362634</v>
      </c>
      <c r="DJ86" s="6">
        <v>44.41640631066673</v>
      </c>
      <c r="DK86" s="6">
        <v>36.195866497660688</v>
      </c>
      <c r="DL86" s="6">
        <v>38.107619942545817</v>
      </c>
      <c r="DM86" s="6">
        <v>107.69544533636441</v>
      </c>
      <c r="DN86" s="6">
        <v>60.475135247701793</v>
      </c>
      <c r="DO86" s="6">
        <v>43.460529588224169</v>
      </c>
      <c r="DP86" s="6">
        <v>49.960491300833603</v>
      </c>
      <c r="DQ86" s="6">
        <v>41.357600798850534</v>
      </c>
      <c r="DR86" s="6">
        <v>35.048814430729614</v>
      </c>
      <c r="DS86" s="6">
        <v>223.93005478538009</v>
      </c>
      <c r="DT86" s="6">
        <v>49.004614578391035</v>
      </c>
      <c r="DU86" s="6">
        <v>25.872397895281008</v>
      </c>
      <c r="DV86" s="6">
        <v>51.489894056741704</v>
      </c>
      <c r="DW86" s="6">
        <v>49.004614578391035</v>
      </c>
      <c r="DX86" s="6">
        <v>35.431165119706641</v>
      </c>
      <c r="DY86" s="6">
        <v>101.96018500170904</v>
      </c>
      <c r="DZ86" s="6">
        <v>60.666310592190307</v>
      </c>
      <c r="EA86" s="6">
        <v>41.931126832316068</v>
      </c>
      <c r="EB86" s="6">
        <v>47.742857304766851</v>
      </c>
      <c r="EC86" s="6">
        <v>41.357600798850534</v>
      </c>
      <c r="ED86" s="6">
        <v>39.445847353965405</v>
      </c>
      <c r="EE86" s="6">
        <v>42.313477521293095</v>
      </c>
      <c r="EF86" s="6">
        <v>62.004538003609895</v>
      </c>
      <c r="EG86" s="6">
        <v>37.916444598057303</v>
      </c>
      <c r="EH86" s="6">
        <v>28.548852718120184</v>
      </c>
      <c r="EI86" s="6">
        <v>33.251766192537595</v>
      </c>
      <c r="EJ86" s="6">
        <v>36.002634106465486</v>
      </c>
      <c r="EK86" s="6">
        <v>38.143797964736827</v>
      </c>
      <c r="EL86" s="6">
        <v>174.79593420512566</v>
      </c>
      <c r="EM86" s="6">
        <v>65.061286468719402</v>
      </c>
      <c r="EN86" s="6">
        <v>106.92868691170368</v>
      </c>
      <c r="EO86" s="6">
        <v>46.517278053333676</v>
      </c>
      <c r="EP86" s="6">
        <v>43.267297197028967</v>
      </c>
      <c r="EQ86" s="6">
        <v>76.53180713803016</v>
      </c>
      <c r="ER86" s="6">
        <v>47.281979431287731</v>
      </c>
      <c r="ES86" s="6">
        <v>39.634965651747223</v>
      </c>
      <c r="ET86" s="6">
        <v>762.02200236452109</v>
      </c>
      <c r="EU86" s="6">
        <v>85.299069785609376</v>
      </c>
      <c r="EV86" s="6">
        <v>-487.77561244864944</v>
      </c>
      <c r="EW86" s="6">
        <v>68.502442669512632</v>
      </c>
      <c r="EX86" s="6">
        <v>36.346749726544807</v>
      </c>
      <c r="EY86" s="6">
        <v>40.782017718678297</v>
      </c>
      <c r="EZ86" s="6">
        <v>35.811458761976972</v>
      </c>
      <c r="FA86" s="6">
        <v>143.06082702003258</v>
      </c>
      <c r="FB86" s="6">
        <v>109.03161570107731</v>
      </c>
      <c r="FC86" s="6">
        <v>87.811152462852405</v>
      </c>
      <c r="FD86" s="6">
        <v>31.414425838741181</v>
      </c>
      <c r="FE86" s="6">
        <v>122.98741584873873</v>
      </c>
      <c r="FF86" s="6">
        <v>33.70852997260333</v>
      </c>
      <c r="FG86" s="6">
        <v>49.002557531684346</v>
      </c>
      <c r="FH86" s="6">
        <v>57.414272689178901</v>
      </c>
      <c r="FI86" s="6">
        <v>137.78171141955374</v>
      </c>
      <c r="FJ86" s="6">
        <v>29.502672393856056</v>
      </c>
      <c r="FK86" s="6">
        <v>62.652477128164143</v>
      </c>
      <c r="FL86" s="6">
        <v>52.864299490352302</v>
      </c>
      <c r="FM86" s="6">
        <v>120.69331171487659</v>
      </c>
      <c r="FN86" s="6">
        <v>37.723212206862101</v>
      </c>
      <c r="FO86" s="6">
        <v>55.215139495899685</v>
      </c>
      <c r="FP86" s="6">
        <v>37.932888354138136</v>
      </c>
      <c r="FQ86" s="6">
        <v>49.976935056914442</v>
      </c>
      <c r="FR86" s="6">
        <v>31.624101986017223</v>
      </c>
      <c r="FS86" s="6">
        <v>38.506414387603677</v>
      </c>
      <c r="FT86" s="6">
        <v>36.900541493900171</v>
      </c>
      <c r="FU86" s="6">
        <v>43.285797999816495</v>
      </c>
      <c r="FV86" s="6">
        <v>36.212310253741528</v>
      </c>
      <c r="FW86" s="6">
        <v>36.785836287207061</v>
      </c>
      <c r="FX86" s="6">
        <v>43.476973344305009</v>
      </c>
      <c r="FY86" s="6">
        <v>26.997658649395216</v>
      </c>
      <c r="FZ86" s="6">
        <v>55.521020047081308</v>
      </c>
      <c r="GA86" s="6">
        <v>34.491732153344913</v>
      </c>
      <c r="GB86" s="6">
        <v>26.844718373804405</v>
      </c>
      <c r="GC86" s="6">
        <v>145.37343195668225</v>
      </c>
      <c r="GD86" s="6">
        <v>46.382838580530404</v>
      </c>
      <c r="GE86" s="6">
        <v>35.25643353129896</v>
      </c>
      <c r="GF86" s="6">
        <v>94.788435805021805</v>
      </c>
      <c r="GG86" s="6">
        <v>28.947647163178043</v>
      </c>
      <c r="GH86" s="6">
        <v>36.747601218309363</v>
      </c>
      <c r="GI86" s="6">
        <v>52.423979466367399</v>
      </c>
      <c r="GJ86" s="6">
        <v>34.682907497833426</v>
      </c>
      <c r="GK86" s="6">
        <v>32.312333226175866</v>
      </c>
      <c r="GL86" s="6">
        <v>50.741636434868489</v>
      </c>
      <c r="GM86" s="6">
        <v>32.197628019482757</v>
      </c>
      <c r="GN86" s="6">
        <v>125.30002078538843</v>
      </c>
      <c r="GO86" s="6">
        <v>40.226992488000292</v>
      </c>
      <c r="GP86" s="6">
        <v>36.021134909253014</v>
      </c>
      <c r="GQ86" s="6">
        <v>37.168186976184089</v>
      </c>
      <c r="GR86" s="6">
        <v>35.179963393503556</v>
      </c>
      <c r="GS86" s="6">
        <v>39.271115765557731</v>
      </c>
      <c r="GT86" s="6">
        <v>53.911447145760562</v>
      </c>
      <c r="GU86" s="6">
        <v>48.55853750008221</v>
      </c>
      <c r="GV86" s="6">
        <v>60.793759547347022</v>
      </c>
      <c r="GW86" s="6">
        <v>15.294027559081011</v>
      </c>
      <c r="GX86" s="6">
        <v>50.470290944967338</v>
      </c>
      <c r="GY86" s="6">
        <v>117.76401220492379</v>
      </c>
      <c r="GZ86" s="6">
        <v>77.617189862336133</v>
      </c>
      <c r="HA86" s="6">
        <v>95.970022933233352</v>
      </c>
      <c r="HB86" s="6">
        <v>111.83757652577989</v>
      </c>
      <c r="HC86" s="6">
        <v>32.499808563047146</v>
      </c>
      <c r="HD86" s="6">
        <v>26.573372883903257</v>
      </c>
      <c r="HE86" s="6">
        <v>125.41102598446429</v>
      </c>
      <c r="HF86" s="6">
        <v>151.10499228372038</v>
      </c>
      <c r="HG86" s="6">
        <v>64.234915748140253</v>
      </c>
      <c r="HH86" s="6">
        <v>33</v>
      </c>
      <c r="HI86" s="6">
        <v>0</v>
      </c>
      <c r="HJ86" s="6">
        <v>0</v>
      </c>
      <c r="HK86" s="6">
        <v>0</v>
      </c>
      <c r="HL86" s="6">
        <v>0</v>
      </c>
      <c r="HM86" s="6">
        <v>0</v>
      </c>
      <c r="HN86" s="6">
        <v>0</v>
      </c>
      <c r="HO86" s="6">
        <v>0</v>
      </c>
      <c r="HP86" s="6">
        <v>0</v>
      </c>
      <c r="HQ86" s="6">
        <v>0</v>
      </c>
      <c r="HR86" s="6">
        <v>0</v>
      </c>
      <c r="HS86" s="6">
        <v>0</v>
      </c>
      <c r="HT86" s="6">
        <v>0</v>
      </c>
      <c r="HU86" s="6">
        <v>0</v>
      </c>
      <c r="HV86" s="6">
        <v>0</v>
      </c>
      <c r="HW86" s="198">
        <v>0</v>
      </c>
      <c r="HX86" s="63">
        <v>0</v>
      </c>
      <c r="II86">
        <v>0</v>
      </c>
      <c r="JE86">
        <v>0</v>
      </c>
    </row>
    <row r="87" spans="1:284">
      <c r="A87" s="9" t="s">
        <v>97</v>
      </c>
      <c r="D87" s="2"/>
      <c r="II87">
        <v>0</v>
      </c>
      <c r="JE87" s="228" t="s">
        <v>332</v>
      </c>
      <c r="JF87" s="229">
        <v>0</v>
      </c>
      <c r="JG87" s="229">
        <v>1995.5264808399925</v>
      </c>
      <c r="JH87" s="229">
        <v>1363.9844655825259</v>
      </c>
      <c r="JI87" s="229">
        <v>1842.4192632913614</v>
      </c>
      <c r="JJ87" s="229">
        <v>1782.2130582242585</v>
      </c>
      <c r="JK87" s="229">
        <v>1947.5217439013315</v>
      </c>
      <c r="JL87" s="229">
        <v>1564.7183876495226</v>
      </c>
      <c r="JM87" s="229">
        <v>1460.459991685201</v>
      </c>
      <c r="JO87" s="28">
        <v>11956.843391174192</v>
      </c>
    </row>
    <row r="88" spans="1:284">
      <c r="A88" s="9"/>
      <c r="D88" s="2"/>
      <c r="II88">
        <v>0</v>
      </c>
      <c r="JE88" s="228" t="s">
        <v>333</v>
      </c>
      <c r="JF88" s="229">
        <v>1202.27</v>
      </c>
      <c r="JG88" s="229">
        <v>218.67000000000002</v>
      </c>
      <c r="JH88" s="229">
        <v>0</v>
      </c>
      <c r="JI88" s="229">
        <v>0</v>
      </c>
      <c r="JJ88" s="229">
        <v>0</v>
      </c>
      <c r="JK88" s="229">
        <v>136.44999999999993</v>
      </c>
      <c r="JL88" s="229">
        <v>45</v>
      </c>
      <c r="JM88" s="229">
        <v>33</v>
      </c>
      <c r="JO88" s="28">
        <v>1635.3899999999999</v>
      </c>
    </row>
    <row r="89" spans="1:284" outlineLevel="1">
      <c r="D89" s="2"/>
      <c r="E89" s="2" t="s">
        <v>86</v>
      </c>
      <c r="F89" s="2" t="s">
        <v>87</v>
      </c>
      <c r="G89" s="2" t="s">
        <v>88</v>
      </c>
      <c r="H89" s="2" t="s">
        <v>89</v>
      </c>
      <c r="I89" s="2" t="s">
        <v>90</v>
      </c>
      <c r="J89" s="2" t="s">
        <v>289</v>
      </c>
      <c r="K89" s="2" t="s">
        <v>85</v>
      </c>
      <c r="L89" s="2" t="s">
        <v>86</v>
      </c>
      <c r="M89" s="2" t="s">
        <v>87</v>
      </c>
      <c r="N89" s="2" t="s">
        <v>88</v>
      </c>
      <c r="O89" s="2" t="s">
        <v>89</v>
      </c>
      <c r="P89" s="2" t="s">
        <v>90</v>
      </c>
      <c r="Q89" s="2" t="s">
        <v>289</v>
      </c>
      <c r="R89" s="2" t="s">
        <v>85</v>
      </c>
      <c r="S89" s="2" t="s">
        <v>86</v>
      </c>
      <c r="T89" s="2" t="s">
        <v>87</v>
      </c>
      <c r="U89" s="2" t="s">
        <v>88</v>
      </c>
      <c r="V89" s="2" t="s">
        <v>89</v>
      </c>
      <c r="W89" s="2" t="s">
        <v>90</v>
      </c>
      <c r="X89" s="2" t="s">
        <v>289</v>
      </c>
      <c r="Y89" s="2" t="s">
        <v>85</v>
      </c>
      <c r="Z89" s="2" t="s">
        <v>86</v>
      </c>
      <c r="AA89" s="2" t="s">
        <v>87</v>
      </c>
      <c r="AB89" s="2" t="s">
        <v>88</v>
      </c>
      <c r="AC89" s="2" t="s">
        <v>89</v>
      </c>
      <c r="AD89" s="2" t="s">
        <v>90</v>
      </c>
      <c r="AE89" s="2" t="s">
        <v>289</v>
      </c>
      <c r="AF89" s="2" t="s">
        <v>85</v>
      </c>
      <c r="AG89" s="2" t="s">
        <v>86</v>
      </c>
      <c r="AH89" s="2" t="s">
        <v>87</v>
      </c>
      <c r="AI89" s="2" t="s">
        <v>88</v>
      </c>
      <c r="AJ89" s="2" t="s">
        <v>89</v>
      </c>
      <c r="AK89" s="2" t="s">
        <v>90</v>
      </c>
      <c r="AL89" s="2" t="s">
        <v>289</v>
      </c>
      <c r="AM89" s="2" t="s">
        <v>85</v>
      </c>
      <c r="AN89" s="2" t="s">
        <v>86</v>
      </c>
      <c r="AO89" s="2" t="s">
        <v>87</v>
      </c>
      <c r="AP89" s="2" t="s">
        <v>88</v>
      </c>
      <c r="AQ89" s="2" t="s">
        <v>89</v>
      </c>
      <c r="AR89" s="2" t="s">
        <v>90</v>
      </c>
      <c r="AS89" s="2" t="s">
        <v>289</v>
      </c>
      <c r="AT89" s="2" t="s">
        <v>85</v>
      </c>
      <c r="AU89" s="2" t="s">
        <v>86</v>
      </c>
      <c r="AV89" s="2" t="s">
        <v>87</v>
      </c>
      <c r="AW89" s="2" t="s">
        <v>88</v>
      </c>
      <c r="AX89" s="2" t="s">
        <v>89</v>
      </c>
      <c r="AY89" s="2" t="s">
        <v>90</v>
      </c>
      <c r="AZ89" s="2" t="s">
        <v>289</v>
      </c>
      <c r="BA89" s="2" t="s">
        <v>85</v>
      </c>
      <c r="BB89" s="2" t="s">
        <v>86</v>
      </c>
      <c r="BC89" s="2" t="s">
        <v>87</v>
      </c>
      <c r="BD89" s="2" t="s">
        <v>88</v>
      </c>
      <c r="BE89" s="2" t="s">
        <v>89</v>
      </c>
      <c r="BF89" s="2" t="s">
        <v>90</v>
      </c>
      <c r="BG89" s="2" t="s">
        <v>289</v>
      </c>
      <c r="BH89" s="2" t="s">
        <v>85</v>
      </c>
      <c r="BI89" s="2" t="s">
        <v>86</v>
      </c>
      <c r="BJ89" s="2" t="s">
        <v>87</v>
      </c>
      <c r="BK89" s="2" t="s">
        <v>88</v>
      </c>
      <c r="BL89" s="2" t="s">
        <v>89</v>
      </c>
      <c r="BM89" s="2" t="s">
        <v>90</v>
      </c>
      <c r="BN89" s="2" t="s">
        <v>289</v>
      </c>
      <c r="BO89" s="2" t="s">
        <v>85</v>
      </c>
      <c r="BP89" s="2" t="s">
        <v>86</v>
      </c>
      <c r="BQ89" s="2" t="s">
        <v>87</v>
      </c>
      <c r="BR89" s="2" t="s">
        <v>88</v>
      </c>
      <c r="BS89" s="2" t="s">
        <v>89</v>
      </c>
      <c r="BT89" s="2" t="s">
        <v>90</v>
      </c>
      <c r="BU89" s="2" t="s">
        <v>289</v>
      </c>
      <c r="BV89" s="2" t="s">
        <v>85</v>
      </c>
      <c r="BW89" s="2" t="s">
        <v>86</v>
      </c>
      <c r="BX89" s="2" t="s">
        <v>87</v>
      </c>
      <c r="BY89" s="2" t="s">
        <v>88</v>
      </c>
      <c r="BZ89" s="2" t="s">
        <v>89</v>
      </c>
      <c r="CA89" s="2" t="s">
        <v>90</v>
      </c>
      <c r="CB89" s="2" t="s">
        <v>289</v>
      </c>
      <c r="CC89" s="2" t="s">
        <v>85</v>
      </c>
      <c r="CD89" s="2" t="s">
        <v>86</v>
      </c>
      <c r="CE89" s="2" t="s">
        <v>87</v>
      </c>
      <c r="CF89" s="2" t="s">
        <v>88</v>
      </c>
      <c r="CG89" s="2" t="s">
        <v>89</v>
      </c>
      <c r="CH89" s="2" t="s">
        <v>90</v>
      </c>
      <c r="CI89" s="2" t="s">
        <v>289</v>
      </c>
      <c r="CJ89" s="2" t="s">
        <v>85</v>
      </c>
      <c r="CK89" s="2" t="s">
        <v>86</v>
      </c>
      <c r="CL89" s="2" t="s">
        <v>87</v>
      </c>
      <c r="CM89" s="2" t="s">
        <v>88</v>
      </c>
      <c r="CN89" s="2" t="s">
        <v>89</v>
      </c>
      <c r="CO89" s="2" t="s">
        <v>90</v>
      </c>
      <c r="CP89" s="2" t="s">
        <v>289</v>
      </c>
      <c r="CQ89" s="2" t="s">
        <v>85</v>
      </c>
      <c r="CR89" s="2" t="s">
        <v>86</v>
      </c>
      <c r="CS89" s="2" t="s">
        <v>87</v>
      </c>
      <c r="CT89" s="2" t="s">
        <v>88</v>
      </c>
      <c r="CU89" s="2" t="s">
        <v>89</v>
      </c>
      <c r="CV89" s="2" t="s">
        <v>90</v>
      </c>
      <c r="CW89" s="2" t="s">
        <v>289</v>
      </c>
      <c r="CX89" s="2" t="s">
        <v>85</v>
      </c>
      <c r="CY89" s="2" t="s">
        <v>86</v>
      </c>
      <c r="CZ89" s="2" t="s">
        <v>87</v>
      </c>
      <c r="DA89" s="2" t="s">
        <v>88</v>
      </c>
      <c r="DB89" s="2" t="s">
        <v>89</v>
      </c>
      <c r="DC89" s="2" t="s">
        <v>90</v>
      </c>
      <c r="DD89" s="2" t="s">
        <v>289</v>
      </c>
      <c r="DE89" s="2" t="s">
        <v>85</v>
      </c>
      <c r="DF89" s="2" t="s">
        <v>86</v>
      </c>
      <c r="DG89" s="2" t="s">
        <v>87</v>
      </c>
      <c r="DH89" s="2" t="s">
        <v>88</v>
      </c>
      <c r="DI89" s="2" t="s">
        <v>89</v>
      </c>
      <c r="DJ89" s="2" t="s">
        <v>90</v>
      </c>
      <c r="DK89" s="2" t="s">
        <v>289</v>
      </c>
      <c r="DL89" s="2" t="s">
        <v>85</v>
      </c>
      <c r="DM89" s="2" t="s">
        <v>86</v>
      </c>
      <c r="DN89" s="2" t="s">
        <v>87</v>
      </c>
      <c r="DO89" s="2" t="s">
        <v>88</v>
      </c>
      <c r="DP89" s="2" t="s">
        <v>89</v>
      </c>
      <c r="DQ89" s="2" t="s">
        <v>90</v>
      </c>
      <c r="DR89" s="2" t="s">
        <v>289</v>
      </c>
      <c r="DS89" s="2" t="s">
        <v>85</v>
      </c>
      <c r="DT89" s="2" t="s">
        <v>86</v>
      </c>
      <c r="DU89" s="2" t="s">
        <v>87</v>
      </c>
      <c r="DV89" s="2" t="s">
        <v>88</v>
      </c>
      <c r="DW89" s="2" t="s">
        <v>89</v>
      </c>
      <c r="DX89" s="2" t="s">
        <v>90</v>
      </c>
      <c r="DY89" s="2" t="s">
        <v>289</v>
      </c>
      <c r="DZ89" s="2" t="s">
        <v>85</v>
      </c>
      <c r="EA89" s="2" t="s">
        <v>86</v>
      </c>
      <c r="EB89" s="2" t="s">
        <v>87</v>
      </c>
      <c r="EC89" s="2" t="s">
        <v>88</v>
      </c>
      <c r="ED89" s="2" t="s">
        <v>89</v>
      </c>
      <c r="EE89" s="2" t="s">
        <v>90</v>
      </c>
      <c r="EF89" s="2" t="s">
        <v>289</v>
      </c>
      <c r="EG89" s="2" t="s">
        <v>85</v>
      </c>
      <c r="EH89" s="2" t="s">
        <v>86</v>
      </c>
      <c r="EI89" s="2" t="s">
        <v>87</v>
      </c>
      <c r="EJ89" s="2" t="s">
        <v>88</v>
      </c>
      <c r="EK89" s="2" t="s">
        <v>89</v>
      </c>
      <c r="EL89" s="2" t="s">
        <v>90</v>
      </c>
      <c r="EM89" s="2" t="s">
        <v>289</v>
      </c>
      <c r="EN89" s="2" t="s">
        <v>85</v>
      </c>
      <c r="EO89" s="2" t="s">
        <v>86</v>
      </c>
      <c r="EP89" s="2" t="s">
        <v>87</v>
      </c>
      <c r="EQ89" s="2" t="s">
        <v>88</v>
      </c>
      <c r="ER89" s="2" t="s">
        <v>89</v>
      </c>
      <c r="ES89" s="2" t="s">
        <v>90</v>
      </c>
      <c r="ET89" s="2" t="s">
        <v>289</v>
      </c>
      <c r="EU89" s="2" t="s">
        <v>85</v>
      </c>
      <c r="EV89" s="2" t="s">
        <v>86</v>
      </c>
      <c r="EW89" s="2" t="s">
        <v>87</v>
      </c>
      <c r="EX89" s="2" t="s">
        <v>88</v>
      </c>
      <c r="EY89" s="2" t="s">
        <v>89</v>
      </c>
      <c r="EZ89" s="2" t="s">
        <v>90</v>
      </c>
      <c r="FA89" s="2" t="s">
        <v>289</v>
      </c>
      <c r="FB89" s="2" t="s">
        <v>85</v>
      </c>
      <c r="FC89" s="2" t="s">
        <v>86</v>
      </c>
      <c r="FD89" s="2" t="s">
        <v>87</v>
      </c>
      <c r="FE89" s="2" t="s">
        <v>88</v>
      </c>
      <c r="FF89" s="2" t="s">
        <v>89</v>
      </c>
      <c r="FG89" s="2" t="s">
        <v>90</v>
      </c>
      <c r="FH89" s="2" t="s">
        <v>289</v>
      </c>
      <c r="FI89" s="2" t="s">
        <v>85</v>
      </c>
      <c r="FJ89" s="2" t="s">
        <v>86</v>
      </c>
      <c r="FK89" s="2" t="s">
        <v>87</v>
      </c>
      <c r="FL89" s="2" t="s">
        <v>88</v>
      </c>
      <c r="FM89" s="2" t="s">
        <v>89</v>
      </c>
      <c r="FN89" s="2" t="s">
        <v>90</v>
      </c>
      <c r="FO89" s="2" t="s">
        <v>289</v>
      </c>
      <c r="FP89" s="2" t="s">
        <v>85</v>
      </c>
      <c r="FQ89" s="2" t="s">
        <v>86</v>
      </c>
      <c r="FR89" s="2" t="s">
        <v>87</v>
      </c>
      <c r="FS89" s="2" t="s">
        <v>88</v>
      </c>
      <c r="FT89" s="2" t="s">
        <v>89</v>
      </c>
      <c r="FU89" s="2" t="s">
        <v>90</v>
      </c>
      <c r="FV89" s="2" t="s">
        <v>289</v>
      </c>
      <c r="FW89" s="2" t="s">
        <v>85</v>
      </c>
      <c r="FX89" s="2" t="s">
        <v>86</v>
      </c>
      <c r="FY89" s="2" t="s">
        <v>87</v>
      </c>
      <c r="FZ89" s="2" t="s">
        <v>88</v>
      </c>
      <c r="GA89" s="2" t="s">
        <v>89</v>
      </c>
      <c r="GB89" s="2" t="s">
        <v>90</v>
      </c>
      <c r="GC89" s="2" t="s">
        <v>289</v>
      </c>
      <c r="GD89" s="2" t="s">
        <v>85</v>
      </c>
      <c r="GE89" s="2" t="s">
        <v>86</v>
      </c>
      <c r="GF89" s="2" t="s">
        <v>87</v>
      </c>
      <c r="GG89" s="2" t="s">
        <v>88</v>
      </c>
      <c r="GH89" s="2" t="s">
        <v>89</v>
      </c>
      <c r="GI89" s="2" t="s">
        <v>90</v>
      </c>
      <c r="GJ89" s="2" t="s">
        <v>289</v>
      </c>
      <c r="GK89" s="2" t="s">
        <v>85</v>
      </c>
      <c r="GL89" s="2" t="s">
        <v>86</v>
      </c>
      <c r="GM89" s="2" t="s">
        <v>87</v>
      </c>
      <c r="GN89" s="2" t="s">
        <v>88</v>
      </c>
      <c r="GO89" s="2" t="s">
        <v>89</v>
      </c>
      <c r="GP89" s="2" t="s">
        <v>90</v>
      </c>
      <c r="GQ89" s="2" t="s">
        <v>289</v>
      </c>
      <c r="GR89" s="2" t="s">
        <v>85</v>
      </c>
      <c r="GS89" s="2" t="s">
        <v>86</v>
      </c>
      <c r="GT89" s="2" t="s">
        <v>87</v>
      </c>
      <c r="GU89" s="2" t="s">
        <v>88</v>
      </c>
      <c r="GV89" s="2" t="s">
        <v>89</v>
      </c>
      <c r="GW89" s="2" t="s">
        <v>90</v>
      </c>
      <c r="GX89" s="2" t="s">
        <v>289</v>
      </c>
      <c r="GY89" s="2" t="s">
        <v>85</v>
      </c>
      <c r="GZ89" s="2" t="s">
        <v>86</v>
      </c>
      <c r="HA89" s="2" t="s">
        <v>87</v>
      </c>
      <c r="HB89" s="2" t="s">
        <v>88</v>
      </c>
      <c r="HC89" s="2" t="s">
        <v>89</v>
      </c>
      <c r="HD89" s="2" t="s">
        <v>90</v>
      </c>
      <c r="HE89" s="2" t="s">
        <v>289</v>
      </c>
      <c r="HF89" s="2" t="s">
        <v>85</v>
      </c>
      <c r="HG89" s="2" t="s">
        <v>86</v>
      </c>
      <c r="HH89" s="2" t="s">
        <v>87</v>
      </c>
      <c r="HI89" s="2" t="s">
        <v>88</v>
      </c>
      <c r="HJ89" s="2" t="s">
        <v>89</v>
      </c>
      <c r="HK89" s="2" t="s">
        <v>90</v>
      </c>
      <c r="HL89" s="2" t="s">
        <v>289</v>
      </c>
      <c r="HM89" s="2" t="s">
        <v>85</v>
      </c>
      <c r="HN89" s="2" t="s">
        <v>86</v>
      </c>
      <c r="HO89" s="2" t="s">
        <v>87</v>
      </c>
      <c r="HP89" s="2" t="s">
        <v>88</v>
      </c>
      <c r="HQ89" s="2" t="s">
        <v>89</v>
      </c>
      <c r="HR89" s="2" t="s">
        <v>90</v>
      </c>
      <c r="HS89" s="2" t="s">
        <v>289</v>
      </c>
      <c r="HT89" s="2" t="s">
        <v>85</v>
      </c>
      <c r="HU89" s="2" t="s">
        <v>86</v>
      </c>
      <c r="HV89" s="2" t="s">
        <v>87</v>
      </c>
      <c r="HW89" s="11" t="s">
        <v>88</v>
      </c>
      <c r="HX89" s="177">
        <v>0</v>
      </c>
      <c r="IA89" t="s">
        <v>79</v>
      </c>
      <c r="II89">
        <v>0</v>
      </c>
      <c r="JE89" s="228">
        <v>0</v>
      </c>
      <c r="JF89" s="229">
        <v>221.30457877990216</v>
      </c>
      <c r="JG89" s="229">
        <v>-221.30457877990187</v>
      </c>
      <c r="JH89" s="229">
        <v>0</v>
      </c>
      <c r="JI89" s="229">
        <v>-11.470520669310872</v>
      </c>
      <c r="JJ89" s="229">
        <v>-8.7940658464715398</v>
      </c>
      <c r="JK89" s="229">
        <v>-11.470520669310531</v>
      </c>
      <c r="JL89" s="229">
        <v>-1.9117534448853348</v>
      </c>
      <c r="JM89" s="229">
        <v>-10.32346860237999</v>
      </c>
      <c r="JO89" s="28">
        <v>-43.970329232357983</v>
      </c>
    </row>
    <row r="90" spans="1:284" ht="24" outlineLevel="1" thickBot="1">
      <c r="E90" s="39">
        <v>43887</v>
      </c>
      <c r="F90" s="39">
        <v>43888</v>
      </c>
      <c r="G90" s="39">
        <v>43889</v>
      </c>
      <c r="H90" s="39">
        <v>43890</v>
      </c>
      <c r="I90" s="39">
        <v>43891</v>
      </c>
      <c r="J90" s="39">
        <v>43892</v>
      </c>
      <c r="K90" s="39">
        <v>43893</v>
      </c>
      <c r="L90" s="39">
        <v>43894</v>
      </c>
      <c r="M90" s="39">
        <v>43895</v>
      </c>
      <c r="N90" s="39">
        <v>43896</v>
      </c>
      <c r="O90" s="39">
        <v>43897</v>
      </c>
      <c r="P90" s="39">
        <v>43898</v>
      </c>
      <c r="Q90" s="39">
        <v>43899</v>
      </c>
      <c r="R90" s="39">
        <v>43900</v>
      </c>
      <c r="S90" s="39">
        <v>43901</v>
      </c>
      <c r="T90" s="39">
        <v>43902</v>
      </c>
      <c r="U90" s="39">
        <v>43903</v>
      </c>
      <c r="V90" s="39">
        <v>43904</v>
      </c>
      <c r="W90" s="39">
        <v>43905</v>
      </c>
      <c r="X90" s="39">
        <v>43906</v>
      </c>
      <c r="Y90" s="39">
        <v>43907</v>
      </c>
      <c r="Z90" s="39">
        <v>43908</v>
      </c>
      <c r="AA90" s="39">
        <v>43909</v>
      </c>
      <c r="AB90" s="39">
        <v>43910</v>
      </c>
      <c r="AC90" s="39">
        <v>43911</v>
      </c>
      <c r="AD90" s="39">
        <v>43912</v>
      </c>
      <c r="AE90" s="39">
        <v>43913</v>
      </c>
      <c r="AF90" s="39">
        <v>43914</v>
      </c>
      <c r="AG90" s="39">
        <v>43915</v>
      </c>
      <c r="AH90" s="39">
        <v>43916</v>
      </c>
      <c r="AI90" s="39">
        <v>43917</v>
      </c>
      <c r="AJ90" s="39">
        <v>43918</v>
      </c>
      <c r="AK90" s="39">
        <v>43919</v>
      </c>
      <c r="AL90" s="39">
        <v>43920</v>
      </c>
      <c r="AM90" s="39">
        <v>43921</v>
      </c>
      <c r="AN90" s="39">
        <v>43922</v>
      </c>
      <c r="AO90" s="39">
        <v>43923</v>
      </c>
      <c r="AP90" s="39">
        <v>43924</v>
      </c>
      <c r="AQ90" s="39">
        <v>43925</v>
      </c>
      <c r="AR90" s="39">
        <v>43926</v>
      </c>
      <c r="AS90" s="39">
        <v>43927</v>
      </c>
      <c r="AT90" s="39">
        <v>43928</v>
      </c>
      <c r="AU90" s="39">
        <v>43929</v>
      </c>
      <c r="AV90" s="39">
        <v>43930</v>
      </c>
      <c r="AW90" s="39">
        <v>43931</v>
      </c>
      <c r="AX90" s="39">
        <v>43932</v>
      </c>
      <c r="AY90" s="39">
        <v>43933</v>
      </c>
      <c r="AZ90" s="39">
        <v>43934</v>
      </c>
      <c r="BA90" s="39">
        <v>43935</v>
      </c>
      <c r="BB90" s="39">
        <v>43936</v>
      </c>
      <c r="BC90" s="39">
        <v>43937</v>
      </c>
      <c r="BD90" s="39">
        <v>43938</v>
      </c>
      <c r="BE90" s="39">
        <v>43939</v>
      </c>
      <c r="BF90" s="39">
        <v>43940</v>
      </c>
      <c r="BG90" s="39">
        <v>43941</v>
      </c>
      <c r="BH90" s="39">
        <v>43942</v>
      </c>
      <c r="BI90" s="39">
        <v>43943</v>
      </c>
      <c r="BJ90" s="39">
        <v>43944</v>
      </c>
      <c r="BK90" s="39">
        <v>43945</v>
      </c>
      <c r="BL90" s="39">
        <v>43946</v>
      </c>
      <c r="BM90" s="39">
        <v>43947</v>
      </c>
      <c r="BN90" s="39">
        <v>43948</v>
      </c>
      <c r="BO90" s="39">
        <v>43949</v>
      </c>
      <c r="BP90" s="39">
        <v>43950</v>
      </c>
      <c r="BQ90" s="39">
        <v>43951</v>
      </c>
      <c r="BR90" s="39">
        <v>43952</v>
      </c>
      <c r="BS90" s="39">
        <v>43953</v>
      </c>
      <c r="BT90" s="39">
        <v>43954</v>
      </c>
      <c r="BU90" s="39">
        <v>43955</v>
      </c>
      <c r="BV90" s="39">
        <v>43956</v>
      </c>
      <c r="BW90" s="39">
        <v>43957</v>
      </c>
      <c r="BX90" s="39">
        <v>43958</v>
      </c>
      <c r="BY90" s="39">
        <v>43959</v>
      </c>
      <c r="BZ90" s="39">
        <v>43960</v>
      </c>
      <c r="CA90" s="39">
        <v>43961</v>
      </c>
      <c r="CB90" s="39">
        <v>43962</v>
      </c>
      <c r="CC90" s="39">
        <v>43963</v>
      </c>
      <c r="CD90" s="39">
        <v>43964</v>
      </c>
      <c r="CE90" s="39">
        <v>43965</v>
      </c>
      <c r="CF90" s="39">
        <v>43966</v>
      </c>
      <c r="CG90" s="39">
        <v>43967</v>
      </c>
      <c r="CH90" s="39">
        <v>43968</v>
      </c>
      <c r="CI90" s="39">
        <v>43969</v>
      </c>
      <c r="CJ90" s="39">
        <v>43970</v>
      </c>
      <c r="CK90" s="39">
        <v>43971</v>
      </c>
      <c r="CL90" s="39">
        <v>43972</v>
      </c>
      <c r="CM90" s="39">
        <v>43973</v>
      </c>
      <c r="CN90" s="39">
        <v>43974</v>
      </c>
      <c r="CO90" s="39">
        <v>43975</v>
      </c>
      <c r="CP90" s="39">
        <v>43976</v>
      </c>
      <c r="CQ90" s="39">
        <v>43977</v>
      </c>
      <c r="CR90" s="39">
        <v>43978</v>
      </c>
      <c r="CS90" s="39">
        <v>43979</v>
      </c>
      <c r="CT90" s="39">
        <v>43980</v>
      </c>
      <c r="CU90" s="39">
        <v>43981</v>
      </c>
      <c r="CV90" s="39">
        <v>43982</v>
      </c>
      <c r="CW90" s="39">
        <v>43983</v>
      </c>
      <c r="CX90" s="39">
        <v>43984</v>
      </c>
      <c r="CY90" s="39">
        <v>43985</v>
      </c>
      <c r="CZ90" s="39">
        <v>43986</v>
      </c>
      <c r="DA90" s="39">
        <v>43987</v>
      </c>
      <c r="DB90" s="39">
        <v>43988</v>
      </c>
      <c r="DC90" s="39">
        <v>43989</v>
      </c>
      <c r="DD90" s="39">
        <v>43990</v>
      </c>
      <c r="DE90" s="39">
        <v>43991</v>
      </c>
      <c r="DF90" s="39">
        <v>43992</v>
      </c>
      <c r="DG90" s="39">
        <v>43993</v>
      </c>
      <c r="DH90" s="39">
        <v>43994</v>
      </c>
      <c r="DI90" s="39">
        <v>43995</v>
      </c>
      <c r="DJ90" s="39">
        <v>43996</v>
      </c>
      <c r="DK90" s="39">
        <v>43997</v>
      </c>
      <c r="DL90" s="39">
        <v>43998</v>
      </c>
      <c r="DM90" s="39">
        <v>43999</v>
      </c>
      <c r="DN90" s="39">
        <v>44000</v>
      </c>
      <c r="DO90" s="39">
        <v>44001</v>
      </c>
      <c r="DP90" s="39">
        <v>44002</v>
      </c>
      <c r="DQ90" s="39">
        <v>44003</v>
      </c>
      <c r="DR90" s="39">
        <v>44004</v>
      </c>
      <c r="DS90" s="39">
        <v>44005</v>
      </c>
      <c r="DT90" s="39">
        <v>44006</v>
      </c>
      <c r="DU90" s="39">
        <v>44007</v>
      </c>
      <c r="DV90" s="39">
        <v>44008</v>
      </c>
      <c r="DW90" s="39">
        <v>44009</v>
      </c>
      <c r="DX90" s="39">
        <v>44010</v>
      </c>
      <c r="DY90" s="39">
        <v>44011</v>
      </c>
      <c r="DZ90" s="39">
        <v>44012</v>
      </c>
      <c r="EA90" s="39">
        <v>44013</v>
      </c>
      <c r="EB90" s="39">
        <v>44014</v>
      </c>
      <c r="EC90" s="39">
        <v>44015</v>
      </c>
      <c r="ED90" s="39">
        <v>44016</v>
      </c>
      <c r="EE90" s="39">
        <v>44017</v>
      </c>
      <c r="EF90" s="39">
        <v>44018</v>
      </c>
      <c r="EG90" s="39">
        <v>44019</v>
      </c>
      <c r="EH90" s="39">
        <v>44020</v>
      </c>
      <c r="EI90" s="39">
        <v>44021</v>
      </c>
      <c r="EJ90" s="39">
        <v>44022</v>
      </c>
      <c r="EK90" s="39">
        <v>44023</v>
      </c>
      <c r="EL90" s="39">
        <v>44024</v>
      </c>
      <c r="EM90" s="39">
        <v>44025</v>
      </c>
      <c r="EN90" s="39">
        <v>44026</v>
      </c>
      <c r="EO90" s="39">
        <v>44027</v>
      </c>
      <c r="EP90" s="39">
        <v>44028</v>
      </c>
      <c r="EQ90" s="39">
        <v>44029</v>
      </c>
      <c r="ER90" s="39">
        <v>44030</v>
      </c>
      <c r="ES90" s="39">
        <v>44031</v>
      </c>
      <c r="ET90" s="39">
        <v>44032</v>
      </c>
      <c r="EU90" s="39">
        <v>44033</v>
      </c>
      <c r="EV90" s="39">
        <v>44034</v>
      </c>
      <c r="EW90" s="39">
        <v>44035</v>
      </c>
      <c r="EX90" s="39">
        <v>44036</v>
      </c>
      <c r="EY90" s="39">
        <v>44037</v>
      </c>
      <c r="EZ90" s="39">
        <v>44038</v>
      </c>
      <c r="FA90" s="39">
        <v>44039</v>
      </c>
      <c r="FB90" s="39">
        <v>44040</v>
      </c>
      <c r="FC90" s="39">
        <v>44041</v>
      </c>
      <c r="FD90" s="39">
        <v>44042</v>
      </c>
      <c r="FE90" s="39">
        <v>44043</v>
      </c>
      <c r="FF90" s="39">
        <v>44044</v>
      </c>
      <c r="FG90" s="39">
        <v>44045</v>
      </c>
      <c r="FH90" s="39">
        <v>44046</v>
      </c>
      <c r="FI90" s="39">
        <v>44047</v>
      </c>
      <c r="FJ90" s="39">
        <v>44048</v>
      </c>
      <c r="FK90" s="39">
        <v>44049</v>
      </c>
      <c r="FL90" s="39">
        <v>44050</v>
      </c>
      <c r="FM90" s="39">
        <v>44051</v>
      </c>
      <c r="FN90" s="39">
        <v>44052</v>
      </c>
      <c r="FO90" s="39">
        <v>44053</v>
      </c>
      <c r="FP90" s="39">
        <v>44054</v>
      </c>
      <c r="FQ90" s="39">
        <v>44055</v>
      </c>
      <c r="FR90" s="39">
        <v>44056</v>
      </c>
      <c r="FS90" s="39">
        <v>44057</v>
      </c>
      <c r="FT90" s="39">
        <v>44058</v>
      </c>
      <c r="FU90" s="39">
        <v>44059</v>
      </c>
      <c r="FV90" s="39">
        <v>44060</v>
      </c>
      <c r="FW90" s="39">
        <v>44061</v>
      </c>
      <c r="FX90" s="39">
        <v>44062</v>
      </c>
      <c r="FY90" s="39">
        <v>44063</v>
      </c>
      <c r="FZ90" s="39">
        <v>44064</v>
      </c>
      <c r="GA90" s="39">
        <v>44065</v>
      </c>
      <c r="GB90" s="39">
        <v>44066</v>
      </c>
      <c r="GC90" s="39">
        <v>44067</v>
      </c>
      <c r="GD90" s="39">
        <v>44068</v>
      </c>
      <c r="GE90" s="39">
        <v>44069</v>
      </c>
      <c r="GF90" s="39">
        <v>44070</v>
      </c>
      <c r="GG90" s="39">
        <v>44071</v>
      </c>
      <c r="GH90" s="39">
        <v>44072</v>
      </c>
      <c r="GI90" s="39">
        <v>44073</v>
      </c>
      <c r="GJ90" s="39">
        <v>44074</v>
      </c>
      <c r="GK90" s="39">
        <v>44075</v>
      </c>
      <c r="GL90" s="39">
        <v>44076</v>
      </c>
      <c r="GM90" s="39">
        <v>44077</v>
      </c>
      <c r="GN90" s="39">
        <v>44078</v>
      </c>
      <c r="GO90" s="39">
        <v>44079</v>
      </c>
      <c r="GP90" s="39">
        <v>44080</v>
      </c>
      <c r="GQ90" s="39">
        <v>44081</v>
      </c>
      <c r="GR90" s="39">
        <v>44082</v>
      </c>
      <c r="GS90" s="39">
        <v>44083</v>
      </c>
      <c r="GT90" s="39">
        <v>44084</v>
      </c>
      <c r="GU90" s="39">
        <v>44085</v>
      </c>
      <c r="GV90" s="39">
        <v>44086</v>
      </c>
      <c r="GW90" s="39">
        <v>44087</v>
      </c>
      <c r="GX90" s="39">
        <v>44088</v>
      </c>
      <c r="GY90" s="39">
        <v>44089</v>
      </c>
      <c r="GZ90" s="39">
        <v>44090</v>
      </c>
      <c r="HA90" s="39">
        <v>44091</v>
      </c>
      <c r="HB90" s="39">
        <v>44092</v>
      </c>
      <c r="HC90" s="39">
        <v>44093</v>
      </c>
      <c r="HD90" s="39">
        <v>44094</v>
      </c>
      <c r="HE90" s="39">
        <v>44095</v>
      </c>
      <c r="HF90" s="39">
        <v>44096</v>
      </c>
      <c r="HG90" s="39">
        <v>44097</v>
      </c>
      <c r="HH90" s="39">
        <v>44098</v>
      </c>
      <c r="HI90" s="39">
        <v>44099</v>
      </c>
      <c r="HJ90" s="39">
        <v>44100</v>
      </c>
      <c r="HK90" s="39">
        <v>44101</v>
      </c>
      <c r="HL90" s="39">
        <v>44102</v>
      </c>
      <c r="HM90" s="39">
        <v>44103</v>
      </c>
      <c r="HN90" s="39">
        <v>44104</v>
      </c>
      <c r="HO90" s="39">
        <v>44105</v>
      </c>
      <c r="HP90" s="39">
        <v>44106</v>
      </c>
      <c r="HQ90" s="39">
        <v>44107</v>
      </c>
      <c r="HR90" s="39">
        <v>44108</v>
      </c>
      <c r="HS90" s="39">
        <v>44109</v>
      </c>
      <c r="HT90" s="39">
        <v>44110</v>
      </c>
      <c r="HU90" s="39">
        <v>44111</v>
      </c>
      <c r="HV90" s="39">
        <v>44112</v>
      </c>
      <c r="HW90" s="197">
        <v>44008</v>
      </c>
      <c r="HX90" s="183">
        <v>0</v>
      </c>
      <c r="IA90" s="40">
        <v>209</v>
      </c>
      <c r="IB90" s="2" t="s">
        <v>260</v>
      </c>
      <c r="II90">
        <v>0</v>
      </c>
      <c r="JE90">
        <v>0</v>
      </c>
      <c r="JO90">
        <v>0</v>
      </c>
      <c r="JR90" s="245" t="s">
        <v>539</v>
      </c>
    </row>
    <row r="91" spans="1:284" outlineLevel="1">
      <c r="D91" s="6"/>
      <c r="E91" s="2" t="s">
        <v>207</v>
      </c>
      <c r="F91" s="2" t="s">
        <v>52</v>
      </c>
      <c r="G91" s="2" t="s">
        <v>52</v>
      </c>
      <c r="H91" s="2" t="s">
        <v>52</v>
      </c>
      <c r="I91" s="2" t="s">
        <v>52</v>
      </c>
      <c r="J91" s="2" t="s">
        <v>52</v>
      </c>
      <c r="K91" s="2" t="s">
        <v>52</v>
      </c>
      <c r="L91" s="2" t="s">
        <v>52</v>
      </c>
      <c r="M91" s="2" t="s">
        <v>52</v>
      </c>
      <c r="N91" s="2" t="s">
        <v>52</v>
      </c>
      <c r="O91" s="2" t="s">
        <v>52</v>
      </c>
      <c r="P91" s="2" t="s">
        <v>52</v>
      </c>
      <c r="Q91" s="2" t="s">
        <v>267</v>
      </c>
      <c r="R91" s="2" t="s">
        <v>52</v>
      </c>
      <c r="S91" s="2" t="s">
        <v>52</v>
      </c>
      <c r="T91" s="2" t="s">
        <v>52</v>
      </c>
      <c r="U91" s="2" t="s">
        <v>52</v>
      </c>
      <c r="V91" s="2" t="s">
        <v>52</v>
      </c>
      <c r="W91" s="2" t="s">
        <v>52</v>
      </c>
      <c r="X91" s="2" t="s">
        <v>271</v>
      </c>
      <c r="Y91" s="2" t="s">
        <v>271</v>
      </c>
      <c r="Z91" s="2" t="s">
        <v>271</v>
      </c>
      <c r="AA91" s="2" t="s">
        <v>271</v>
      </c>
      <c r="AB91" s="2" t="s">
        <v>52</v>
      </c>
      <c r="AC91" s="2" t="s">
        <v>52</v>
      </c>
      <c r="AD91" s="2" t="s">
        <v>52</v>
      </c>
      <c r="AE91" s="2" t="s">
        <v>52</v>
      </c>
      <c r="AF91" s="2" t="s">
        <v>52</v>
      </c>
      <c r="AG91" s="2" t="s">
        <v>52</v>
      </c>
      <c r="AH91" s="2" t="s">
        <v>52</v>
      </c>
      <c r="AI91" s="2" t="s">
        <v>52</v>
      </c>
      <c r="AJ91" s="2" t="s">
        <v>52</v>
      </c>
      <c r="AK91" s="2" t="s">
        <v>52</v>
      </c>
      <c r="AL91" s="2" t="s">
        <v>52</v>
      </c>
      <c r="AM91" s="2" t="s">
        <v>52</v>
      </c>
      <c r="AN91" s="2" t="s">
        <v>52</v>
      </c>
      <c r="AO91" s="2" t="s">
        <v>52</v>
      </c>
      <c r="AP91" s="2" t="s">
        <v>52</v>
      </c>
      <c r="AQ91" s="2" t="s">
        <v>52</v>
      </c>
      <c r="AR91" s="2" t="s">
        <v>52</v>
      </c>
      <c r="AS91" s="2" t="s">
        <v>52</v>
      </c>
      <c r="AT91" s="2" t="s">
        <v>52</v>
      </c>
      <c r="AU91" s="2" t="s">
        <v>52</v>
      </c>
      <c r="AV91" s="2" t="s">
        <v>52</v>
      </c>
      <c r="AW91" s="2" t="s">
        <v>52</v>
      </c>
      <c r="AX91" s="2" t="s">
        <v>52</v>
      </c>
      <c r="AY91" s="2" t="s">
        <v>52</v>
      </c>
      <c r="AZ91" s="2" t="s">
        <v>52</v>
      </c>
      <c r="BA91" s="2" t="s">
        <v>52</v>
      </c>
      <c r="BB91" s="2" t="s">
        <v>52</v>
      </c>
      <c r="BC91" s="2" t="s">
        <v>52</v>
      </c>
      <c r="BD91" s="2" t="s">
        <v>52</v>
      </c>
      <c r="BE91" s="2" t="s">
        <v>52</v>
      </c>
      <c r="BF91" s="2" t="s">
        <v>52</v>
      </c>
      <c r="BG91" s="2" t="s">
        <v>52</v>
      </c>
      <c r="BH91" s="2" t="s">
        <v>52</v>
      </c>
      <c r="BI91" s="2" t="s">
        <v>52</v>
      </c>
      <c r="BJ91" s="2" t="s">
        <v>52</v>
      </c>
      <c r="BK91" s="2" t="s">
        <v>52</v>
      </c>
      <c r="BL91" s="2" t="s">
        <v>288</v>
      </c>
      <c r="BM91" s="2" t="s">
        <v>52</v>
      </c>
      <c r="BN91" s="2" t="s">
        <v>52</v>
      </c>
      <c r="BO91" s="2" t="s">
        <v>52</v>
      </c>
      <c r="BP91" s="2" t="s">
        <v>52</v>
      </c>
      <c r="BQ91" s="2" t="s">
        <v>52</v>
      </c>
      <c r="BR91" s="2" t="s">
        <v>52</v>
      </c>
      <c r="BS91" s="2" t="s">
        <v>52</v>
      </c>
      <c r="BT91" s="2" t="s">
        <v>52</v>
      </c>
      <c r="BU91" s="2" t="s">
        <v>52</v>
      </c>
      <c r="BV91" s="2" t="s">
        <v>52</v>
      </c>
      <c r="BW91" s="2" t="s">
        <v>52</v>
      </c>
      <c r="BX91" s="2" t="s">
        <v>52</v>
      </c>
      <c r="BY91" s="2" t="s">
        <v>52</v>
      </c>
      <c r="BZ91" s="2" t="s">
        <v>52</v>
      </c>
      <c r="CA91" s="2" t="s">
        <v>52</v>
      </c>
      <c r="CB91" s="2" t="s">
        <v>52</v>
      </c>
      <c r="CC91" s="2" t="s">
        <v>52</v>
      </c>
      <c r="CD91" s="2" t="s">
        <v>54</v>
      </c>
      <c r="CE91" s="2" t="s">
        <v>238</v>
      </c>
      <c r="CF91" s="2" t="s">
        <v>510</v>
      </c>
      <c r="CG91" s="2" t="s">
        <v>52</v>
      </c>
      <c r="CH91" s="2" t="s">
        <v>52</v>
      </c>
      <c r="CI91" s="2" t="s">
        <v>52</v>
      </c>
      <c r="CJ91" s="2" t="s">
        <v>52</v>
      </c>
      <c r="CK91" s="2" t="s">
        <v>52</v>
      </c>
      <c r="CL91" s="2" t="s">
        <v>52</v>
      </c>
      <c r="CM91" s="2" t="s">
        <v>52</v>
      </c>
      <c r="CN91" s="2" t="s">
        <v>52</v>
      </c>
      <c r="CO91" s="2" t="s">
        <v>52</v>
      </c>
      <c r="CP91" s="2" t="s">
        <v>52</v>
      </c>
      <c r="CQ91" s="2" t="s">
        <v>52</v>
      </c>
      <c r="CR91" s="2" t="s">
        <v>52</v>
      </c>
      <c r="CS91" s="2" t="s">
        <v>52</v>
      </c>
      <c r="CT91" s="2" t="s">
        <v>52</v>
      </c>
      <c r="CU91" s="2" t="s">
        <v>52</v>
      </c>
      <c r="CV91" s="2" t="s">
        <v>52</v>
      </c>
      <c r="CW91" s="2" t="s">
        <v>52</v>
      </c>
      <c r="CX91" s="2" t="s">
        <v>52</v>
      </c>
      <c r="CY91" s="2" t="s">
        <v>52</v>
      </c>
      <c r="CZ91" s="2" t="s">
        <v>52</v>
      </c>
      <c r="DA91" s="2" t="s">
        <v>211</v>
      </c>
      <c r="DB91" s="2" t="s">
        <v>52</v>
      </c>
      <c r="DC91" s="2" t="s">
        <v>52</v>
      </c>
      <c r="DD91" s="2" t="s">
        <v>52</v>
      </c>
      <c r="DE91" s="2" t="s">
        <v>52</v>
      </c>
      <c r="DF91" s="2" t="s">
        <v>52</v>
      </c>
      <c r="DG91" s="2" t="s">
        <v>82</v>
      </c>
      <c r="DH91" s="2" t="s">
        <v>82</v>
      </c>
      <c r="DI91" s="2" t="s">
        <v>82</v>
      </c>
      <c r="DJ91" s="2" t="s">
        <v>52</v>
      </c>
      <c r="DK91" s="2" t="s">
        <v>52</v>
      </c>
      <c r="DL91" s="2" t="s">
        <v>52</v>
      </c>
      <c r="DM91" s="2" t="s">
        <v>288</v>
      </c>
      <c r="DN91" s="2" t="s">
        <v>52</v>
      </c>
      <c r="DO91" s="2" t="s">
        <v>52</v>
      </c>
      <c r="DP91" s="2" t="s">
        <v>52</v>
      </c>
      <c r="DQ91" s="2" t="s">
        <v>52</v>
      </c>
      <c r="DR91" s="2" t="s">
        <v>52</v>
      </c>
      <c r="DS91" s="2" t="s">
        <v>315</v>
      </c>
      <c r="DT91" s="2" t="s">
        <v>52</v>
      </c>
      <c r="DU91" s="2" t="s">
        <v>52</v>
      </c>
      <c r="DV91" s="2" t="s">
        <v>52</v>
      </c>
      <c r="DW91" s="2" t="s">
        <v>52</v>
      </c>
      <c r="DX91" s="2" t="s">
        <v>52</v>
      </c>
      <c r="DY91" s="2" t="s">
        <v>316</v>
      </c>
      <c r="DZ91" s="2" t="s">
        <v>316</v>
      </c>
      <c r="EA91" s="2" t="s">
        <v>316</v>
      </c>
      <c r="EB91" s="2" t="s">
        <v>52</v>
      </c>
      <c r="EC91" s="2" t="s">
        <v>52</v>
      </c>
      <c r="ED91" s="2" t="s">
        <v>52</v>
      </c>
      <c r="EE91" s="2" t="s">
        <v>52</v>
      </c>
      <c r="EF91" s="2" t="s">
        <v>52</v>
      </c>
      <c r="EG91" s="2" t="s">
        <v>52</v>
      </c>
      <c r="EH91" s="2" t="s">
        <v>52</v>
      </c>
      <c r="EI91" s="2" t="s">
        <v>52</v>
      </c>
      <c r="EJ91" s="2" t="s">
        <v>52</v>
      </c>
      <c r="EK91" s="2" t="s">
        <v>52</v>
      </c>
      <c r="EL91" s="2" t="s">
        <v>20</v>
      </c>
      <c r="EM91" s="2" t="s">
        <v>20</v>
      </c>
      <c r="EN91" s="2" t="s">
        <v>20</v>
      </c>
      <c r="EO91" s="2" t="s">
        <v>52</v>
      </c>
      <c r="EP91" s="2" t="s">
        <v>52</v>
      </c>
      <c r="EQ91" s="2" t="s">
        <v>52</v>
      </c>
      <c r="ER91" s="2" t="s">
        <v>52</v>
      </c>
      <c r="ES91" s="2" t="s">
        <v>52</v>
      </c>
      <c r="ET91" s="2" t="s">
        <v>52</v>
      </c>
      <c r="EU91" s="2" t="s">
        <v>52</v>
      </c>
      <c r="EV91" s="2" t="s">
        <v>52</v>
      </c>
      <c r="EW91" s="2" t="s">
        <v>52</v>
      </c>
      <c r="EX91" s="2" t="s">
        <v>52</v>
      </c>
      <c r="EY91" s="2" t="s">
        <v>52</v>
      </c>
      <c r="EZ91" s="2" t="s">
        <v>52</v>
      </c>
      <c r="FA91" s="2" t="s">
        <v>321</v>
      </c>
      <c r="FB91" s="2" t="s">
        <v>321</v>
      </c>
      <c r="FC91" s="2" t="s">
        <v>321</v>
      </c>
      <c r="FD91" s="2" t="s">
        <v>52</v>
      </c>
      <c r="FE91" s="2" t="s">
        <v>52</v>
      </c>
      <c r="FF91" s="2" t="s">
        <v>52</v>
      </c>
      <c r="FG91" s="2" t="s">
        <v>52</v>
      </c>
      <c r="FH91" s="2" t="s">
        <v>52</v>
      </c>
      <c r="FI91" s="2" t="s">
        <v>52</v>
      </c>
      <c r="FJ91" s="2" t="s">
        <v>52</v>
      </c>
      <c r="FK91" s="2" t="s">
        <v>52</v>
      </c>
      <c r="FL91" s="2" t="s">
        <v>52</v>
      </c>
      <c r="FM91" s="2" t="s">
        <v>52</v>
      </c>
      <c r="FN91" s="2" t="s">
        <v>52</v>
      </c>
      <c r="FO91" s="2" t="s">
        <v>52</v>
      </c>
      <c r="FP91" s="2" t="s">
        <v>52</v>
      </c>
      <c r="FQ91" s="2" t="s">
        <v>52</v>
      </c>
      <c r="FR91" s="2" t="s">
        <v>52</v>
      </c>
      <c r="FS91" s="2" t="s">
        <v>52</v>
      </c>
      <c r="FT91" s="2" t="s">
        <v>52</v>
      </c>
      <c r="FU91" s="2" t="s">
        <v>52</v>
      </c>
      <c r="FV91" s="2" t="s">
        <v>52</v>
      </c>
      <c r="FW91" s="2" t="s">
        <v>52</v>
      </c>
      <c r="FX91" s="2" t="s">
        <v>52</v>
      </c>
      <c r="FY91" s="2" t="s">
        <v>52</v>
      </c>
      <c r="FZ91" s="2" t="s">
        <v>52</v>
      </c>
      <c r="GA91" s="2" t="s">
        <v>52</v>
      </c>
      <c r="GB91" s="2" t="s">
        <v>52</v>
      </c>
      <c r="GC91" s="2" t="s">
        <v>519</v>
      </c>
      <c r="GD91" s="2" t="s">
        <v>52</v>
      </c>
      <c r="GE91" s="2" t="s">
        <v>52</v>
      </c>
      <c r="GF91" s="2" t="s">
        <v>52</v>
      </c>
      <c r="GG91" s="2" t="s">
        <v>52</v>
      </c>
      <c r="GH91" s="2" t="s">
        <v>52</v>
      </c>
      <c r="GI91" s="2" t="s">
        <v>52</v>
      </c>
      <c r="GJ91" s="2" t="s">
        <v>52</v>
      </c>
      <c r="GK91" s="2" t="s">
        <v>52</v>
      </c>
      <c r="GL91" s="2" t="s">
        <v>52</v>
      </c>
      <c r="GM91" s="2" t="s">
        <v>52</v>
      </c>
      <c r="GN91" s="2" t="s">
        <v>52</v>
      </c>
      <c r="GO91" s="2" t="s">
        <v>52</v>
      </c>
      <c r="GP91" s="2" t="s">
        <v>52</v>
      </c>
      <c r="GQ91" s="2" t="s">
        <v>52</v>
      </c>
      <c r="GR91" s="2" t="s">
        <v>52</v>
      </c>
      <c r="GS91" s="2" t="s">
        <v>52</v>
      </c>
      <c r="GT91" s="2" t="s">
        <v>52</v>
      </c>
      <c r="GU91" s="2" t="s">
        <v>52</v>
      </c>
      <c r="GV91" s="2" t="s">
        <v>288</v>
      </c>
      <c r="GW91" s="2" t="s">
        <v>52</v>
      </c>
      <c r="GX91" s="2" t="s">
        <v>52</v>
      </c>
      <c r="GY91" s="2" t="s">
        <v>316</v>
      </c>
      <c r="GZ91" s="2" t="s">
        <v>316</v>
      </c>
      <c r="HA91" s="2" t="s">
        <v>316</v>
      </c>
      <c r="HB91" s="2" t="s">
        <v>316</v>
      </c>
      <c r="HC91" s="2" t="s">
        <v>52</v>
      </c>
      <c r="HD91" s="2" t="s">
        <v>52</v>
      </c>
      <c r="HE91" s="2" t="s">
        <v>52</v>
      </c>
      <c r="HF91" s="2" t="s">
        <v>52</v>
      </c>
      <c r="HG91" s="2" t="s">
        <v>52</v>
      </c>
      <c r="HH91" s="2" t="s">
        <v>207</v>
      </c>
      <c r="HI91" s="2" t="s">
        <v>52</v>
      </c>
      <c r="HJ91" s="2" t="s">
        <v>52</v>
      </c>
      <c r="HK91" s="2" t="s">
        <v>52</v>
      </c>
      <c r="HL91" s="2" t="s">
        <v>52</v>
      </c>
      <c r="HM91" s="2" t="s">
        <v>52</v>
      </c>
      <c r="HN91" s="2" t="s">
        <v>52</v>
      </c>
      <c r="HO91" s="2" t="s">
        <v>52</v>
      </c>
      <c r="HP91" s="2" t="s">
        <v>52</v>
      </c>
      <c r="HQ91" s="2" t="s">
        <v>52</v>
      </c>
      <c r="HR91" s="2" t="s">
        <v>52</v>
      </c>
      <c r="HS91" s="2" t="s">
        <v>52</v>
      </c>
      <c r="HT91" s="2" t="s">
        <v>52</v>
      </c>
      <c r="HU91" s="2" t="s">
        <v>52</v>
      </c>
      <c r="HV91" s="2" t="s">
        <v>52</v>
      </c>
      <c r="HW91" s="11" t="s">
        <v>52</v>
      </c>
      <c r="HX91" s="177">
        <v>0</v>
      </c>
      <c r="HY91" s="6"/>
      <c r="IE91" s="4"/>
      <c r="II91">
        <v>0</v>
      </c>
      <c r="JE91">
        <v>0</v>
      </c>
      <c r="JF91" s="118" t="s">
        <v>285</v>
      </c>
      <c r="JG91" s="118" t="s">
        <v>284</v>
      </c>
      <c r="JH91" s="118" t="s">
        <v>287</v>
      </c>
      <c r="JI91" s="118" t="s">
        <v>294</v>
      </c>
      <c r="JJ91" s="118" t="s">
        <v>312</v>
      </c>
      <c r="JK91" s="118" t="s">
        <v>320</v>
      </c>
      <c r="JL91" s="118" t="s">
        <v>516</v>
      </c>
      <c r="JM91" s="167" t="s">
        <v>517</v>
      </c>
      <c r="JO91" s="4" t="s">
        <v>14</v>
      </c>
      <c r="JR91" s="246"/>
      <c r="JS91" s="253" t="s">
        <v>17</v>
      </c>
      <c r="JT91" s="254" t="s">
        <v>536</v>
      </c>
      <c r="JU91" s="255" t="s">
        <v>14</v>
      </c>
      <c r="JW91" s="246"/>
      <c r="JX91" s="247"/>
    </row>
    <row r="92" spans="1:284" outlineLevel="1">
      <c r="D92" s="2"/>
      <c r="E92" s="2">
        <v>0</v>
      </c>
      <c r="F92" s="2">
        <v>1</v>
      </c>
      <c r="G92" s="2">
        <v>2</v>
      </c>
      <c r="H92" s="2">
        <v>3</v>
      </c>
      <c r="I92" s="2">
        <v>4</v>
      </c>
      <c r="J92" s="2">
        <v>5</v>
      </c>
      <c r="K92" s="2">
        <v>6</v>
      </c>
      <c r="L92" s="2">
        <v>7</v>
      </c>
      <c r="M92" s="2">
        <v>8</v>
      </c>
      <c r="N92" s="2">
        <v>9</v>
      </c>
      <c r="O92" s="2">
        <v>10</v>
      </c>
      <c r="P92" s="2">
        <v>11</v>
      </c>
      <c r="Q92" s="2">
        <v>12</v>
      </c>
      <c r="R92" s="2">
        <v>13</v>
      </c>
      <c r="S92" s="2">
        <v>14</v>
      </c>
      <c r="T92" s="2">
        <v>15</v>
      </c>
      <c r="U92" s="2">
        <v>16</v>
      </c>
      <c r="V92" s="2">
        <v>17</v>
      </c>
      <c r="W92" s="2">
        <v>18</v>
      </c>
      <c r="X92" s="2">
        <v>19</v>
      </c>
      <c r="Y92" s="2">
        <v>20</v>
      </c>
      <c r="Z92" s="2">
        <v>21</v>
      </c>
      <c r="AA92" s="2">
        <v>22</v>
      </c>
      <c r="AB92" s="2">
        <v>23</v>
      </c>
      <c r="AC92" s="2">
        <v>24</v>
      </c>
      <c r="AD92" s="2">
        <v>25</v>
      </c>
      <c r="AE92" s="2">
        <v>26</v>
      </c>
      <c r="AF92" s="2">
        <v>27</v>
      </c>
      <c r="AG92" s="2">
        <v>28</v>
      </c>
      <c r="AH92" s="2">
        <v>29</v>
      </c>
      <c r="AI92" s="2">
        <v>30</v>
      </c>
      <c r="AJ92" s="2">
        <v>31</v>
      </c>
      <c r="AK92" s="2">
        <v>32</v>
      </c>
      <c r="AL92" s="2">
        <v>33</v>
      </c>
      <c r="AM92" s="2">
        <v>34</v>
      </c>
      <c r="AN92" s="2">
        <v>35</v>
      </c>
      <c r="AO92" s="2">
        <v>36</v>
      </c>
      <c r="AP92" s="2">
        <v>37</v>
      </c>
      <c r="AQ92" s="2">
        <v>38</v>
      </c>
      <c r="AR92" s="2">
        <v>39</v>
      </c>
      <c r="AS92" s="2">
        <v>40</v>
      </c>
      <c r="AT92" s="2">
        <v>41</v>
      </c>
      <c r="AU92" s="2">
        <v>42</v>
      </c>
      <c r="AV92" s="2">
        <v>43</v>
      </c>
      <c r="AW92" s="2">
        <v>44</v>
      </c>
      <c r="AX92" s="2">
        <v>45</v>
      </c>
      <c r="AY92" s="2">
        <v>46</v>
      </c>
      <c r="AZ92" s="2">
        <v>47</v>
      </c>
      <c r="BA92" s="2">
        <v>48</v>
      </c>
      <c r="BB92" s="2">
        <v>49</v>
      </c>
      <c r="BC92" s="2">
        <v>50</v>
      </c>
      <c r="BD92" s="2">
        <v>51</v>
      </c>
      <c r="BE92" s="2">
        <v>52</v>
      </c>
      <c r="BF92" s="2">
        <v>53</v>
      </c>
      <c r="BG92" s="2">
        <v>54</v>
      </c>
      <c r="BH92" s="2">
        <v>55</v>
      </c>
      <c r="BI92" s="2">
        <v>56</v>
      </c>
      <c r="BJ92" s="2">
        <v>57</v>
      </c>
      <c r="BK92" s="2">
        <v>58</v>
      </c>
      <c r="BL92" s="2">
        <v>59</v>
      </c>
      <c r="BM92" s="2">
        <v>60</v>
      </c>
      <c r="BN92" s="2">
        <v>61</v>
      </c>
      <c r="BO92" s="2">
        <v>62</v>
      </c>
      <c r="BP92" s="2">
        <v>63</v>
      </c>
      <c r="BQ92" s="2">
        <v>64</v>
      </c>
      <c r="BR92" s="2">
        <v>65</v>
      </c>
      <c r="BS92" s="2">
        <v>66</v>
      </c>
      <c r="BT92" s="2">
        <v>67</v>
      </c>
      <c r="BU92" s="2">
        <v>68</v>
      </c>
      <c r="BV92" s="2">
        <v>69</v>
      </c>
      <c r="BW92" s="2">
        <v>70</v>
      </c>
      <c r="BX92" s="2">
        <v>71</v>
      </c>
      <c r="BY92" s="2">
        <v>72</v>
      </c>
      <c r="BZ92" s="2">
        <v>73</v>
      </c>
      <c r="CA92" s="2">
        <v>74</v>
      </c>
      <c r="CB92" s="2">
        <v>75</v>
      </c>
      <c r="CC92" s="2">
        <v>76</v>
      </c>
      <c r="CD92" s="2">
        <v>77</v>
      </c>
      <c r="CE92" s="2">
        <v>78</v>
      </c>
      <c r="CF92" s="2">
        <v>79</v>
      </c>
      <c r="CG92" s="2">
        <v>80</v>
      </c>
      <c r="CH92" s="2">
        <v>81</v>
      </c>
      <c r="CI92" s="2">
        <v>82</v>
      </c>
      <c r="CJ92" s="2">
        <v>83</v>
      </c>
      <c r="CK92" s="2">
        <v>84</v>
      </c>
      <c r="CL92" s="2">
        <v>85</v>
      </c>
      <c r="CM92" s="2">
        <v>86</v>
      </c>
      <c r="CN92" s="2">
        <v>87</v>
      </c>
      <c r="CO92" s="2">
        <v>88</v>
      </c>
      <c r="CP92" s="2">
        <v>89</v>
      </c>
      <c r="CQ92" s="2">
        <v>90</v>
      </c>
      <c r="CR92" s="2">
        <v>91</v>
      </c>
      <c r="CS92" s="2">
        <v>92</v>
      </c>
      <c r="CT92" s="2">
        <v>93</v>
      </c>
      <c r="CU92" s="2">
        <v>94</v>
      </c>
      <c r="CV92" s="2">
        <v>95</v>
      </c>
      <c r="CW92" s="2">
        <v>96</v>
      </c>
      <c r="CX92" s="2">
        <v>97</v>
      </c>
      <c r="CY92" s="2">
        <v>98</v>
      </c>
      <c r="CZ92" s="2">
        <v>99</v>
      </c>
      <c r="DA92" s="2">
        <v>100</v>
      </c>
      <c r="DB92" s="2">
        <v>101</v>
      </c>
      <c r="DC92" s="2">
        <v>102</v>
      </c>
      <c r="DD92" s="2">
        <v>103</v>
      </c>
      <c r="DE92" s="2">
        <v>104</v>
      </c>
      <c r="DF92" s="2">
        <v>104</v>
      </c>
      <c r="DG92" s="2">
        <v>105</v>
      </c>
      <c r="DH92" s="2">
        <v>106</v>
      </c>
      <c r="DI92" s="2">
        <v>107</v>
      </c>
      <c r="DJ92" s="2">
        <v>108</v>
      </c>
      <c r="DK92" s="2">
        <v>109</v>
      </c>
      <c r="DL92" s="2">
        <v>110</v>
      </c>
      <c r="DM92" s="2">
        <v>111</v>
      </c>
      <c r="DN92" s="2">
        <v>112</v>
      </c>
      <c r="DO92" s="2">
        <v>113</v>
      </c>
      <c r="DP92" s="2">
        <v>114</v>
      </c>
      <c r="DQ92" s="2">
        <v>115</v>
      </c>
      <c r="DR92" s="2">
        <v>116</v>
      </c>
      <c r="DS92" s="2">
        <v>117</v>
      </c>
      <c r="DT92" s="2">
        <v>118</v>
      </c>
      <c r="DU92" s="2">
        <v>119</v>
      </c>
      <c r="DV92" s="2">
        <v>120</v>
      </c>
      <c r="DW92" s="2">
        <v>121</v>
      </c>
      <c r="DX92" s="2">
        <v>122</v>
      </c>
      <c r="DY92" s="2">
        <v>123</v>
      </c>
      <c r="DZ92" s="2">
        <v>124</v>
      </c>
      <c r="EA92" s="2">
        <v>125</v>
      </c>
      <c r="EB92" s="2">
        <v>126</v>
      </c>
      <c r="EC92" s="2">
        <v>127</v>
      </c>
      <c r="ED92" s="2">
        <v>128</v>
      </c>
      <c r="EE92" s="2">
        <v>129</v>
      </c>
      <c r="EF92" s="2">
        <v>130</v>
      </c>
      <c r="EG92" s="2">
        <v>131</v>
      </c>
      <c r="EH92" s="2">
        <v>132</v>
      </c>
      <c r="EI92" s="2">
        <v>133</v>
      </c>
      <c r="EJ92" s="2">
        <v>134</v>
      </c>
      <c r="EK92" s="2">
        <v>135</v>
      </c>
      <c r="EL92" s="2">
        <v>136</v>
      </c>
      <c r="EM92" s="2">
        <v>137</v>
      </c>
      <c r="EN92" s="2">
        <v>138</v>
      </c>
      <c r="EO92" s="2">
        <v>139</v>
      </c>
      <c r="EP92" s="2">
        <v>140</v>
      </c>
      <c r="EQ92" s="2">
        <v>141</v>
      </c>
      <c r="ER92" s="2">
        <v>142</v>
      </c>
      <c r="ES92" s="2">
        <v>143</v>
      </c>
      <c r="ET92" s="2">
        <v>144</v>
      </c>
      <c r="EU92" s="2">
        <v>145</v>
      </c>
      <c r="EV92" s="2">
        <v>146</v>
      </c>
      <c r="EW92" s="2">
        <v>147</v>
      </c>
      <c r="EX92" s="2">
        <v>148</v>
      </c>
      <c r="EY92" s="2">
        <v>149</v>
      </c>
      <c r="EZ92" s="2">
        <v>150</v>
      </c>
      <c r="FA92" s="2">
        <v>151</v>
      </c>
      <c r="FB92" s="2">
        <v>152</v>
      </c>
      <c r="FC92" s="2">
        <v>153</v>
      </c>
      <c r="FD92" s="2">
        <v>154</v>
      </c>
      <c r="FE92" s="2">
        <v>155</v>
      </c>
      <c r="FF92" s="2">
        <v>156</v>
      </c>
      <c r="FG92" s="2">
        <v>157</v>
      </c>
      <c r="FH92" s="2">
        <v>158</v>
      </c>
      <c r="FI92" s="2">
        <v>159</v>
      </c>
      <c r="FJ92" s="2">
        <v>160</v>
      </c>
      <c r="FK92" s="2">
        <v>161</v>
      </c>
      <c r="FL92" s="2">
        <v>162</v>
      </c>
      <c r="FM92" s="2">
        <v>163</v>
      </c>
      <c r="FN92" s="2">
        <v>164</v>
      </c>
      <c r="FO92" s="2">
        <v>165</v>
      </c>
      <c r="FP92" s="2">
        <v>166</v>
      </c>
      <c r="FQ92" s="2">
        <v>167</v>
      </c>
      <c r="FR92" s="2">
        <v>168</v>
      </c>
      <c r="FS92" s="2">
        <v>169</v>
      </c>
      <c r="FT92" s="2">
        <v>170</v>
      </c>
      <c r="FU92" s="2">
        <v>171</v>
      </c>
      <c r="FV92" s="2">
        <v>172</v>
      </c>
      <c r="FW92" s="2">
        <v>173</v>
      </c>
      <c r="FX92" s="2">
        <v>174</v>
      </c>
      <c r="FY92" s="2">
        <v>175</v>
      </c>
      <c r="FZ92" s="2">
        <v>176</v>
      </c>
      <c r="GA92" s="2">
        <v>177</v>
      </c>
      <c r="GB92" s="2">
        <v>178</v>
      </c>
      <c r="GC92" s="2">
        <v>179</v>
      </c>
      <c r="GD92" s="2">
        <v>180</v>
      </c>
      <c r="GE92" s="2">
        <v>181</v>
      </c>
      <c r="GF92" s="2">
        <v>182</v>
      </c>
      <c r="GG92" s="2">
        <v>183</v>
      </c>
      <c r="GH92" s="2">
        <v>184</v>
      </c>
      <c r="GI92" s="2">
        <v>185</v>
      </c>
      <c r="GJ92" s="2">
        <v>186</v>
      </c>
      <c r="GK92" s="2">
        <v>187</v>
      </c>
      <c r="GL92" s="2">
        <v>188</v>
      </c>
      <c r="GM92" s="2">
        <v>189</v>
      </c>
      <c r="GN92" s="2">
        <v>190</v>
      </c>
      <c r="GO92" s="2">
        <v>191</v>
      </c>
      <c r="GP92" s="2">
        <v>192</v>
      </c>
      <c r="GQ92" s="2">
        <v>193</v>
      </c>
      <c r="GR92" s="2">
        <v>194</v>
      </c>
      <c r="GS92" s="2">
        <v>195</v>
      </c>
      <c r="GT92" s="2">
        <v>196</v>
      </c>
      <c r="GU92" s="2">
        <v>197</v>
      </c>
      <c r="GV92" s="2">
        <v>198</v>
      </c>
      <c r="GW92" s="2">
        <v>199</v>
      </c>
      <c r="GX92" s="2">
        <v>200</v>
      </c>
      <c r="GY92" s="2">
        <v>201</v>
      </c>
      <c r="GZ92" s="2">
        <v>202</v>
      </c>
      <c r="HA92" s="2">
        <v>203</v>
      </c>
      <c r="HB92" s="2">
        <v>204</v>
      </c>
      <c r="HC92" s="2">
        <v>205</v>
      </c>
      <c r="HD92" s="2">
        <v>206</v>
      </c>
      <c r="HE92" s="2">
        <v>207</v>
      </c>
      <c r="HF92" s="2">
        <v>208</v>
      </c>
      <c r="HG92" s="2">
        <v>209</v>
      </c>
      <c r="HH92" s="2">
        <v>210</v>
      </c>
      <c r="HI92" s="2">
        <v>211</v>
      </c>
      <c r="HJ92" s="2">
        <v>212</v>
      </c>
      <c r="HK92" s="2">
        <v>213</v>
      </c>
      <c r="HL92" s="2">
        <v>214</v>
      </c>
      <c r="HM92" s="2">
        <v>215</v>
      </c>
      <c r="HN92" s="2">
        <v>216</v>
      </c>
      <c r="HO92" s="2">
        <v>217</v>
      </c>
      <c r="HP92" s="2">
        <v>218</v>
      </c>
      <c r="HQ92" s="2">
        <v>219</v>
      </c>
      <c r="HR92" s="2">
        <v>220</v>
      </c>
      <c r="HS92" s="2">
        <v>221</v>
      </c>
      <c r="HT92" s="2">
        <v>222</v>
      </c>
      <c r="HU92" s="2">
        <v>223</v>
      </c>
      <c r="HV92" s="2">
        <v>224</v>
      </c>
      <c r="HW92" s="11">
        <v>120</v>
      </c>
      <c r="HX92" s="177">
        <v>0</v>
      </c>
      <c r="HY92" s="28"/>
      <c r="IA92" s="20"/>
      <c r="IE92" s="4"/>
      <c r="II92">
        <v>0</v>
      </c>
      <c r="JE92" t="s">
        <v>303</v>
      </c>
      <c r="JF92" s="118">
        <v>3</v>
      </c>
      <c r="JG92" s="118">
        <v>31</v>
      </c>
      <c r="JH92" s="118">
        <v>30</v>
      </c>
      <c r="JI92" s="118">
        <v>31</v>
      </c>
      <c r="JJ92" s="118">
        <v>30</v>
      </c>
      <c r="JK92" s="118">
        <v>31</v>
      </c>
      <c r="JL92" s="118">
        <v>31</v>
      </c>
      <c r="JM92" s="167">
        <v>23</v>
      </c>
      <c r="JO92" s="4">
        <v>210</v>
      </c>
      <c r="JR92" s="256" t="s">
        <v>535</v>
      </c>
      <c r="JS92" s="4">
        <v>1000</v>
      </c>
      <c r="JT92" s="161"/>
      <c r="JU92" s="257">
        <v>27000</v>
      </c>
      <c r="JW92" s="248">
        <v>20000</v>
      </c>
      <c r="JX92" s="249" t="s">
        <v>538</v>
      </c>
    </row>
    <row r="93" spans="1:284" outlineLevel="1">
      <c r="C93" t="s">
        <v>21</v>
      </c>
      <c r="D93" s="6">
        <v>0</v>
      </c>
      <c r="E93" s="6">
        <v>7.6470137795405053</v>
      </c>
      <c r="F93" s="6">
        <v>60.067293238290674</v>
      </c>
      <c r="G93" s="6">
        <v>34.067446387852947</v>
      </c>
      <c r="H93" s="6">
        <v>29.861588809105676</v>
      </c>
      <c r="I93" s="6">
        <v>29.670413464617162</v>
      </c>
      <c r="J93" s="6">
        <v>35.596849143761048</v>
      </c>
      <c r="K93" s="6">
        <v>44.199739645744124</v>
      </c>
      <c r="L93" s="6">
        <v>38.082128622111718</v>
      </c>
      <c r="M93" s="6">
        <v>23.055746545314623</v>
      </c>
      <c r="N93" s="6">
        <v>30.817465531548237</v>
      </c>
      <c r="O93" s="6">
        <v>27.37630933075501</v>
      </c>
      <c r="P93" s="6">
        <v>52.726160009931789</v>
      </c>
      <c r="Q93" s="6">
        <v>50.317350669376516</v>
      </c>
      <c r="R93" s="6">
        <v>31.161581151627562</v>
      </c>
      <c r="S93" s="6">
        <v>58.537890482382565</v>
      </c>
      <c r="T93" s="6">
        <v>42.096810856370489</v>
      </c>
      <c r="U93" s="6">
        <v>49.170298602445449</v>
      </c>
      <c r="V93" s="6">
        <v>24.126328474450293</v>
      </c>
      <c r="W93" s="6">
        <v>15.294027559081012</v>
      </c>
      <c r="X93" s="6">
        <v>31.352756496116072</v>
      </c>
      <c r="Y93" s="6">
        <v>20.838112549247878</v>
      </c>
      <c r="Z93" s="6">
        <v>29.058652362253923</v>
      </c>
      <c r="AA93" s="6">
        <v>42.058575787472776</v>
      </c>
      <c r="AB93" s="6">
        <v>68.440773326887523</v>
      </c>
      <c r="AC93" s="6">
        <v>27.720424950834335</v>
      </c>
      <c r="AD93" s="6">
        <v>50.279115600478825</v>
      </c>
      <c r="AE93" s="6">
        <v>31.735107185093099</v>
      </c>
      <c r="AF93" s="6">
        <v>75.131910383985471</v>
      </c>
      <c r="AG93" s="6">
        <v>35.749789419351856</v>
      </c>
      <c r="AH93" s="6">
        <v>40.337997687076168</v>
      </c>
      <c r="AI93" s="6">
        <v>32.117457874070126</v>
      </c>
      <c r="AJ93" s="6">
        <v>48.94088818905923</v>
      </c>
      <c r="AK93" s="6">
        <v>42.82327716542683</v>
      </c>
      <c r="AL93" s="6">
        <v>47.029134744174115</v>
      </c>
      <c r="AM93" s="6">
        <v>55.823200590645698</v>
      </c>
      <c r="AN93" s="6">
        <v>29.82335374020797</v>
      </c>
      <c r="AO93" s="6">
        <v>41.102699065030215</v>
      </c>
      <c r="AP93" s="6">
        <v>22.55869064964449</v>
      </c>
      <c r="AQ93" s="6">
        <v>57.352603346553792</v>
      </c>
      <c r="AR93" s="6">
        <v>31.735107185093099</v>
      </c>
      <c r="AS93" s="6">
        <v>48.443832293389107</v>
      </c>
      <c r="AT93" s="6">
        <v>42.82327716542683</v>
      </c>
      <c r="AU93" s="6">
        <v>53.146745767806522</v>
      </c>
      <c r="AV93" s="6">
        <v>27.911600295322845</v>
      </c>
      <c r="AW93" s="6">
        <v>33.742448302222485</v>
      </c>
      <c r="AX93" s="6">
        <v>43.301215526648114</v>
      </c>
      <c r="AY93" s="6">
        <v>38.139481225458269</v>
      </c>
      <c r="AZ93" s="6">
        <v>37.948305880969755</v>
      </c>
      <c r="BA93" s="6">
        <v>29.727766067963717</v>
      </c>
      <c r="BB93" s="6">
        <v>34.124798991199505</v>
      </c>
      <c r="BC93" s="6">
        <v>30.110116756940741</v>
      </c>
      <c r="BD93" s="6">
        <v>30.683642790406282</v>
      </c>
      <c r="BE93" s="6">
        <v>40.242410014831911</v>
      </c>
      <c r="BF93" s="6">
        <v>35.080675713642066</v>
      </c>
      <c r="BG93" s="6">
        <v>19.710178016765653</v>
      </c>
      <c r="BH93" s="6">
        <v>44.257092249090675</v>
      </c>
      <c r="BI93" s="6">
        <v>26.095434522681977</v>
      </c>
      <c r="BJ93" s="6">
        <v>32.02187020182587</v>
      </c>
      <c r="BK93" s="6">
        <v>38.521831914435296</v>
      </c>
      <c r="BL93" s="6">
        <v>35.463026402619093</v>
      </c>
      <c r="BM93" s="6">
        <v>25.668348803094638</v>
      </c>
      <c r="BN93" s="6">
        <v>28.230098419240708</v>
      </c>
      <c r="BO93" s="6">
        <v>40.08296977752849</v>
      </c>
      <c r="BP93" s="6">
        <v>53.08289320274735</v>
      </c>
      <c r="BQ93" s="6">
        <v>37.788865643666341</v>
      </c>
      <c r="BR93" s="6">
        <v>28.038923074752194</v>
      </c>
      <c r="BS93" s="6">
        <v>26.127169629867069</v>
      </c>
      <c r="BT93" s="6">
        <v>45.244704078718328</v>
      </c>
      <c r="BU93" s="6">
        <v>33.583008064919063</v>
      </c>
      <c r="BV93" s="6">
        <v>30.333027208614347</v>
      </c>
      <c r="BW93" s="6">
        <v>30.715377897591374</v>
      </c>
      <c r="BX93" s="6">
        <v>24.980117562935995</v>
      </c>
      <c r="BY93" s="6">
        <v>27.274221696798143</v>
      </c>
      <c r="BZ93" s="6">
        <v>37.597690299177827</v>
      </c>
      <c r="CA93" s="6">
        <v>55.759348025586533</v>
      </c>
      <c r="CB93" s="6">
        <v>33.519411674821512</v>
      </c>
      <c r="CC93" s="6">
        <v>29.122378751585721</v>
      </c>
      <c r="CD93" s="6">
        <v>44.225230966178223</v>
      </c>
      <c r="CE93" s="6">
        <v>34.8576390862411</v>
      </c>
      <c r="CF93" s="6">
        <v>33.328236330332999</v>
      </c>
      <c r="CG93" s="6">
        <v>48.239913200436987</v>
      </c>
      <c r="CH93" s="6">
        <v>43.460529588224169</v>
      </c>
      <c r="CI93" s="6">
        <v>23.578293761418855</v>
      </c>
      <c r="CJ93" s="6">
        <v>32.563534952378944</v>
      </c>
      <c r="CK93" s="6">
        <v>34.8576390862411</v>
      </c>
      <c r="CL93" s="6">
        <v>40.975250109873507</v>
      </c>
      <c r="CM93" s="6">
        <v>43.078178899247149</v>
      </c>
      <c r="CN93" s="6">
        <v>46.901685789017399</v>
      </c>
      <c r="CO93" s="6">
        <v>53.975173535092367</v>
      </c>
      <c r="CP93" s="6">
        <v>38.904182603412323</v>
      </c>
      <c r="CQ93" s="6">
        <v>53.242333440050778</v>
      </c>
      <c r="CR93" s="6">
        <v>35.845377091596127</v>
      </c>
      <c r="CS93" s="6">
        <v>34.124798991199505</v>
      </c>
      <c r="CT93" s="6">
        <v>37.757130536481249</v>
      </c>
      <c r="CU93" s="6">
        <v>71.021640477482435</v>
      </c>
      <c r="CV93" s="6">
        <v>33.551272957733964</v>
      </c>
      <c r="CW93" s="6">
        <v>42.53651414869406</v>
      </c>
      <c r="CX93" s="6">
        <v>29.536590723475204</v>
      </c>
      <c r="CY93" s="6">
        <v>66.242256865269624</v>
      </c>
      <c r="CZ93" s="6">
        <v>45.595319660510263</v>
      </c>
      <c r="DA93" s="6">
        <v>58.40406774124061</v>
      </c>
      <c r="DB93" s="6">
        <v>51.139404650677136</v>
      </c>
      <c r="DC93" s="6">
        <v>39.095357947900837</v>
      </c>
      <c r="DD93" s="6">
        <v>42.15416345971704</v>
      </c>
      <c r="DE93" s="6">
        <v>50.565878617211602</v>
      </c>
      <c r="DF93" s="6">
        <v>27.210625306700596</v>
      </c>
      <c r="DG93" s="6">
        <v>29.313554096074235</v>
      </c>
      <c r="DH93" s="6">
        <v>28.740028062608694</v>
      </c>
      <c r="DI93" s="6">
        <v>31.607658229936387</v>
      </c>
      <c r="DJ93" s="6">
        <v>34.092937708287053</v>
      </c>
      <c r="DK93" s="6">
        <v>33.137060985844485</v>
      </c>
      <c r="DL93" s="6">
        <v>38.107619942545817</v>
      </c>
      <c r="DM93" s="6">
        <v>79.401494352064546</v>
      </c>
      <c r="DN93" s="6">
        <v>35.622340464195148</v>
      </c>
      <c r="DO93" s="6">
        <v>31.990008918913407</v>
      </c>
      <c r="DP93" s="6">
        <v>49.960491300833603</v>
      </c>
      <c r="DQ93" s="6">
        <v>41.357600798850534</v>
      </c>
      <c r="DR93" s="6">
        <v>35.048814430729614</v>
      </c>
      <c r="DS93" s="6">
        <v>19.372436182671578</v>
      </c>
      <c r="DT93" s="6">
        <v>47.092861133505906</v>
      </c>
      <c r="DU93" s="6">
        <v>25.872397895281008</v>
      </c>
      <c r="DV93" s="6">
        <v>51.489894056741697</v>
      </c>
      <c r="DW93" s="6">
        <v>37.534093909080276</v>
      </c>
      <c r="DX93" s="6">
        <v>35.431165119706634</v>
      </c>
      <c r="DY93" s="6">
        <v>42.695828210270122</v>
      </c>
      <c r="DZ93" s="6">
        <v>39.637022698453919</v>
      </c>
      <c r="EA93" s="6">
        <v>32.754710296867458</v>
      </c>
      <c r="EB93" s="6">
        <v>47.742857304766851</v>
      </c>
      <c r="EC93" s="6">
        <v>41.357600798850534</v>
      </c>
      <c r="ED93" s="6">
        <v>39.445847353965405</v>
      </c>
      <c r="EE93" s="6">
        <v>42.313477521293088</v>
      </c>
      <c r="EF93" s="6">
        <v>52.828121468161292</v>
      </c>
      <c r="EG93" s="6">
        <v>37.916444598057303</v>
      </c>
      <c r="EH93" s="6">
        <v>28.548852718120184</v>
      </c>
      <c r="EI93" s="6">
        <v>33.251766192537595</v>
      </c>
      <c r="EJ93" s="6">
        <v>36.002634106465479</v>
      </c>
      <c r="EK93" s="6">
        <v>30.496784185196315</v>
      </c>
      <c r="EL93" s="6">
        <v>47.473154775776244</v>
      </c>
      <c r="EM93" s="6">
        <v>39.826140996235736</v>
      </c>
      <c r="EN93" s="6">
        <v>89.340555218760514</v>
      </c>
      <c r="EO93" s="6">
        <v>27.2085682599939</v>
      </c>
      <c r="EP93" s="6">
        <v>43.267297197028959</v>
      </c>
      <c r="EQ93" s="6">
        <v>70.796546803374781</v>
      </c>
      <c r="ER93" s="6">
        <v>47.281979431287724</v>
      </c>
      <c r="ES93" s="6">
        <v>39.634965651747216</v>
      </c>
      <c r="ET93" s="6">
        <v>36.193809450953992</v>
      </c>
      <c r="EU93" s="6">
        <v>34.282056006068863</v>
      </c>
      <c r="EV93" s="6">
        <v>37.9143875513506</v>
      </c>
      <c r="EW93" s="6">
        <v>36.002634106465479</v>
      </c>
      <c r="EX93" s="6">
        <v>36.3467497265448</v>
      </c>
      <c r="EY93" s="6">
        <v>33.135003939137789</v>
      </c>
      <c r="EZ93" s="6">
        <v>35.811458761976972</v>
      </c>
      <c r="FA93" s="6">
        <v>60.473078200995104</v>
      </c>
      <c r="FB93" s="6">
        <v>47.09080408679921</v>
      </c>
      <c r="FC93" s="6">
        <v>48.811382187195832</v>
      </c>
      <c r="FD93" s="6">
        <v>31.414425838741177</v>
      </c>
      <c r="FE93" s="6">
        <v>54.164291832874191</v>
      </c>
      <c r="FF93" s="6">
        <v>33.70852997260333</v>
      </c>
      <c r="FG93" s="6">
        <v>49.002557531684339</v>
      </c>
      <c r="FH93" s="6">
        <v>57.414272689178894</v>
      </c>
      <c r="FI93" s="6">
        <v>41.164368407655324</v>
      </c>
      <c r="FJ93" s="6">
        <v>29.502672393856052</v>
      </c>
      <c r="FK93" s="6">
        <v>36.46145493323791</v>
      </c>
      <c r="FL93" s="6">
        <v>52.864299490352288</v>
      </c>
      <c r="FM93" s="6">
        <v>56.076045277759313</v>
      </c>
      <c r="FN93" s="6">
        <v>33.135003939137789</v>
      </c>
      <c r="FO93" s="6">
        <v>32.274098157278168</v>
      </c>
      <c r="FP93" s="6">
        <v>37.932888354138136</v>
      </c>
      <c r="FQ93" s="6">
        <v>49.976935056914435</v>
      </c>
      <c r="FR93" s="6">
        <v>31.624101986017223</v>
      </c>
      <c r="FS93" s="6">
        <v>36.594660942718555</v>
      </c>
      <c r="FT93" s="6">
        <v>36.900541493900171</v>
      </c>
      <c r="FU93" s="6">
        <v>43.285797999816495</v>
      </c>
      <c r="FV93" s="6">
        <v>36.212310253741521</v>
      </c>
      <c r="FW93" s="6">
        <v>36.785836287207061</v>
      </c>
      <c r="FX93" s="6">
        <v>43.476973344305001</v>
      </c>
      <c r="FY93" s="6">
        <v>26.997658649395216</v>
      </c>
      <c r="FZ93" s="6">
        <v>36.403485598230041</v>
      </c>
      <c r="GA93" s="6">
        <v>34.491732153344905</v>
      </c>
      <c r="GB93" s="6">
        <v>26.844718373804405</v>
      </c>
      <c r="GC93" s="6">
        <v>51.69751315731105</v>
      </c>
      <c r="GD93" s="6">
        <v>46.382838580530397</v>
      </c>
      <c r="GE93" s="6">
        <v>23.785912861988201</v>
      </c>
      <c r="GF93" s="6">
        <v>31.700572123812627</v>
      </c>
      <c r="GG93" s="6">
        <v>28.947647163178047</v>
      </c>
      <c r="GH93" s="6">
        <v>36.747601218309363</v>
      </c>
      <c r="GI93" s="6">
        <v>52.423979466367392</v>
      </c>
      <c r="GJ93" s="6">
        <v>34.682907497833426</v>
      </c>
      <c r="GK93" s="6">
        <v>32.312333226175866</v>
      </c>
      <c r="GL93" s="6">
        <v>50.741636434868489</v>
      </c>
      <c r="GM93" s="6">
        <v>32.197628019482757</v>
      </c>
      <c r="GN93" s="6">
        <v>29.712348541132094</v>
      </c>
      <c r="GO93" s="6">
        <v>40.226992488000285</v>
      </c>
      <c r="GP93" s="6">
        <v>30.285874574597631</v>
      </c>
      <c r="GQ93" s="6">
        <v>37.168186976184082</v>
      </c>
      <c r="GR93" s="6">
        <v>35.179963393503556</v>
      </c>
      <c r="GS93" s="6">
        <v>39.271115765557724</v>
      </c>
      <c r="GT93" s="6">
        <v>53.911447145760562</v>
      </c>
      <c r="GU93" s="6">
        <v>48.55853750008221</v>
      </c>
      <c r="GV93" s="6">
        <v>15.294027559081011</v>
      </c>
      <c r="GW93" s="6">
        <v>15.294027559081011</v>
      </c>
      <c r="GX93" s="6">
        <v>50.470290944967331</v>
      </c>
      <c r="GY93" s="6">
        <v>45.117381299288979</v>
      </c>
      <c r="GZ93" s="6">
        <v>41.485049754007242</v>
      </c>
      <c r="HA93" s="6">
        <v>63.470214370186198</v>
      </c>
      <c r="HB93" s="6">
        <v>54.86732386820313</v>
      </c>
      <c r="HC93" s="6">
        <v>32.499808563047146</v>
      </c>
      <c r="HD93" s="6">
        <v>26.573372883903254</v>
      </c>
      <c r="HE93" s="6">
        <v>53.337921112295021</v>
      </c>
      <c r="HF93" s="6">
        <v>84.117151574945566</v>
      </c>
      <c r="HG93" s="6">
        <v>22.176339960667466</v>
      </c>
      <c r="HH93" s="6">
        <v>0</v>
      </c>
      <c r="HI93" s="6">
        <v>0</v>
      </c>
      <c r="HJ93" s="6">
        <v>0</v>
      </c>
      <c r="HK93" s="6">
        <v>0</v>
      </c>
      <c r="HL93" s="6">
        <v>0</v>
      </c>
      <c r="HM93" s="6">
        <v>0</v>
      </c>
      <c r="HN93" s="6">
        <v>0</v>
      </c>
      <c r="HO93" s="6">
        <v>0</v>
      </c>
      <c r="HP93" s="6">
        <v>0</v>
      </c>
      <c r="HQ93" s="6">
        <v>0</v>
      </c>
      <c r="HR93" s="6">
        <v>0</v>
      </c>
      <c r="HS93" s="6">
        <v>0</v>
      </c>
      <c r="HT93" s="6">
        <v>0</v>
      </c>
      <c r="HU93" s="6">
        <v>0</v>
      </c>
      <c r="HV93" s="6">
        <v>0</v>
      </c>
      <c r="HW93" s="198">
        <v>0</v>
      </c>
      <c r="HX93" s="63">
        <v>0</v>
      </c>
      <c r="HY93" s="28">
        <v>8317.8971789731459</v>
      </c>
      <c r="IA93" s="20">
        <v>39.798551095565294</v>
      </c>
      <c r="IB93" s="2">
        <v>44.674783295177455</v>
      </c>
      <c r="IC93" s="35">
        <v>37.04638988851692</v>
      </c>
      <c r="II93" t="s">
        <v>21</v>
      </c>
      <c r="JE93" t="s">
        <v>21</v>
      </c>
      <c r="JF93" s="6">
        <v>131.64334221478981</v>
      </c>
      <c r="JG93" s="6">
        <v>1231.6662744016915</v>
      </c>
      <c r="JH93" s="6">
        <v>1088.9213799324541</v>
      </c>
      <c r="JI93" s="6">
        <v>1153.2321464102733</v>
      </c>
      <c r="JJ93" s="6">
        <v>1253.5367605757253</v>
      </c>
      <c r="JK93" s="6">
        <v>1319.1283865675905</v>
      </c>
      <c r="JL93" s="6">
        <v>1205.4999153556071</v>
      </c>
      <c r="JM93" s="6">
        <v>934.26897351501884</v>
      </c>
      <c r="JO93" s="6">
        <v>7383.6282054581316</v>
      </c>
      <c r="JP93" s="6">
        <v>35.160134311705391</v>
      </c>
      <c r="JR93" s="256" t="s">
        <v>537</v>
      </c>
      <c r="JS93" s="2"/>
      <c r="JT93" s="161">
        <v>4500</v>
      </c>
      <c r="JU93" s="257">
        <v>4500</v>
      </c>
      <c r="JW93" s="248">
        <v>11500</v>
      </c>
      <c r="JX93" s="249" t="s">
        <v>250</v>
      </c>
    </row>
    <row r="94" spans="1:284" outlineLevel="1">
      <c r="C94" t="s">
        <v>23</v>
      </c>
      <c r="D94" s="6">
        <v>0</v>
      </c>
      <c r="E94" s="6">
        <v>0</v>
      </c>
      <c r="F94" s="6">
        <v>7.6470137795405053</v>
      </c>
      <c r="G94" s="6">
        <v>0</v>
      </c>
      <c r="H94" s="6">
        <v>0</v>
      </c>
      <c r="I94" s="6">
        <v>0</v>
      </c>
      <c r="J94" s="6">
        <v>0</v>
      </c>
      <c r="K94" s="6">
        <v>4.9705589567013284</v>
      </c>
      <c r="L94" s="6">
        <v>0</v>
      </c>
      <c r="M94" s="6">
        <v>7.6470137795405053</v>
      </c>
      <c r="N94" s="6">
        <v>0</v>
      </c>
      <c r="O94" s="6">
        <v>0</v>
      </c>
      <c r="P94" s="6">
        <v>0</v>
      </c>
      <c r="Q94" s="6">
        <v>64.043740403651739</v>
      </c>
      <c r="R94" s="6">
        <v>0</v>
      </c>
      <c r="S94" s="6">
        <v>0</v>
      </c>
      <c r="T94" s="6">
        <v>0</v>
      </c>
      <c r="U94" s="6">
        <v>0</v>
      </c>
      <c r="V94" s="6">
        <v>0</v>
      </c>
      <c r="W94" s="6">
        <v>0.95587672244256316</v>
      </c>
      <c r="X94" s="6">
        <v>72.89</v>
      </c>
      <c r="Y94" s="6">
        <v>72.89</v>
      </c>
      <c r="Z94" s="6">
        <v>72.89</v>
      </c>
      <c r="AA94" s="6">
        <v>0</v>
      </c>
      <c r="AB94" s="6">
        <v>11.470520669310758</v>
      </c>
      <c r="AC94" s="6">
        <v>0.38235068897702529</v>
      </c>
      <c r="AD94" s="6">
        <v>3.8235068897702527</v>
      </c>
      <c r="AE94" s="6">
        <v>0</v>
      </c>
      <c r="AF94" s="6">
        <v>7.6470137795405053</v>
      </c>
      <c r="AG94" s="6">
        <v>7.6470137795405053</v>
      </c>
      <c r="AH94" s="6">
        <v>3.8235068897702527</v>
      </c>
      <c r="AI94" s="6">
        <v>0</v>
      </c>
      <c r="AJ94" s="6">
        <v>0</v>
      </c>
      <c r="AK94" s="6">
        <v>0</v>
      </c>
      <c r="AL94" s="6">
        <v>0</v>
      </c>
      <c r="AM94" s="6">
        <v>0</v>
      </c>
      <c r="AN94" s="6">
        <v>0</v>
      </c>
      <c r="AO94" s="6">
        <v>7.6470137795405053</v>
      </c>
      <c r="AP94" s="6">
        <v>0</v>
      </c>
      <c r="AQ94" s="6">
        <v>3.8235068897702527</v>
      </c>
      <c r="AR94" s="6">
        <v>0</v>
      </c>
      <c r="AS94" s="6">
        <v>5.7352603346553792</v>
      </c>
      <c r="AT94" s="6">
        <v>0</v>
      </c>
      <c r="AU94" s="6">
        <v>0</v>
      </c>
      <c r="AV94" s="6">
        <v>19.117534448851263</v>
      </c>
      <c r="AW94" s="6">
        <v>0</v>
      </c>
      <c r="AX94" s="6">
        <v>0</v>
      </c>
      <c r="AY94" s="6">
        <v>0</v>
      </c>
      <c r="AZ94" s="6">
        <v>0</v>
      </c>
      <c r="BA94" s="6">
        <v>0</v>
      </c>
      <c r="BB94" s="6">
        <v>7.6470137795405053</v>
      </c>
      <c r="BC94" s="6">
        <v>3.4411562007932277</v>
      </c>
      <c r="BD94" s="6">
        <v>0</v>
      </c>
      <c r="BE94" s="6">
        <v>0</v>
      </c>
      <c r="BF94" s="6">
        <v>0</v>
      </c>
      <c r="BG94" s="6">
        <v>0</v>
      </c>
      <c r="BH94" s="6">
        <v>0</v>
      </c>
      <c r="BI94" s="6">
        <v>1.9117534448851263</v>
      </c>
      <c r="BJ94" s="6">
        <v>17.205781003966138</v>
      </c>
      <c r="BK94" s="6">
        <v>0</v>
      </c>
      <c r="BL94" s="6">
        <v>0</v>
      </c>
      <c r="BM94" s="6">
        <v>0</v>
      </c>
      <c r="BN94" s="6">
        <v>59.723177618211352</v>
      </c>
      <c r="BO94" s="6">
        <v>2.6764548228391769</v>
      </c>
      <c r="BP94" s="6">
        <v>4.588208267724303</v>
      </c>
      <c r="BQ94" s="6">
        <v>24.164563543347999</v>
      </c>
      <c r="BR94" s="6">
        <v>7.6470137795405053</v>
      </c>
      <c r="BS94" s="6">
        <v>7.6470137795405053</v>
      </c>
      <c r="BT94" s="6">
        <v>0</v>
      </c>
      <c r="BU94" s="6">
        <v>0</v>
      </c>
      <c r="BV94" s="6">
        <v>0</v>
      </c>
      <c r="BW94" s="6">
        <v>0</v>
      </c>
      <c r="BX94" s="6">
        <v>9.5587672244256314</v>
      </c>
      <c r="BY94" s="6">
        <v>0</v>
      </c>
      <c r="BZ94" s="6">
        <v>0</v>
      </c>
      <c r="CA94" s="6">
        <v>0</v>
      </c>
      <c r="CB94" s="6">
        <v>7.6470137795405053</v>
      </c>
      <c r="CC94" s="6">
        <v>0</v>
      </c>
      <c r="CD94" s="6">
        <v>24.852794783506646</v>
      </c>
      <c r="CE94" s="6">
        <v>32.117457874070126</v>
      </c>
      <c r="CF94" s="6">
        <v>11.470520669310758</v>
      </c>
      <c r="CG94" s="6">
        <v>0</v>
      </c>
      <c r="CH94" s="6">
        <v>0</v>
      </c>
      <c r="CI94" s="6">
        <v>0</v>
      </c>
      <c r="CJ94" s="6">
        <v>3.8235068897702527</v>
      </c>
      <c r="CK94" s="6">
        <v>0</v>
      </c>
      <c r="CL94" s="6">
        <v>3.8235068897702527</v>
      </c>
      <c r="CM94" s="6">
        <v>3.8235068897702527</v>
      </c>
      <c r="CN94" s="6">
        <v>0</v>
      </c>
      <c r="CO94" s="6">
        <v>0</v>
      </c>
      <c r="CP94" s="6">
        <v>0</v>
      </c>
      <c r="CQ94" s="6">
        <v>0</v>
      </c>
      <c r="CR94" s="6">
        <v>15.294027559081011</v>
      </c>
      <c r="CS94" s="6">
        <v>0</v>
      </c>
      <c r="CT94" s="6">
        <v>0</v>
      </c>
      <c r="CU94" s="6">
        <v>0</v>
      </c>
      <c r="CV94" s="6">
        <v>0</v>
      </c>
      <c r="CW94" s="6">
        <v>7.6470137795405053</v>
      </c>
      <c r="CX94" s="6">
        <v>0</v>
      </c>
      <c r="CY94" s="6">
        <v>0</v>
      </c>
      <c r="CZ94" s="6">
        <v>7.6470137795405053</v>
      </c>
      <c r="DA94" s="6">
        <v>0</v>
      </c>
      <c r="DB94" s="6">
        <v>0</v>
      </c>
      <c r="DC94" s="6">
        <v>7.6470137795405053</v>
      </c>
      <c r="DD94" s="6">
        <v>0</v>
      </c>
      <c r="DE94" s="6">
        <v>0</v>
      </c>
      <c r="DF94" s="6">
        <v>0</v>
      </c>
      <c r="DG94" s="6">
        <v>23.667507647677862</v>
      </c>
      <c r="DH94" s="6">
        <v>27.491014537448116</v>
      </c>
      <c r="DI94" s="6">
        <v>35.138028316988624</v>
      </c>
      <c r="DJ94" s="6">
        <v>0</v>
      </c>
      <c r="DK94" s="6">
        <v>3.0588055118162023</v>
      </c>
      <c r="DL94" s="6">
        <v>0</v>
      </c>
      <c r="DM94" s="6">
        <v>0</v>
      </c>
      <c r="DN94" s="6">
        <v>0</v>
      </c>
      <c r="DO94" s="6">
        <v>11.470520669310758</v>
      </c>
      <c r="DP94" s="6">
        <v>0</v>
      </c>
      <c r="DQ94" s="6">
        <v>0</v>
      </c>
      <c r="DR94" s="6">
        <v>0</v>
      </c>
      <c r="DS94" s="6">
        <v>202.64586515782341</v>
      </c>
      <c r="DT94" s="6">
        <v>0</v>
      </c>
      <c r="DU94" s="6">
        <v>0</v>
      </c>
      <c r="DV94" s="6">
        <v>0</v>
      </c>
      <c r="DW94" s="6">
        <v>0</v>
      </c>
      <c r="DX94" s="6">
        <v>0</v>
      </c>
      <c r="DY94" s="6">
        <v>32.499808563047146</v>
      </c>
      <c r="DZ94" s="6">
        <v>15.294027559081011</v>
      </c>
      <c r="EA94" s="6">
        <v>0</v>
      </c>
      <c r="EB94" s="6">
        <v>0</v>
      </c>
      <c r="EC94" s="6">
        <v>0</v>
      </c>
      <c r="ED94" s="6">
        <v>0</v>
      </c>
      <c r="EE94" s="6">
        <v>0</v>
      </c>
      <c r="EF94" s="6">
        <v>9.176416535448606</v>
      </c>
      <c r="EG94" s="6">
        <v>0</v>
      </c>
      <c r="EH94" s="6">
        <v>0</v>
      </c>
      <c r="EI94" s="6">
        <v>0</v>
      </c>
      <c r="EJ94" s="6">
        <v>0</v>
      </c>
      <c r="EK94" s="6">
        <v>7.6470137795405053</v>
      </c>
      <c r="EL94" s="6">
        <v>21.029287893736392</v>
      </c>
      <c r="EM94" s="6">
        <v>25.235145472483669</v>
      </c>
      <c r="EN94" s="6">
        <v>13.764624803172911</v>
      </c>
      <c r="EO94" s="6">
        <v>0</v>
      </c>
      <c r="EP94" s="6">
        <v>0</v>
      </c>
      <c r="EQ94" s="6">
        <v>5.7352603346553792</v>
      </c>
      <c r="ER94" s="6">
        <v>0</v>
      </c>
      <c r="ES94" s="6">
        <v>0</v>
      </c>
      <c r="ET94" s="6">
        <v>0</v>
      </c>
      <c r="EU94" s="6">
        <v>7.6470137795405053</v>
      </c>
      <c r="EV94" s="6">
        <v>0</v>
      </c>
      <c r="EW94" s="6">
        <v>0</v>
      </c>
      <c r="EX94" s="6">
        <v>0</v>
      </c>
      <c r="EY94" s="6">
        <v>7.6470137795405053</v>
      </c>
      <c r="EZ94" s="6">
        <v>0</v>
      </c>
      <c r="FA94" s="6">
        <v>42.058575787472783</v>
      </c>
      <c r="FB94" s="6">
        <v>42.058575787472783</v>
      </c>
      <c r="FC94" s="6">
        <v>3.0588055118162023</v>
      </c>
      <c r="FD94" s="6">
        <v>0</v>
      </c>
      <c r="FE94" s="6">
        <v>0</v>
      </c>
      <c r="FF94" s="6">
        <v>0</v>
      </c>
      <c r="FG94" s="6">
        <v>0</v>
      </c>
      <c r="FH94" s="6">
        <v>0</v>
      </c>
      <c r="FI94" s="6">
        <v>0</v>
      </c>
      <c r="FJ94" s="6">
        <v>0</v>
      </c>
      <c r="FK94" s="6">
        <v>0</v>
      </c>
      <c r="FL94" s="6">
        <v>0</v>
      </c>
      <c r="FM94" s="6">
        <v>26.764548228391771</v>
      </c>
      <c r="FN94" s="6">
        <v>4.588208267724303</v>
      </c>
      <c r="FO94" s="6">
        <v>0</v>
      </c>
      <c r="FP94" s="6">
        <v>0</v>
      </c>
      <c r="FQ94" s="6">
        <v>0</v>
      </c>
      <c r="FR94" s="6">
        <v>0</v>
      </c>
      <c r="FS94" s="6">
        <v>0</v>
      </c>
      <c r="FT94" s="6">
        <v>0</v>
      </c>
      <c r="FU94" s="6">
        <v>0</v>
      </c>
      <c r="FV94" s="6">
        <v>0</v>
      </c>
      <c r="FW94" s="6">
        <v>0</v>
      </c>
      <c r="FX94" s="6">
        <v>0</v>
      </c>
      <c r="FY94" s="6">
        <v>0</v>
      </c>
      <c r="FZ94" s="6">
        <v>0</v>
      </c>
      <c r="GA94" s="6">
        <v>0</v>
      </c>
      <c r="GB94" s="6">
        <v>0</v>
      </c>
      <c r="GC94" s="6">
        <v>49.705589567013291</v>
      </c>
      <c r="GD94" s="6">
        <v>0</v>
      </c>
      <c r="GE94" s="6">
        <v>11.470520669310758</v>
      </c>
      <c r="GF94" s="6">
        <v>0</v>
      </c>
      <c r="GG94" s="6">
        <v>0</v>
      </c>
      <c r="GH94" s="6">
        <v>0</v>
      </c>
      <c r="GI94" s="6">
        <v>0</v>
      </c>
      <c r="GJ94" s="6">
        <v>0</v>
      </c>
      <c r="GK94" s="6">
        <v>0</v>
      </c>
      <c r="GL94" s="6">
        <v>0</v>
      </c>
      <c r="GM94" s="6">
        <v>0</v>
      </c>
      <c r="GN94" s="6">
        <v>0</v>
      </c>
      <c r="GO94" s="6">
        <v>0</v>
      </c>
      <c r="GP94" s="6">
        <v>5.7352603346553792</v>
      </c>
      <c r="GQ94" s="6">
        <v>0</v>
      </c>
      <c r="GR94" s="6">
        <v>0</v>
      </c>
      <c r="GS94" s="6">
        <v>0</v>
      </c>
      <c r="GT94" s="6">
        <v>0</v>
      </c>
      <c r="GU94" s="6">
        <v>0</v>
      </c>
      <c r="GV94" s="6">
        <v>0</v>
      </c>
      <c r="GW94" s="6">
        <v>0</v>
      </c>
      <c r="GX94" s="6">
        <v>0</v>
      </c>
      <c r="GY94" s="6">
        <v>22.941041338621517</v>
      </c>
      <c r="GZ94" s="6">
        <v>22.941041338621517</v>
      </c>
      <c r="HA94" s="6">
        <v>19.117534448851263</v>
      </c>
      <c r="HB94" s="6">
        <v>0</v>
      </c>
      <c r="HC94" s="6">
        <v>0</v>
      </c>
      <c r="HD94" s="6">
        <v>0</v>
      </c>
      <c r="HE94" s="6">
        <v>0</v>
      </c>
      <c r="HF94" s="6">
        <v>19.117534448851263</v>
      </c>
      <c r="HG94" s="6">
        <v>0</v>
      </c>
      <c r="HH94" s="6">
        <v>0</v>
      </c>
      <c r="HI94" s="6">
        <v>0</v>
      </c>
      <c r="HJ94" s="6">
        <v>0</v>
      </c>
      <c r="HK94" s="6">
        <v>0</v>
      </c>
      <c r="HL94" s="6">
        <v>0</v>
      </c>
      <c r="HM94" s="6">
        <v>0</v>
      </c>
      <c r="HN94" s="6">
        <v>0</v>
      </c>
      <c r="HO94" s="6">
        <v>0</v>
      </c>
      <c r="HP94" s="6">
        <v>0</v>
      </c>
      <c r="HQ94" s="6">
        <v>0</v>
      </c>
      <c r="HR94" s="6">
        <v>0</v>
      </c>
      <c r="HS94" s="6">
        <v>0</v>
      </c>
      <c r="HT94" s="6">
        <v>0</v>
      </c>
      <c r="HU94" s="6">
        <v>0</v>
      </c>
      <c r="HV94" s="6">
        <v>0</v>
      </c>
      <c r="HW94" s="198">
        <v>0</v>
      </c>
      <c r="HX94" s="63">
        <v>0</v>
      </c>
      <c r="HY94" s="28">
        <v>1365.7603019999733</v>
      </c>
      <c r="IA94" s="20">
        <v>6.5347382870812121</v>
      </c>
      <c r="IB94" s="2">
        <v>12.225215282285909</v>
      </c>
      <c r="IC94" s="36">
        <v>18.462925835440188</v>
      </c>
      <c r="II94" t="s">
        <v>23</v>
      </c>
      <c r="JE94" t="s">
        <v>23</v>
      </c>
      <c r="JF94" s="6">
        <v>7.6470137795405053</v>
      </c>
      <c r="JG94" s="6">
        <v>331.08110255924538</v>
      </c>
      <c r="JH94" s="6">
        <v>157.68142413412525</v>
      </c>
      <c r="JI94" s="6">
        <v>127.70513011832647</v>
      </c>
      <c r="JJ94" s="6">
        <v>374.20661930181467</v>
      </c>
      <c r="JK94" s="6">
        <v>185.05773346488022</v>
      </c>
      <c r="JL94" s="6">
        <v>92.528866732440122</v>
      </c>
      <c r="JM94" s="6">
        <v>89.852411909600931</v>
      </c>
      <c r="JO94" s="6">
        <v>1275.9078900903723</v>
      </c>
      <c r="JP94" s="6">
        <v>6.0757518575732012</v>
      </c>
      <c r="JR94" s="250"/>
      <c r="JU94" s="257"/>
      <c r="JW94" s="250"/>
      <c r="JX94" s="249"/>
    </row>
    <row r="95" spans="1:284" outlineLevel="1">
      <c r="C95" t="s">
        <v>25</v>
      </c>
      <c r="D95" s="6">
        <v>0</v>
      </c>
      <c r="E95" s="6">
        <v>931.84137057097939</v>
      </c>
      <c r="F95" s="6">
        <v>14.146975492149936</v>
      </c>
      <c r="G95" s="6">
        <v>0</v>
      </c>
      <c r="H95" s="6">
        <v>0.95587672244256316</v>
      </c>
      <c r="I95" s="6">
        <v>0</v>
      </c>
      <c r="J95" s="6">
        <v>0</v>
      </c>
      <c r="K95" s="6">
        <v>0</v>
      </c>
      <c r="L95" s="6">
        <v>0</v>
      </c>
      <c r="M95" s="6">
        <v>0</v>
      </c>
      <c r="N95" s="6">
        <v>0</v>
      </c>
      <c r="O95" s="6">
        <v>0</v>
      </c>
      <c r="P95" s="6">
        <v>0</v>
      </c>
      <c r="Q95" s="6">
        <v>0</v>
      </c>
      <c r="R95" s="6">
        <v>0</v>
      </c>
      <c r="S95" s="6">
        <v>0</v>
      </c>
      <c r="T95" s="6">
        <v>0</v>
      </c>
      <c r="U95" s="6">
        <v>0</v>
      </c>
      <c r="V95" s="6">
        <v>0</v>
      </c>
      <c r="W95" s="6">
        <v>0</v>
      </c>
      <c r="X95" s="6">
        <v>184.48420743141472</v>
      </c>
      <c r="Y95" s="6">
        <v>22.941041338621517</v>
      </c>
      <c r="Z95" s="6">
        <v>0.76470137795405058</v>
      </c>
      <c r="AA95" s="6">
        <v>16.249904281523573</v>
      </c>
      <c r="AB95" s="6">
        <v>11.470520669310758</v>
      </c>
      <c r="AC95" s="6">
        <v>0</v>
      </c>
      <c r="AD95" s="6">
        <v>0</v>
      </c>
      <c r="AE95" s="6">
        <v>0</v>
      </c>
      <c r="AF95" s="6">
        <v>0</v>
      </c>
      <c r="AG95" s="6">
        <v>0</v>
      </c>
      <c r="AH95" s="6">
        <v>0</v>
      </c>
      <c r="AI95" s="6">
        <v>0</v>
      </c>
      <c r="AJ95" s="6">
        <v>0</v>
      </c>
      <c r="AK95" s="6">
        <v>0</v>
      </c>
      <c r="AL95" s="6">
        <v>0</v>
      </c>
      <c r="AM95" s="6">
        <v>63.087863681209171</v>
      </c>
      <c r="AN95" s="6">
        <v>0</v>
      </c>
      <c r="AO95" s="6">
        <v>0</v>
      </c>
      <c r="AP95" s="6">
        <v>0</v>
      </c>
      <c r="AQ95" s="6">
        <v>0</v>
      </c>
      <c r="AR95" s="6">
        <v>0</v>
      </c>
      <c r="AS95" s="6">
        <v>0</v>
      </c>
      <c r="AT95" s="6">
        <v>0</v>
      </c>
      <c r="AU95" s="6">
        <v>0</v>
      </c>
      <c r="AV95" s="6">
        <v>0</v>
      </c>
      <c r="AW95" s="6">
        <v>0</v>
      </c>
      <c r="AX95" s="6">
        <v>0</v>
      </c>
      <c r="AY95" s="6">
        <v>0</v>
      </c>
      <c r="AZ95" s="6">
        <v>0</v>
      </c>
      <c r="BA95" s="6">
        <v>0</v>
      </c>
      <c r="BB95" s="6">
        <v>0</v>
      </c>
      <c r="BC95" s="6">
        <v>0</v>
      </c>
      <c r="BD95" s="6">
        <v>0</v>
      </c>
      <c r="BE95" s="6">
        <v>0</v>
      </c>
      <c r="BF95" s="6">
        <v>0</v>
      </c>
      <c r="BG95" s="6">
        <v>0</v>
      </c>
      <c r="BH95" s="6">
        <v>0</v>
      </c>
      <c r="BI95" s="6">
        <v>0</v>
      </c>
      <c r="BJ95" s="6">
        <v>0</v>
      </c>
      <c r="BK95" s="6">
        <v>0</v>
      </c>
      <c r="BL95" s="6">
        <v>17.205781003966138</v>
      </c>
      <c r="BM95" s="6">
        <v>17.205781003966138</v>
      </c>
      <c r="BN95" s="6">
        <v>0</v>
      </c>
      <c r="BO95" s="6">
        <v>0</v>
      </c>
      <c r="BP95" s="6">
        <v>0</v>
      </c>
      <c r="BQ95" s="6">
        <v>64.999617126094293</v>
      </c>
      <c r="BR95" s="6">
        <v>0</v>
      </c>
      <c r="BS95" s="6">
        <v>0</v>
      </c>
      <c r="BT95" s="6">
        <v>0</v>
      </c>
      <c r="BU95" s="6">
        <v>0</v>
      </c>
      <c r="BV95" s="6">
        <v>0</v>
      </c>
      <c r="BW95" s="6">
        <v>0</v>
      </c>
      <c r="BX95" s="6">
        <v>0</v>
      </c>
      <c r="BY95" s="6">
        <v>0</v>
      </c>
      <c r="BZ95" s="6">
        <v>26.764548228391771</v>
      </c>
      <c r="CA95" s="6">
        <v>0</v>
      </c>
      <c r="CB95" s="6">
        <v>0</v>
      </c>
      <c r="CC95" s="6">
        <v>0</v>
      </c>
      <c r="CD95" s="6">
        <v>3.8235068897702527</v>
      </c>
      <c r="CE95" s="6">
        <v>68.823124015864551</v>
      </c>
      <c r="CF95" s="6">
        <v>1.9117534448851263</v>
      </c>
      <c r="CG95" s="6">
        <v>0</v>
      </c>
      <c r="CH95" s="6">
        <v>0</v>
      </c>
      <c r="CI95" s="6">
        <v>12.426397391753321</v>
      </c>
      <c r="CJ95" s="6">
        <v>279.88070433118253</v>
      </c>
      <c r="CK95" s="6">
        <v>0</v>
      </c>
      <c r="CL95" s="6">
        <v>0</v>
      </c>
      <c r="CM95" s="6">
        <v>0</v>
      </c>
      <c r="CN95" s="6">
        <v>16.249904281523573</v>
      </c>
      <c r="CO95" s="6">
        <v>0</v>
      </c>
      <c r="CP95" s="6">
        <v>13.955800147661423</v>
      </c>
      <c r="CQ95" s="6">
        <v>0</v>
      </c>
      <c r="CR95" s="6">
        <v>0</v>
      </c>
      <c r="CS95" s="6">
        <v>0</v>
      </c>
      <c r="CT95" s="6">
        <v>0</v>
      </c>
      <c r="CU95" s="6">
        <v>0</v>
      </c>
      <c r="CV95" s="6">
        <v>0</v>
      </c>
      <c r="CW95" s="6">
        <v>0</v>
      </c>
      <c r="CX95" s="6">
        <v>0</v>
      </c>
      <c r="CY95" s="6">
        <v>0</v>
      </c>
      <c r="CZ95" s="6">
        <v>0</v>
      </c>
      <c r="DA95" s="6">
        <v>0</v>
      </c>
      <c r="DB95" s="6">
        <v>0</v>
      </c>
      <c r="DC95" s="6">
        <v>0</v>
      </c>
      <c r="DD95" s="6">
        <v>0</v>
      </c>
      <c r="DE95" s="6">
        <v>0</v>
      </c>
      <c r="DF95" s="6">
        <v>0</v>
      </c>
      <c r="DG95" s="6">
        <v>10.323468602379682</v>
      </c>
      <c r="DH95" s="6">
        <v>0</v>
      </c>
      <c r="DI95" s="6">
        <v>4.9705589567013284</v>
      </c>
      <c r="DJ95" s="6">
        <v>10.323468602379682</v>
      </c>
      <c r="DK95" s="6">
        <v>0</v>
      </c>
      <c r="DL95" s="6">
        <v>0</v>
      </c>
      <c r="DM95" s="6">
        <v>28.293950984299872</v>
      </c>
      <c r="DN95" s="6">
        <v>0</v>
      </c>
      <c r="DO95" s="6">
        <v>0</v>
      </c>
      <c r="DP95" s="6">
        <v>0</v>
      </c>
      <c r="DQ95" s="6">
        <v>0</v>
      </c>
      <c r="DR95" s="6">
        <v>0</v>
      </c>
      <c r="DS95" s="6">
        <v>1.9117534448851263</v>
      </c>
      <c r="DT95" s="6">
        <v>1.9117534448851263</v>
      </c>
      <c r="DU95" s="6">
        <v>0</v>
      </c>
      <c r="DV95" s="6">
        <v>0</v>
      </c>
      <c r="DW95" s="6">
        <v>0</v>
      </c>
      <c r="DX95" s="6">
        <v>0</v>
      </c>
      <c r="DY95" s="6">
        <v>22.941041338621517</v>
      </c>
      <c r="DZ95" s="6">
        <v>5.7352603346553792</v>
      </c>
      <c r="EA95" s="6">
        <v>9.176416535448606</v>
      </c>
      <c r="EB95" s="6">
        <v>0</v>
      </c>
      <c r="EC95" s="6">
        <v>0</v>
      </c>
      <c r="ED95" s="6">
        <v>0</v>
      </c>
      <c r="EE95" s="6">
        <v>0</v>
      </c>
      <c r="EF95" s="6">
        <v>0</v>
      </c>
      <c r="EG95" s="6">
        <v>0</v>
      </c>
      <c r="EH95" s="6">
        <v>0</v>
      </c>
      <c r="EI95" s="6">
        <v>0</v>
      </c>
      <c r="EJ95" s="6">
        <v>0</v>
      </c>
      <c r="EK95" s="6">
        <v>0</v>
      </c>
      <c r="EL95" s="6">
        <v>106.29349153561303</v>
      </c>
      <c r="EM95" s="6">
        <v>0</v>
      </c>
      <c r="EN95" s="6">
        <v>0</v>
      </c>
      <c r="EO95" s="6">
        <v>16.249904281523573</v>
      </c>
      <c r="EP95" s="6">
        <v>0</v>
      </c>
      <c r="EQ95" s="6">
        <v>0</v>
      </c>
      <c r="ER95" s="6">
        <v>0</v>
      </c>
      <c r="ES95" s="6">
        <v>0</v>
      </c>
      <c r="ET95" s="6">
        <v>618.77</v>
      </c>
      <c r="EU95" s="6">
        <v>43.37</v>
      </c>
      <c r="EV95" s="6">
        <v>-525.69000000000005</v>
      </c>
      <c r="EW95" s="6">
        <v>0</v>
      </c>
      <c r="EX95" s="6">
        <v>0</v>
      </c>
      <c r="EY95" s="6">
        <v>0</v>
      </c>
      <c r="EZ95" s="6">
        <v>0</v>
      </c>
      <c r="FA95" s="6">
        <v>35.940964763840377</v>
      </c>
      <c r="FB95" s="6">
        <v>19.882235826805314</v>
      </c>
      <c r="FC95" s="6">
        <v>35.940964763840377</v>
      </c>
      <c r="FD95" s="6">
        <v>0</v>
      </c>
      <c r="FE95" s="6">
        <v>0</v>
      </c>
      <c r="FF95" s="6">
        <v>0</v>
      </c>
      <c r="FG95" s="6">
        <v>0</v>
      </c>
      <c r="FH95" s="6">
        <v>0</v>
      </c>
      <c r="FI95" s="6">
        <v>96.617343011898413</v>
      </c>
      <c r="FJ95" s="6">
        <v>0</v>
      </c>
      <c r="FK95" s="6">
        <v>0</v>
      </c>
      <c r="FL95" s="6">
        <v>0</v>
      </c>
      <c r="FM95" s="6">
        <v>0</v>
      </c>
      <c r="FN95" s="6">
        <v>0</v>
      </c>
      <c r="FO95" s="6">
        <v>0</v>
      </c>
      <c r="FP95" s="6">
        <v>0</v>
      </c>
      <c r="FQ95" s="6">
        <v>0</v>
      </c>
      <c r="FR95" s="6">
        <v>0</v>
      </c>
      <c r="FS95" s="6">
        <v>0</v>
      </c>
      <c r="FT95" s="6">
        <v>0</v>
      </c>
      <c r="FU95" s="6">
        <v>0</v>
      </c>
      <c r="FV95" s="6">
        <v>0</v>
      </c>
      <c r="FW95" s="6">
        <v>0</v>
      </c>
      <c r="FX95" s="6">
        <v>0</v>
      </c>
      <c r="FY95" s="6">
        <v>0</v>
      </c>
      <c r="FZ95" s="6">
        <v>0</v>
      </c>
      <c r="GA95" s="6">
        <v>0</v>
      </c>
      <c r="GB95" s="6">
        <v>0</v>
      </c>
      <c r="GC95" s="6">
        <v>43.970329232357905</v>
      </c>
      <c r="GD95" s="6">
        <v>0</v>
      </c>
      <c r="GE95" s="6">
        <v>0</v>
      </c>
      <c r="GF95" s="6">
        <v>63.087863681209171</v>
      </c>
      <c r="GG95" s="6">
        <v>0</v>
      </c>
      <c r="GH95" s="6">
        <v>0</v>
      </c>
      <c r="GI95" s="6">
        <v>0</v>
      </c>
      <c r="GJ95" s="6">
        <v>0</v>
      </c>
      <c r="GK95" s="6">
        <v>0</v>
      </c>
      <c r="GL95" s="6">
        <v>0</v>
      </c>
      <c r="GM95" s="6">
        <v>0</v>
      </c>
      <c r="GN95" s="6">
        <v>0</v>
      </c>
      <c r="GO95" s="6">
        <v>0</v>
      </c>
      <c r="GP95" s="6">
        <v>0</v>
      </c>
      <c r="GQ95" s="6">
        <v>0</v>
      </c>
      <c r="GR95" s="6">
        <v>0</v>
      </c>
      <c r="GS95" s="6">
        <v>0</v>
      </c>
      <c r="GT95" s="6">
        <v>0</v>
      </c>
      <c r="GU95" s="6">
        <v>0</v>
      </c>
      <c r="GV95" s="6">
        <v>26.382197539414744</v>
      </c>
      <c r="GW95" s="6">
        <v>0</v>
      </c>
      <c r="GX95" s="6">
        <v>0</v>
      </c>
      <c r="GY95" s="6">
        <v>45.117381299288986</v>
      </c>
      <c r="GZ95" s="6">
        <v>13.191098769707372</v>
      </c>
      <c r="HA95" s="6">
        <v>13.382274114195885</v>
      </c>
      <c r="HB95" s="6">
        <v>45.117381299288986</v>
      </c>
      <c r="HC95" s="6">
        <v>0</v>
      </c>
      <c r="HD95" s="6">
        <v>0</v>
      </c>
      <c r="HE95" s="6">
        <v>0</v>
      </c>
      <c r="HF95" s="6">
        <v>0</v>
      </c>
      <c r="HG95" s="6">
        <v>19.117534448851263</v>
      </c>
      <c r="HH95" s="6">
        <v>33</v>
      </c>
      <c r="HI95" s="6">
        <v>0</v>
      </c>
      <c r="HJ95" s="6">
        <v>0</v>
      </c>
      <c r="HK95" s="6">
        <v>0</v>
      </c>
      <c r="HL95" s="6">
        <v>0</v>
      </c>
      <c r="HM95" s="6">
        <v>0</v>
      </c>
      <c r="HN95" s="6">
        <v>0</v>
      </c>
      <c r="HO95" s="6">
        <v>0</v>
      </c>
      <c r="HP95" s="6">
        <v>0</v>
      </c>
      <c r="HQ95" s="6">
        <v>0</v>
      </c>
      <c r="HR95" s="6">
        <v>0</v>
      </c>
      <c r="HS95" s="6">
        <v>0</v>
      </c>
      <c r="HT95" s="6">
        <v>0</v>
      </c>
      <c r="HU95" s="6">
        <v>0</v>
      </c>
      <c r="HV95" s="6">
        <v>0</v>
      </c>
      <c r="HW95" s="198">
        <v>0</v>
      </c>
      <c r="HX95" s="63">
        <v>0</v>
      </c>
      <c r="HY95" s="28">
        <v>2581.5180162427559</v>
      </c>
      <c r="HZ95" s="154"/>
      <c r="IA95" s="157">
        <v>12.351760843266774</v>
      </c>
      <c r="IB95" s="2">
        <v>26.628027700980503</v>
      </c>
      <c r="IC95" s="36">
        <v>13.896351597941235</v>
      </c>
      <c r="II95" t="s">
        <v>25</v>
      </c>
      <c r="JE95" t="s">
        <v>25</v>
      </c>
      <c r="JF95" s="98">
        <v>946.94422278557192</v>
      </c>
      <c r="JG95" s="6">
        <v>298.99823878003383</v>
      </c>
      <c r="JH95" s="6">
        <v>99.411179134026568</v>
      </c>
      <c r="JI95" s="6">
        <v>423.83573873103256</v>
      </c>
      <c r="JJ95" s="6">
        <v>86.411255708807715</v>
      </c>
      <c r="JK95" s="98">
        <v>359.93397770707122</v>
      </c>
      <c r="JL95" s="6">
        <v>203.67553592546548</v>
      </c>
      <c r="JM95" s="6">
        <v>195.30786747074723</v>
      </c>
      <c r="JO95" s="6">
        <v>2419.2101487720088</v>
      </c>
      <c r="JP95" s="6">
        <v>11.520048327485757</v>
      </c>
      <c r="JR95" s="250"/>
      <c r="JU95" s="257"/>
      <c r="JW95" s="250"/>
      <c r="JX95" s="249"/>
    </row>
    <row r="96" spans="1:284" outlineLevel="2">
      <c r="C96" t="s">
        <v>26</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6">
        <v>0</v>
      </c>
      <c r="AM96" s="6">
        <v>0</v>
      </c>
      <c r="AN96" s="6">
        <v>0</v>
      </c>
      <c r="AO96" s="6">
        <v>0</v>
      </c>
      <c r="AP96" s="6">
        <v>0</v>
      </c>
      <c r="AQ96" s="6">
        <v>0</v>
      </c>
      <c r="AR96" s="6">
        <v>0</v>
      </c>
      <c r="AS96" s="6">
        <v>0</v>
      </c>
      <c r="AT96" s="6">
        <v>0</v>
      </c>
      <c r="AU96" s="6">
        <v>0</v>
      </c>
      <c r="AV96" s="6">
        <v>0</v>
      </c>
      <c r="AW96" s="6">
        <v>0</v>
      </c>
      <c r="AX96" s="6">
        <v>0</v>
      </c>
      <c r="AY96" s="6">
        <v>0</v>
      </c>
      <c r="AZ96" s="6">
        <v>0</v>
      </c>
      <c r="BA96" s="6">
        <v>0</v>
      </c>
      <c r="BB96" s="6">
        <v>0</v>
      </c>
      <c r="BC96" s="6">
        <v>0</v>
      </c>
      <c r="BD96" s="6">
        <v>0</v>
      </c>
      <c r="BE96" s="6">
        <v>0</v>
      </c>
      <c r="BF96" s="6">
        <v>0</v>
      </c>
      <c r="BG96" s="6">
        <v>0</v>
      </c>
      <c r="BH96" s="6">
        <v>0</v>
      </c>
      <c r="BI96" s="6">
        <v>0</v>
      </c>
      <c r="BJ96" s="6">
        <v>0</v>
      </c>
      <c r="BK96" s="6">
        <v>0</v>
      </c>
      <c r="BL96" s="6">
        <v>0</v>
      </c>
      <c r="BM96" s="6">
        <v>0</v>
      </c>
      <c r="BN96" s="6">
        <v>0</v>
      </c>
      <c r="BO96" s="6">
        <v>0</v>
      </c>
      <c r="BP96" s="6">
        <v>0</v>
      </c>
      <c r="BQ96" s="6">
        <v>0</v>
      </c>
      <c r="BR96" s="6">
        <v>0</v>
      </c>
      <c r="BS96" s="6">
        <v>0</v>
      </c>
      <c r="BT96" s="6">
        <v>0</v>
      </c>
      <c r="BU96" s="6">
        <v>0</v>
      </c>
      <c r="BV96" s="6">
        <v>0</v>
      </c>
      <c r="BW96" s="6">
        <v>0</v>
      </c>
      <c r="BX96" s="6">
        <v>0</v>
      </c>
      <c r="BY96" s="6">
        <v>0</v>
      </c>
      <c r="BZ96" s="6">
        <v>0</v>
      </c>
      <c r="CA96" s="6">
        <v>0</v>
      </c>
      <c r="CB96" s="6">
        <v>0</v>
      </c>
      <c r="CC96" s="6">
        <v>0</v>
      </c>
      <c r="CD96" s="6">
        <v>0</v>
      </c>
      <c r="CE96" s="6">
        <v>0</v>
      </c>
      <c r="CF96" s="6">
        <v>0</v>
      </c>
      <c r="CG96" s="6">
        <v>0</v>
      </c>
      <c r="CH96" s="6">
        <v>0</v>
      </c>
      <c r="CI96" s="6">
        <v>0</v>
      </c>
      <c r="CJ96" s="6">
        <v>0</v>
      </c>
      <c r="CK96" s="6">
        <v>0</v>
      </c>
      <c r="CL96" s="6">
        <v>0</v>
      </c>
      <c r="CM96" s="6">
        <v>0</v>
      </c>
      <c r="CN96" s="6">
        <v>0</v>
      </c>
      <c r="CO96" s="6">
        <v>0</v>
      </c>
      <c r="CP96" s="6">
        <v>0</v>
      </c>
      <c r="CQ96" s="6">
        <v>0</v>
      </c>
      <c r="CR96" s="6">
        <v>0</v>
      </c>
      <c r="CS96" s="6">
        <v>0</v>
      </c>
      <c r="CT96" s="6">
        <v>0</v>
      </c>
      <c r="CU96" s="6">
        <v>0</v>
      </c>
      <c r="CV96" s="6">
        <v>0</v>
      </c>
      <c r="CW96" s="6">
        <v>0</v>
      </c>
      <c r="CX96" s="6">
        <v>0</v>
      </c>
      <c r="CY96" s="6">
        <v>0</v>
      </c>
      <c r="CZ96" s="6">
        <v>0</v>
      </c>
      <c r="DA96" s="6">
        <v>0</v>
      </c>
      <c r="DB96" s="6">
        <v>0</v>
      </c>
      <c r="DC96" s="6">
        <v>0</v>
      </c>
      <c r="DD96" s="6">
        <v>0</v>
      </c>
      <c r="DE96" s="6">
        <v>0</v>
      </c>
      <c r="DF96" s="6">
        <v>0</v>
      </c>
      <c r="DG96" s="6">
        <v>0</v>
      </c>
      <c r="DH96" s="6">
        <v>0</v>
      </c>
      <c r="DI96" s="6">
        <v>0</v>
      </c>
      <c r="DJ96" s="6">
        <v>0</v>
      </c>
      <c r="DK96" s="6">
        <v>0</v>
      </c>
      <c r="DL96" s="6">
        <v>0</v>
      </c>
      <c r="DM96" s="6">
        <v>0</v>
      </c>
      <c r="DN96" s="6">
        <v>0</v>
      </c>
      <c r="DO96" s="6">
        <v>0</v>
      </c>
      <c r="DP96" s="6">
        <v>0</v>
      </c>
      <c r="DQ96" s="6">
        <v>0</v>
      </c>
      <c r="DR96" s="6">
        <v>0</v>
      </c>
      <c r="DS96" s="6">
        <v>0</v>
      </c>
      <c r="DT96" s="6">
        <v>0</v>
      </c>
      <c r="DU96" s="6">
        <v>0</v>
      </c>
      <c r="DV96" s="6">
        <v>0</v>
      </c>
      <c r="DW96" s="6">
        <v>0</v>
      </c>
      <c r="DX96" s="6">
        <v>0</v>
      </c>
      <c r="DY96" s="6">
        <v>0</v>
      </c>
      <c r="DZ96" s="6">
        <v>0</v>
      </c>
      <c r="EA96" s="6">
        <v>0</v>
      </c>
      <c r="EB96" s="6">
        <v>0</v>
      </c>
      <c r="EC96" s="6">
        <v>0</v>
      </c>
      <c r="ED96" s="6">
        <v>0</v>
      </c>
      <c r="EE96" s="6">
        <v>0</v>
      </c>
      <c r="EF96" s="6">
        <v>0</v>
      </c>
      <c r="EG96" s="6">
        <v>0</v>
      </c>
      <c r="EH96" s="6">
        <v>0</v>
      </c>
      <c r="EI96" s="6">
        <v>0</v>
      </c>
      <c r="EJ96" s="6">
        <v>0</v>
      </c>
      <c r="EK96" s="6">
        <v>0</v>
      </c>
      <c r="EL96" s="6">
        <v>0</v>
      </c>
      <c r="EM96" s="6">
        <v>0</v>
      </c>
      <c r="EN96" s="6">
        <v>0</v>
      </c>
      <c r="EO96" s="6">
        <v>0</v>
      </c>
      <c r="EP96" s="6">
        <v>0</v>
      </c>
      <c r="EQ96" s="6">
        <v>0</v>
      </c>
      <c r="ER96" s="6">
        <v>0</v>
      </c>
      <c r="ES96" s="6">
        <v>0</v>
      </c>
      <c r="ET96" s="6">
        <v>0</v>
      </c>
      <c r="EU96" s="6">
        <v>0</v>
      </c>
      <c r="EV96" s="6">
        <v>0</v>
      </c>
      <c r="EW96" s="6">
        <v>0</v>
      </c>
      <c r="EX96" s="6">
        <v>0</v>
      </c>
      <c r="EY96" s="6">
        <v>0</v>
      </c>
      <c r="EZ96" s="6">
        <v>0</v>
      </c>
      <c r="FA96" s="6">
        <v>0</v>
      </c>
      <c r="FB96" s="6">
        <v>0</v>
      </c>
      <c r="FC96" s="6">
        <v>0</v>
      </c>
      <c r="FD96" s="6">
        <v>0</v>
      </c>
      <c r="FE96" s="6">
        <v>0</v>
      </c>
      <c r="FF96" s="6">
        <v>0</v>
      </c>
      <c r="FG96" s="6">
        <v>0</v>
      </c>
      <c r="FH96" s="6">
        <v>0</v>
      </c>
      <c r="FI96" s="6">
        <v>0</v>
      </c>
      <c r="FJ96" s="6">
        <v>0</v>
      </c>
      <c r="FK96" s="6">
        <v>0</v>
      </c>
      <c r="FL96" s="6">
        <v>0</v>
      </c>
      <c r="FM96" s="6">
        <v>0</v>
      </c>
      <c r="FN96" s="6">
        <v>0</v>
      </c>
      <c r="FO96" s="6">
        <v>0</v>
      </c>
      <c r="FP96" s="6">
        <v>0</v>
      </c>
      <c r="FQ96" s="6">
        <v>0</v>
      </c>
      <c r="FR96" s="6">
        <v>0</v>
      </c>
      <c r="FS96" s="6">
        <v>0</v>
      </c>
      <c r="FT96" s="6">
        <v>0</v>
      </c>
      <c r="FU96" s="6">
        <v>0</v>
      </c>
      <c r="FV96" s="6">
        <v>0</v>
      </c>
      <c r="FW96" s="6">
        <v>0</v>
      </c>
      <c r="FX96" s="6">
        <v>0</v>
      </c>
      <c r="FY96" s="6">
        <v>0</v>
      </c>
      <c r="FZ96" s="6">
        <v>0</v>
      </c>
      <c r="GA96" s="6">
        <v>0</v>
      </c>
      <c r="GB96" s="6">
        <v>0</v>
      </c>
      <c r="GC96" s="6">
        <v>0</v>
      </c>
      <c r="GD96" s="6">
        <v>0</v>
      </c>
      <c r="GE96" s="6">
        <v>0</v>
      </c>
      <c r="GF96" s="6">
        <v>0</v>
      </c>
      <c r="GG96" s="6">
        <v>0</v>
      </c>
      <c r="GH96" s="6">
        <v>0</v>
      </c>
      <c r="GI96" s="6">
        <v>0</v>
      </c>
      <c r="GJ96" s="6">
        <v>0</v>
      </c>
      <c r="GK96" s="6">
        <v>0</v>
      </c>
      <c r="GL96" s="6">
        <v>0</v>
      </c>
      <c r="GM96" s="6">
        <v>0</v>
      </c>
      <c r="GN96" s="6">
        <v>0</v>
      </c>
      <c r="GO96" s="6">
        <v>0</v>
      </c>
      <c r="GP96" s="6">
        <v>0</v>
      </c>
      <c r="GQ96" s="6">
        <v>0</v>
      </c>
      <c r="GR96" s="6">
        <v>0</v>
      </c>
      <c r="GS96" s="6">
        <v>0</v>
      </c>
      <c r="GT96" s="6">
        <v>0</v>
      </c>
      <c r="GU96" s="6">
        <v>0</v>
      </c>
      <c r="GV96" s="6">
        <v>0</v>
      </c>
      <c r="GW96" s="6">
        <v>0</v>
      </c>
      <c r="GX96" s="6">
        <v>0</v>
      </c>
      <c r="GY96" s="6">
        <v>0</v>
      </c>
      <c r="GZ96" s="6">
        <v>0</v>
      </c>
      <c r="HA96" s="6">
        <v>0</v>
      </c>
      <c r="HB96" s="6">
        <v>0</v>
      </c>
      <c r="HC96" s="6">
        <v>0</v>
      </c>
      <c r="HD96" s="6">
        <v>0</v>
      </c>
      <c r="HE96" s="6">
        <v>0</v>
      </c>
      <c r="HF96" s="6">
        <v>0</v>
      </c>
      <c r="HG96" s="6">
        <v>0</v>
      </c>
      <c r="HH96" s="6">
        <v>0</v>
      </c>
      <c r="HI96" s="6">
        <v>0</v>
      </c>
      <c r="HJ96" s="6">
        <v>0</v>
      </c>
      <c r="HK96" s="6">
        <v>0</v>
      </c>
      <c r="HL96" s="6">
        <v>0</v>
      </c>
      <c r="HM96" s="6">
        <v>0</v>
      </c>
      <c r="HN96" s="6">
        <v>0</v>
      </c>
      <c r="HO96" s="6">
        <v>0</v>
      </c>
      <c r="HP96" s="6">
        <v>0</v>
      </c>
      <c r="HQ96" s="6">
        <v>0</v>
      </c>
      <c r="HR96" s="6">
        <v>0</v>
      </c>
      <c r="HS96" s="6">
        <v>0</v>
      </c>
      <c r="HT96" s="6">
        <v>0</v>
      </c>
      <c r="HU96" s="6">
        <v>0</v>
      </c>
      <c r="HV96" s="6">
        <v>0</v>
      </c>
      <c r="HW96" s="198">
        <v>0</v>
      </c>
      <c r="HX96" s="63">
        <v>0</v>
      </c>
      <c r="HY96" s="153">
        <v>0</v>
      </c>
      <c r="HZ96" s="154"/>
      <c r="IA96" s="155">
        <v>0</v>
      </c>
      <c r="IB96" s="2">
        <v>0</v>
      </c>
      <c r="IC96" s="36">
        <v>10.994583105790259</v>
      </c>
      <c r="JE96" s="176" t="s">
        <v>304</v>
      </c>
      <c r="JF96" s="176"/>
      <c r="JG96" s="176">
        <v>60.056310185192601</v>
      </c>
      <c r="JH96" s="176">
        <v>44.867132773353532</v>
      </c>
      <c r="JI96" s="176">
        <v>54.992677911601042</v>
      </c>
      <c r="JJ96" s="176">
        <v>57.138487852878256</v>
      </c>
      <c r="JK96" s="176">
        <v>60.132906378694905</v>
      </c>
      <c r="JL96" s="176">
        <v>48.44207477462944</v>
      </c>
      <c r="JM96" s="176">
        <v>53.018663169363784</v>
      </c>
      <c r="JO96" s="230">
        <v>52.755934496764347</v>
      </c>
      <c r="JP96" s="231">
        <v>52.755934496764354</v>
      </c>
      <c r="JR96" s="256" t="s">
        <v>534</v>
      </c>
      <c r="JS96" s="2"/>
      <c r="JT96" s="161">
        <v>12500</v>
      </c>
      <c r="JU96" s="257">
        <v>12500</v>
      </c>
      <c r="JW96" s="248">
        <v>12500</v>
      </c>
      <c r="JX96" s="249" t="s">
        <v>251</v>
      </c>
    </row>
    <row r="97" spans="1:284" ht="15" outlineLevel="1" thickBot="1">
      <c r="C97" t="s">
        <v>24</v>
      </c>
      <c r="D97" s="6">
        <v>0</v>
      </c>
      <c r="E97" s="6">
        <v>337.34</v>
      </c>
      <c r="F97" s="6">
        <v>0</v>
      </c>
      <c r="G97" s="6">
        <v>0</v>
      </c>
      <c r="H97" s="6">
        <v>0</v>
      </c>
      <c r="I97" s="6">
        <v>0</v>
      </c>
      <c r="J97" s="6">
        <v>0</v>
      </c>
      <c r="K97" s="6">
        <v>0</v>
      </c>
      <c r="L97" s="6">
        <v>24.852794783506642</v>
      </c>
      <c r="M97" s="6">
        <v>22.941041338621517</v>
      </c>
      <c r="N97" s="6">
        <v>0</v>
      </c>
      <c r="O97" s="6">
        <v>0</v>
      </c>
      <c r="P97" s="6">
        <v>0</v>
      </c>
      <c r="Q97" s="6">
        <v>0</v>
      </c>
      <c r="R97" s="6">
        <v>9.5587672244256314</v>
      </c>
      <c r="S97" s="6">
        <v>0</v>
      </c>
      <c r="T97" s="6">
        <v>1.9117534448851263</v>
      </c>
      <c r="U97" s="6">
        <v>1.9117534448851263</v>
      </c>
      <c r="V97" s="6">
        <v>30.588055118162021</v>
      </c>
      <c r="W97" s="6">
        <v>0</v>
      </c>
      <c r="X97" s="6">
        <v>0</v>
      </c>
      <c r="Y97" s="6">
        <v>5.7352603346553792</v>
      </c>
      <c r="Z97" s="6">
        <v>0</v>
      </c>
      <c r="AA97" s="6">
        <v>7.6470137795405053</v>
      </c>
      <c r="AB97" s="6">
        <v>0</v>
      </c>
      <c r="AC97" s="6">
        <v>0</v>
      </c>
      <c r="AD97" s="6">
        <v>0</v>
      </c>
      <c r="AE97" s="6">
        <v>11.470520669310758</v>
      </c>
      <c r="AF97" s="6">
        <v>0</v>
      </c>
      <c r="AG97" s="6">
        <v>10.323468602379682</v>
      </c>
      <c r="AH97" s="6">
        <v>4.2058575787472785</v>
      </c>
      <c r="AI97" s="6">
        <v>0</v>
      </c>
      <c r="AJ97" s="6">
        <v>0</v>
      </c>
      <c r="AK97" s="6">
        <v>0</v>
      </c>
      <c r="AL97" s="6">
        <v>0</v>
      </c>
      <c r="AM97" s="6">
        <v>0</v>
      </c>
      <c r="AN97" s="6">
        <v>0</v>
      </c>
      <c r="AO97" s="6">
        <v>0</v>
      </c>
      <c r="AP97" s="6">
        <v>4.588208267724303</v>
      </c>
      <c r="AQ97" s="6">
        <v>0</v>
      </c>
      <c r="AR97" s="6">
        <v>0</v>
      </c>
      <c r="AS97" s="6">
        <v>0</v>
      </c>
      <c r="AT97" s="6">
        <v>0</v>
      </c>
      <c r="AU97" s="6">
        <v>0</v>
      </c>
      <c r="AV97" s="6">
        <v>0</v>
      </c>
      <c r="AW97" s="6">
        <v>0</v>
      </c>
      <c r="AX97" s="6">
        <v>0</v>
      </c>
      <c r="AY97" s="6">
        <v>0</v>
      </c>
      <c r="AZ97" s="6">
        <v>0</v>
      </c>
      <c r="BA97" s="6">
        <v>0</v>
      </c>
      <c r="BB97" s="6">
        <v>0</v>
      </c>
      <c r="BC97" s="6">
        <v>0</v>
      </c>
      <c r="BD97" s="6">
        <v>0</v>
      </c>
      <c r="BE97" s="6">
        <v>0</v>
      </c>
      <c r="BF97" s="6">
        <v>0</v>
      </c>
      <c r="BG97" s="6">
        <v>0</v>
      </c>
      <c r="BH97" s="6">
        <v>0</v>
      </c>
      <c r="BI97" s="6">
        <v>7.6470137795405053</v>
      </c>
      <c r="BJ97" s="6">
        <v>5.7352603346553792</v>
      </c>
      <c r="BK97" s="6">
        <v>0</v>
      </c>
      <c r="BL97" s="6">
        <v>0</v>
      </c>
      <c r="BM97" s="6">
        <v>0</v>
      </c>
      <c r="BN97" s="6">
        <v>0</v>
      </c>
      <c r="BO97" s="6">
        <v>0</v>
      </c>
      <c r="BP97" s="6">
        <v>0</v>
      </c>
      <c r="BQ97" s="6">
        <v>0</v>
      </c>
      <c r="BR97" s="6">
        <v>0</v>
      </c>
      <c r="BS97" s="6">
        <v>0</v>
      </c>
      <c r="BT97" s="6">
        <v>0</v>
      </c>
      <c r="BU97" s="6">
        <v>0</v>
      </c>
      <c r="BV97" s="6">
        <v>0</v>
      </c>
      <c r="BW97" s="6">
        <v>0</v>
      </c>
      <c r="BX97" s="6">
        <v>0</v>
      </c>
      <c r="BY97" s="6">
        <v>0</v>
      </c>
      <c r="BZ97" s="6">
        <v>14.529326181126962</v>
      </c>
      <c r="CA97" s="6">
        <v>0</v>
      </c>
      <c r="CB97" s="6">
        <v>0</v>
      </c>
      <c r="CC97" s="6">
        <v>0</v>
      </c>
      <c r="CD97" s="6">
        <v>0</v>
      </c>
      <c r="CE97" s="6">
        <v>0</v>
      </c>
      <c r="CF97" s="6">
        <v>0</v>
      </c>
      <c r="CG97" s="6">
        <v>4.588208267724303</v>
      </c>
      <c r="CH97" s="6">
        <v>0</v>
      </c>
      <c r="CI97" s="6">
        <v>107.05819291356708</v>
      </c>
      <c r="CJ97" s="6">
        <v>0</v>
      </c>
      <c r="CK97" s="6">
        <v>0</v>
      </c>
      <c r="CL97" s="6">
        <v>0</v>
      </c>
      <c r="CM97" s="6">
        <v>0</v>
      </c>
      <c r="CN97" s="6">
        <v>0</v>
      </c>
      <c r="CO97" s="6">
        <v>0</v>
      </c>
      <c r="CP97" s="6">
        <v>0</v>
      </c>
      <c r="CQ97" s="6">
        <v>0</v>
      </c>
      <c r="CR97" s="6">
        <v>0</v>
      </c>
      <c r="CS97" s="6">
        <v>0</v>
      </c>
      <c r="CT97" s="6">
        <v>0</v>
      </c>
      <c r="CU97" s="6">
        <v>0</v>
      </c>
      <c r="CV97" s="6">
        <v>0</v>
      </c>
      <c r="CW97" s="6">
        <v>0</v>
      </c>
      <c r="CX97" s="6">
        <v>0</v>
      </c>
      <c r="CY97" s="6">
        <v>0</v>
      </c>
      <c r="CZ97" s="6">
        <v>0</v>
      </c>
      <c r="DA97" s="6">
        <v>0</v>
      </c>
      <c r="DB97" s="6">
        <v>0</v>
      </c>
      <c r="DC97" s="6">
        <v>0</v>
      </c>
      <c r="DD97" s="6">
        <v>0</v>
      </c>
      <c r="DE97" s="6">
        <v>22.941041338621517</v>
      </c>
      <c r="DF97" s="6">
        <v>0</v>
      </c>
      <c r="DG97" s="6">
        <v>0</v>
      </c>
      <c r="DH97" s="6">
        <v>0</v>
      </c>
      <c r="DI97" s="6">
        <v>0</v>
      </c>
      <c r="DJ97" s="6">
        <v>0</v>
      </c>
      <c r="DK97" s="6">
        <v>0</v>
      </c>
      <c r="DL97" s="6">
        <v>0</v>
      </c>
      <c r="DM97" s="6">
        <v>0</v>
      </c>
      <c r="DN97" s="6">
        <v>24.852794783506642</v>
      </c>
      <c r="DO97" s="6">
        <v>0</v>
      </c>
      <c r="DP97" s="6">
        <v>0</v>
      </c>
      <c r="DQ97" s="6">
        <v>0</v>
      </c>
      <c r="DR97" s="6">
        <v>0</v>
      </c>
      <c r="DS97" s="6">
        <v>0</v>
      </c>
      <c r="DT97" s="6">
        <v>0</v>
      </c>
      <c r="DU97" s="6">
        <v>0</v>
      </c>
      <c r="DV97" s="6">
        <v>0</v>
      </c>
      <c r="DW97" s="6">
        <v>11.470520669310758</v>
      </c>
      <c r="DX97" s="6">
        <v>0</v>
      </c>
      <c r="DY97" s="6">
        <v>0</v>
      </c>
      <c r="DZ97" s="6">
        <v>0</v>
      </c>
      <c r="EA97" s="6">
        <v>0</v>
      </c>
      <c r="EB97" s="6">
        <v>0</v>
      </c>
      <c r="EC97" s="6">
        <v>0</v>
      </c>
      <c r="ED97" s="6">
        <v>0</v>
      </c>
      <c r="EE97" s="6">
        <v>0</v>
      </c>
      <c r="EF97" s="6">
        <v>0</v>
      </c>
      <c r="EG97" s="6">
        <v>0</v>
      </c>
      <c r="EH97" s="6">
        <v>0</v>
      </c>
      <c r="EI97" s="6">
        <v>0</v>
      </c>
      <c r="EJ97" s="6">
        <v>0</v>
      </c>
      <c r="EK97" s="6">
        <v>0</v>
      </c>
      <c r="EL97" s="6">
        <v>0</v>
      </c>
      <c r="EM97" s="6">
        <v>0</v>
      </c>
      <c r="EN97" s="6">
        <v>0</v>
      </c>
      <c r="EO97" s="6">
        <v>0</v>
      </c>
      <c r="EP97" s="6">
        <v>0</v>
      </c>
      <c r="EQ97" s="6">
        <v>0</v>
      </c>
      <c r="ER97" s="6">
        <v>0</v>
      </c>
      <c r="ES97" s="6">
        <v>0</v>
      </c>
      <c r="ET97" s="6">
        <v>107.05819291356708</v>
      </c>
      <c r="EU97" s="6">
        <v>0</v>
      </c>
      <c r="EV97" s="6">
        <v>0</v>
      </c>
      <c r="EW97" s="6">
        <v>32.499808563047154</v>
      </c>
      <c r="EX97" s="6">
        <v>0</v>
      </c>
      <c r="EY97" s="6">
        <v>0</v>
      </c>
      <c r="EZ97" s="6">
        <v>0</v>
      </c>
      <c r="FA97" s="6">
        <v>0</v>
      </c>
      <c r="FB97" s="6">
        <v>0</v>
      </c>
      <c r="FC97" s="6">
        <v>0</v>
      </c>
      <c r="FD97" s="6">
        <v>0</v>
      </c>
      <c r="FE97" s="6">
        <v>68.823124015864551</v>
      </c>
      <c r="FF97" s="6">
        <v>0</v>
      </c>
      <c r="FG97" s="6">
        <v>0</v>
      </c>
      <c r="FH97" s="6">
        <v>0</v>
      </c>
      <c r="FI97" s="6">
        <v>0</v>
      </c>
      <c r="FJ97" s="6">
        <v>0</v>
      </c>
      <c r="FK97" s="6">
        <v>26.191022194926234</v>
      </c>
      <c r="FL97" s="6">
        <v>0</v>
      </c>
      <c r="FM97" s="6">
        <v>37.852718208725506</v>
      </c>
      <c r="FN97" s="6">
        <v>0</v>
      </c>
      <c r="FO97" s="6">
        <v>22.941041338621517</v>
      </c>
      <c r="FP97" s="6">
        <v>0</v>
      </c>
      <c r="FQ97" s="6">
        <v>0</v>
      </c>
      <c r="FR97" s="6">
        <v>0</v>
      </c>
      <c r="FS97" s="6">
        <v>0</v>
      </c>
      <c r="FT97" s="6">
        <v>0</v>
      </c>
      <c r="FU97" s="6">
        <v>0</v>
      </c>
      <c r="FV97" s="6">
        <v>0</v>
      </c>
      <c r="FW97" s="6">
        <v>0</v>
      </c>
      <c r="FX97" s="6">
        <v>0</v>
      </c>
      <c r="FY97" s="6">
        <v>0</v>
      </c>
      <c r="FZ97" s="6">
        <v>19.117534448851263</v>
      </c>
      <c r="GA97" s="6">
        <v>0</v>
      </c>
      <c r="GB97" s="6">
        <v>0</v>
      </c>
      <c r="GC97" s="6">
        <v>0</v>
      </c>
      <c r="GD97" s="6">
        <v>0</v>
      </c>
      <c r="GE97" s="6">
        <v>0</v>
      </c>
      <c r="GF97" s="6">
        <v>0</v>
      </c>
      <c r="GG97" s="6">
        <v>0</v>
      </c>
      <c r="GH97" s="6">
        <v>0</v>
      </c>
      <c r="GI97" s="6">
        <v>0</v>
      </c>
      <c r="GJ97" s="6">
        <v>0</v>
      </c>
      <c r="GK97" s="6">
        <v>0</v>
      </c>
      <c r="GL97" s="6">
        <v>0</v>
      </c>
      <c r="GM97" s="6">
        <v>0</v>
      </c>
      <c r="GN97" s="6">
        <v>95.587672244256325</v>
      </c>
      <c r="GO97" s="6">
        <v>0</v>
      </c>
      <c r="GP97" s="6">
        <v>0</v>
      </c>
      <c r="GQ97" s="6">
        <v>0</v>
      </c>
      <c r="GR97" s="6">
        <v>0</v>
      </c>
      <c r="GS97" s="6">
        <v>0</v>
      </c>
      <c r="GT97" s="6">
        <v>0</v>
      </c>
      <c r="GU97" s="6">
        <v>0</v>
      </c>
      <c r="GV97" s="6">
        <v>19.117534448851263</v>
      </c>
      <c r="GW97" s="6">
        <v>0</v>
      </c>
      <c r="GX97" s="6">
        <v>0</v>
      </c>
      <c r="GY97" s="6">
        <v>0</v>
      </c>
      <c r="GZ97" s="6">
        <v>0</v>
      </c>
      <c r="HA97" s="6">
        <v>0</v>
      </c>
      <c r="HB97" s="6">
        <v>6.1176110236324046</v>
      </c>
      <c r="HC97" s="6">
        <v>0</v>
      </c>
      <c r="HD97" s="6">
        <v>0</v>
      </c>
      <c r="HE97" s="6">
        <v>72.073104872169267</v>
      </c>
      <c r="HF97" s="6">
        <v>47.870306259923566</v>
      </c>
      <c r="HG97" s="6">
        <v>22.941041338621517</v>
      </c>
      <c r="HH97" s="6">
        <v>0</v>
      </c>
      <c r="HI97" s="6">
        <v>0</v>
      </c>
      <c r="HJ97" s="6">
        <v>0</v>
      </c>
      <c r="HK97" s="6">
        <v>0</v>
      </c>
      <c r="HL97" s="6">
        <v>0</v>
      </c>
      <c r="HM97" s="6">
        <v>0</v>
      </c>
      <c r="HN97" s="6">
        <v>0</v>
      </c>
      <c r="HO97" s="6">
        <v>0</v>
      </c>
      <c r="HP97" s="6">
        <v>0</v>
      </c>
      <c r="HQ97" s="6">
        <v>0</v>
      </c>
      <c r="HR97" s="6">
        <v>0</v>
      </c>
      <c r="HS97" s="6">
        <v>0</v>
      </c>
      <c r="HT97" s="6">
        <v>0</v>
      </c>
      <c r="HU97" s="6">
        <v>0</v>
      </c>
      <c r="HV97" s="6">
        <v>0</v>
      </c>
      <c r="HW97" s="198">
        <v>0</v>
      </c>
      <c r="HX97" s="63">
        <v>0</v>
      </c>
      <c r="HY97" s="28">
        <v>1250.0875647259547</v>
      </c>
      <c r="HZ97" s="154"/>
      <c r="IA97" s="155">
        <v>5.9812802139997832</v>
      </c>
      <c r="IB97" s="2">
        <v>16.264086113559344</v>
      </c>
      <c r="IC97" s="36">
        <v>21.242819255221089</v>
      </c>
      <c r="II97" t="s">
        <v>24</v>
      </c>
      <c r="JE97" t="s">
        <v>24</v>
      </c>
      <c r="JF97" s="6">
        <v>337.34</v>
      </c>
      <c r="JG97" s="6">
        <v>131.14628631911967</v>
      </c>
      <c r="JH97" s="6">
        <v>17.970482381920188</v>
      </c>
      <c r="JI97" s="6">
        <v>126.17572736241834</v>
      </c>
      <c r="JJ97" s="6">
        <v>59.264356791438914</v>
      </c>
      <c r="JK97" s="6">
        <v>208.38112549247879</v>
      </c>
      <c r="JL97" s="6">
        <v>106.10231619112452</v>
      </c>
      <c r="JM97" s="6">
        <v>263.70727018745436</v>
      </c>
      <c r="JO97" s="6">
        <v>986.38029453850027</v>
      </c>
      <c r="JP97" s="6">
        <v>4.6970490216119059</v>
      </c>
      <c r="JR97" s="258"/>
      <c r="JS97" s="259">
        <v>1000</v>
      </c>
      <c r="JT97" s="260">
        <v>17000</v>
      </c>
      <c r="JU97" s="261">
        <v>44000</v>
      </c>
      <c r="JW97" s="251">
        <v>44000</v>
      </c>
      <c r="JX97" s="252"/>
    </row>
    <row r="98" spans="1:284" outlineLevel="1">
      <c r="C98" s="9" t="s">
        <v>14</v>
      </c>
      <c r="D98" s="28">
        <v>0</v>
      </c>
      <c r="E98" s="28">
        <v>1276.8283843505199</v>
      </c>
      <c r="F98" s="28">
        <v>81.861282509981109</v>
      </c>
      <c r="G98" s="28">
        <v>34.067446387852947</v>
      </c>
      <c r="H98" s="28">
        <v>30.81746553154824</v>
      </c>
      <c r="I98" s="28">
        <v>29.670413464617162</v>
      </c>
      <c r="J98" s="28">
        <v>35.596849143761048</v>
      </c>
      <c r="K98" s="28">
        <v>49.170298602445456</v>
      </c>
      <c r="L98" s="28">
        <v>62.934923405618363</v>
      </c>
      <c r="M98" s="28">
        <v>53.643801663476644</v>
      </c>
      <c r="N98" s="28">
        <v>30.817465531548237</v>
      </c>
      <c r="O98" s="28">
        <v>27.37630933075501</v>
      </c>
      <c r="P98" s="28">
        <v>52.726160009931789</v>
      </c>
      <c r="Q98" s="28">
        <v>114.36109107302826</v>
      </c>
      <c r="R98" s="28">
        <v>40.720348376053195</v>
      </c>
      <c r="S98" s="28">
        <v>58.537890482382565</v>
      </c>
      <c r="T98" s="28">
        <v>44.008564301255618</v>
      </c>
      <c r="U98" s="28">
        <v>51.082052047330578</v>
      </c>
      <c r="V98" s="28">
        <v>54.714383592612315</v>
      </c>
      <c r="W98" s="28">
        <v>16.249904281523577</v>
      </c>
      <c r="X98" s="28">
        <v>288.72696392753079</v>
      </c>
      <c r="Y98" s="28">
        <v>122.40441422252478</v>
      </c>
      <c r="Z98" s="28">
        <v>102.71335374020798</v>
      </c>
      <c r="AA98" s="28">
        <v>65.955493848536847</v>
      </c>
      <c r="AB98" s="28">
        <v>91.38181466550904</v>
      </c>
      <c r="AC98" s="28">
        <v>28.102775639811359</v>
      </c>
      <c r="AD98" s="28">
        <v>54.102622490249075</v>
      </c>
      <c r="AE98" s="28">
        <v>43.205627854403858</v>
      </c>
      <c r="AF98" s="28">
        <v>82.778924163525971</v>
      </c>
      <c r="AG98" s="28">
        <v>53.720271801272048</v>
      </c>
      <c r="AH98" s="28">
        <v>48.367362155593696</v>
      </c>
      <c r="AI98" s="28">
        <v>32.117457874070126</v>
      </c>
      <c r="AJ98" s="28">
        <v>48.94088818905923</v>
      </c>
      <c r="AK98" s="28">
        <v>42.82327716542683</v>
      </c>
      <c r="AL98" s="28">
        <v>47.029134744174115</v>
      </c>
      <c r="AM98" s="28">
        <v>118.91106427185487</v>
      </c>
      <c r="AN98" s="28">
        <v>29.82335374020797</v>
      </c>
      <c r="AO98" s="28">
        <v>48.749712844570723</v>
      </c>
      <c r="AP98" s="28">
        <v>27.146898917368794</v>
      </c>
      <c r="AQ98" s="28">
        <v>61.176110236324043</v>
      </c>
      <c r="AR98" s="28">
        <v>31.735107185093099</v>
      </c>
      <c r="AS98" s="28">
        <v>54.179092628044486</v>
      </c>
      <c r="AT98" s="28">
        <v>42.82327716542683</v>
      </c>
      <c r="AU98" s="28">
        <v>53.146745767806522</v>
      </c>
      <c r="AV98" s="28">
        <v>47.029134744174108</v>
      </c>
      <c r="AW98" s="28">
        <v>33.742448302222485</v>
      </c>
      <c r="AX98" s="28">
        <v>43.301215526648114</v>
      </c>
      <c r="AY98" s="28">
        <v>38.139481225458269</v>
      </c>
      <c r="AZ98" s="28">
        <v>37.948305880969755</v>
      </c>
      <c r="BA98" s="28">
        <v>29.727766067963717</v>
      </c>
      <c r="BB98" s="28">
        <v>41.771812770740013</v>
      </c>
      <c r="BC98" s="28">
        <v>33.551272957733971</v>
      </c>
      <c r="BD98" s="28">
        <v>30.683642790406282</v>
      </c>
      <c r="BE98" s="28">
        <v>40.242410014831911</v>
      </c>
      <c r="BF98" s="28">
        <v>35.080675713642066</v>
      </c>
      <c r="BG98" s="28">
        <v>19.710178016765653</v>
      </c>
      <c r="BH98" s="28">
        <v>44.257092249090675</v>
      </c>
      <c r="BI98" s="28">
        <v>35.654201747107606</v>
      </c>
      <c r="BJ98" s="28">
        <v>54.962911540447386</v>
      </c>
      <c r="BK98" s="28">
        <v>38.521831914435296</v>
      </c>
      <c r="BL98" s="28">
        <v>52.668807406585231</v>
      </c>
      <c r="BM98" s="28">
        <v>42.874129807060775</v>
      </c>
      <c r="BN98" s="28">
        <v>87.953276037452056</v>
      </c>
      <c r="BO98" s="28">
        <v>42.759424600367666</v>
      </c>
      <c r="BP98" s="28">
        <v>57.671101470471655</v>
      </c>
      <c r="BQ98" s="28">
        <v>126.95304631310863</v>
      </c>
      <c r="BR98" s="28">
        <v>35.685936854292699</v>
      </c>
      <c r="BS98" s="28">
        <v>33.774183409407577</v>
      </c>
      <c r="BT98" s="28">
        <v>45.244704078718328</v>
      </c>
      <c r="BU98" s="28">
        <v>33.583008064919063</v>
      </c>
      <c r="BV98" s="28">
        <v>30.333027208614347</v>
      </c>
      <c r="BW98" s="28">
        <v>30.715377897591374</v>
      </c>
      <c r="BX98" s="28">
        <v>34.538884787361624</v>
      </c>
      <c r="BY98" s="28">
        <v>27.274221696798143</v>
      </c>
      <c r="BZ98" s="28">
        <v>78.891564708696563</v>
      </c>
      <c r="CA98" s="28">
        <v>55.759348025586533</v>
      </c>
      <c r="CB98" s="28">
        <v>41.16642545436202</v>
      </c>
      <c r="CC98" s="28">
        <v>29.122378751585721</v>
      </c>
      <c r="CD98" s="28">
        <v>72.901532639455127</v>
      </c>
      <c r="CE98" s="28">
        <v>135.79822097617577</v>
      </c>
      <c r="CF98" s="28">
        <v>46.710510444528886</v>
      </c>
      <c r="CG98" s="28">
        <v>52.828121468161292</v>
      </c>
      <c r="CH98" s="28">
        <v>43.460529588224169</v>
      </c>
      <c r="CI98" s="28">
        <v>143.06288406673926</v>
      </c>
      <c r="CJ98" s="28">
        <v>316.26774617333172</v>
      </c>
      <c r="CK98" s="28">
        <v>34.8576390862411</v>
      </c>
      <c r="CL98" s="28">
        <v>44.798756999643757</v>
      </c>
      <c r="CM98" s="28">
        <v>46.901685789017399</v>
      </c>
      <c r="CN98" s="28">
        <v>63.151590070540976</v>
      </c>
      <c r="CO98" s="28">
        <v>53.975173535092367</v>
      </c>
      <c r="CP98" s="28">
        <v>52.859982751073744</v>
      </c>
      <c r="CQ98" s="28">
        <v>53.242333440050778</v>
      </c>
      <c r="CR98" s="28">
        <v>51.139404650677136</v>
      </c>
      <c r="CS98" s="28">
        <v>34.124798991199505</v>
      </c>
      <c r="CT98" s="28">
        <v>37.757130536481249</v>
      </c>
      <c r="CU98" s="28">
        <v>71.021640477482435</v>
      </c>
      <c r="CV98" s="28">
        <v>33.551272957733964</v>
      </c>
      <c r="CW98" s="28">
        <v>50.183527928234568</v>
      </c>
      <c r="CX98" s="28">
        <v>29.536590723475204</v>
      </c>
      <c r="CY98" s="28">
        <v>66.242256865269624</v>
      </c>
      <c r="CZ98" s="28">
        <v>53.242333440050771</v>
      </c>
      <c r="DA98" s="28">
        <v>58.40406774124061</v>
      </c>
      <c r="DB98" s="28">
        <v>51.139404650677136</v>
      </c>
      <c r="DC98" s="28">
        <v>46.742371727441345</v>
      </c>
      <c r="DD98" s="28">
        <v>42.15416345971704</v>
      </c>
      <c r="DE98" s="28">
        <v>73.506919955833126</v>
      </c>
      <c r="DF98" s="28">
        <v>27.210625306700596</v>
      </c>
      <c r="DG98" s="28">
        <v>63.304530346131777</v>
      </c>
      <c r="DH98" s="28">
        <v>56.23104260005681</v>
      </c>
      <c r="DI98" s="28">
        <v>71.71624550362634</v>
      </c>
      <c r="DJ98" s="28">
        <v>44.416406310666737</v>
      </c>
      <c r="DK98" s="28">
        <v>36.195866497660688</v>
      </c>
      <c r="DL98" s="28">
        <v>38.107619942545817</v>
      </c>
      <c r="DM98" s="28">
        <v>107.69544533636441</v>
      </c>
      <c r="DN98" s="28">
        <v>60.475135247701786</v>
      </c>
      <c r="DO98" s="28">
        <v>43.460529588224162</v>
      </c>
      <c r="DP98" s="28">
        <v>49.960491300833603</v>
      </c>
      <c r="DQ98" s="28">
        <v>41.357600798850534</v>
      </c>
      <c r="DR98" s="28">
        <v>35.048814430729614</v>
      </c>
      <c r="DS98" s="28">
        <v>223.93005478538012</v>
      </c>
      <c r="DT98" s="28">
        <v>49.004614578391035</v>
      </c>
      <c r="DU98" s="28">
        <v>25.872397895281008</v>
      </c>
      <c r="DV98" s="28">
        <v>51.489894056741697</v>
      </c>
      <c r="DW98" s="28">
        <v>49.004614578391035</v>
      </c>
      <c r="DX98" s="28">
        <v>35.431165119706634</v>
      </c>
      <c r="DY98" s="28">
        <v>98.136678111938778</v>
      </c>
      <c r="DZ98" s="28">
        <v>60.666310592190307</v>
      </c>
      <c r="EA98" s="28">
        <v>41.931126832316068</v>
      </c>
      <c r="EB98" s="28">
        <v>47.742857304766851</v>
      </c>
      <c r="EC98" s="28">
        <v>41.357600798850534</v>
      </c>
      <c r="ED98" s="28">
        <v>39.445847353965405</v>
      </c>
      <c r="EE98" s="28">
        <v>42.313477521293088</v>
      </c>
      <c r="EF98" s="28">
        <v>62.004538003609895</v>
      </c>
      <c r="EG98" s="28">
        <v>37.916444598057303</v>
      </c>
      <c r="EH98" s="28">
        <v>28.548852718120184</v>
      </c>
      <c r="EI98" s="28">
        <v>33.251766192537595</v>
      </c>
      <c r="EJ98" s="28">
        <v>36.002634106465479</v>
      </c>
      <c r="EK98" s="28">
        <v>38.143797964736819</v>
      </c>
      <c r="EL98" s="28">
        <v>174.79593420512566</v>
      </c>
      <c r="EM98" s="28">
        <v>65.061286468719402</v>
      </c>
      <c r="EN98" s="28">
        <v>103.10518002193342</v>
      </c>
      <c r="EO98" s="28">
        <v>43.458472541517473</v>
      </c>
      <c r="EP98" s="28">
        <v>43.267297197028959</v>
      </c>
      <c r="EQ98" s="28">
        <v>76.53180713803016</v>
      </c>
      <c r="ER98" s="28">
        <v>47.281979431287724</v>
      </c>
      <c r="ES98" s="28">
        <v>39.634965651747216</v>
      </c>
      <c r="ET98" s="28">
        <v>762.02200236452097</v>
      </c>
      <c r="EU98" s="28">
        <v>85.299069785609362</v>
      </c>
      <c r="EV98" s="28">
        <v>-487.77561244864944</v>
      </c>
      <c r="EW98" s="28">
        <v>68.502442669512632</v>
      </c>
      <c r="EX98" s="28">
        <v>36.3467497265448</v>
      </c>
      <c r="EY98" s="28">
        <v>40.782017718678297</v>
      </c>
      <c r="EZ98" s="28">
        <v>35.811458761976972</v>
      </c>
      <c r="FA98" s="28">
        <v>138.47261875230828</v>
      </c>
      <c r="FB98" s="28">
        <v>109.03161570107731</v>
      </c>
      <c r="FC98" s="28">
        <v>87.811152462852419</v>
      </c>
      <c r="FD98" s="28">
        <v>31.414425838741177</v>
      </c>
      <c r="FE98" s="28">
        <v>122.98741584873875</v>
      </c>
      <c r="FF98" s="28">
        <v>33.70852997260333</v>
      </c>
      <c r="FG98" s="28">
        <v>49.002557531684339</v>
      </c>
      <c r="FH98" s="28">
        <v>57.414272689178894</v>
      </c>
      <c r="FI98" s="28">
        <v>137.78171141955374</v>
      </c>
      <c r="FJ98" s="28">
        <v>29.502672393856052</v>
      </c>
      <c r="FK98" s="28">
        <v>62.652477128164143</v>
      </c>
      <c r="FL98" s="28">
        <v>52.864299490352288</v>
      </c>
      <c r="FM98" s="28">
        <v>120.69331171487659</v>
      </c>
      <c r="FN98" s="28">
        <v>37.723212206862094</v>
      </c>
      <c r="FO98" s="28">
        <v>55.215139495899685</v>
      </c>
      <c r="FP98" s="28">
        <v>37.932888354138136</v>
      </c>
      <c r="FQ98" s="28">
        <v>49.976935056914435</v>
      </c>
      <c r="FR98" s="28">
        <v>31.624101986017223</v>
      </c>
      <c r="FS98" s="28">
        <v>36.594660942718555</v>
      </c>
      <c r="FT98" s="28">
        <v>36.900541493900171</v>
      </c>
      <c r="FU98" s="28">
        <v>43.285797999816495</v>
      </c>
      <c r="FV98" s="28">
        <v>36.212310253741521</v>
      </c>
      <c r="FW98" s="28">
        <v>36.785836287207061</v>
      </c>
      <c r="FX98" s="28">
        <v>43.476973344305001</v>
      </c>
      <c r="FY98" s="28">
        <v>26.997658649395216</v>
      </c>
      <c r="FZ98" s="28">
        <v>55.521020047081308</v>
      </c>
      <c r="GA98" s="28">
        <v>34.491732153344905</v>
      </c>
      <c r="GB98" s="28">
        <v>26.844718373804405</v>
      </c>
      <c r="GC98" s="28">
        <v>145.37343195668225</v>
      </c>
      <c r="GD98" s="28">
        <v>46.382838580530397</v>
      </c>
      <c r="GE98" s="28">
        <v>35.25643353129896</v>
      </c>
      <c r="GF98" s="28">
        <v>94.788435805021805</v>
      </c>
      <c r="GG98" s="28">
        <v>28.947647163178047</v>
      </c>
      <c r="GH98" s="28">
        <v>36.747601218309363</v>
      </c>
      <c r="GI98" s="28">
        <v>52.423979466367392</v>
      </c>
      <c r="GJ98" s="28">
        <v>34.682907497833426</v>
      </c>
      <c r="GK98" s="28">
        <v>32.312333226175866</v>
      </c>
      <c r="GL98" s="28">
        <v>50.741636434868489</v>
      </c>
      <c r="GM98" s="28">
        <v>32.197628019482757</v>
      </c>
      <c r="GN98" s="28">
        <v>125.30002078538843</v>
      </c>
      <c r="GO98" s="28">
        <v>40.226992488000285</v>
      </c>
      <c r="GP98" s="28">
        <v>36.021134909253007</v>
      </c>
      <c r="GQ98" s="28">
        <v>37.168186976184082</v>
      </c>
      <c r="GR98" s="28">
        <v>35.179963393503556</v>
      </c>
      <c r="GS98" s="28">
        <v>39.271115765557724</v>
      </c>
      <c r="GT98" s="28">
        <v>53.911447145760562</v>
      </c>
      <c r="GU98" s="28">
        <v>48.55853750008221</v>
      </c>
      <c r="GV98" s="28">
        <v>60.793759547347022</v>
      </c>
      <c r="GW98" s="28">
        <v>15.294027559081011</v>
      </c>
      <c r="GX98" s="28">
        <v>50.470290944967331</v>
      </c>
      <c r="GY98" s="28">
        <v>113.17580393719948</v>
      </c>
      <c r="GZ98" s="28">
        <v>77.617189862336119</v>
      </c>
      <c r="HA98" s="28">
        <v>95.970022933233338</v>
      </c>
      <c r="HB98" s="28">
        <v>106.10231619112452</v>
      </c>
      <c r="HC98" s="28">
        <v>32.499808563047146</v>
      </c>
      <c r="HD98" s="28">
        <v>26.573372883903254</v>
      </c>
      <c r="HE98" s="28">
        <v>125.41102598446429</v>
      </c>
      <c r="HF98" s="28">
        <v>151.10499228372038</v>
      </c>
      <c r="HG98" s="28">
        <v>64.234915748140253</v>
      </c>
      <c r="HH98" s="28">
        <v>33</v>
      </c>
      <c r="HI98" s="28">
        <v>0</v>
      </c>
      <c r="HJ98" s="28">
        <v>0</v>
      </c>
      <c r="HK98" s="28">
        <v>0</v>
      </c>
      <c r="HL98" s="28">
        <v>0</v>
      </c>
      <c r="HM98" s="28">
        <v>0</v>
      </c>
      <c r="HN98" s="28">
        <v>0</v>
      </c>
      <c r="HO98" s="28">
        <v>0</v>
      </c>
      <c r="HP98" s="28">
        <v>0</v>
      </c>
      <c r="HQ98" s="28">
        <v>0</v>
      </c>
      <c r="HR98" s="28">
        <v>0</v>
      </c>
      <c r="HS98" s="28">
        <v>0</v>
      </c>
      <c r="HT98" s="28">
        <v>0</v>
      </c>
      <c r="HU98" s="28">
        <v>0</v>
      </c>
      <c r="HV98" s="28">
        <v>0</v>
      </c>
      <c r="HW98" s="200">
        <v>0</v>
      </c>
      <c r="HX98" s="184">
        <v>0</v>
      </c>
      <c r="HY98" s="28">
        <v>13515.263061941838</v>
      </c>
      <c r="HZ98" s="154"/>
      <c r="IA98" s="155">
        <v>64.666330439913096</v>
      </c>
      <c r="IB98" s="2">
        <v>99.792112392003233</v>
      </c>
      <c r="IC98" s="36">
        <v>101.6430696829097</v>
      </c>
      <c r="II98" s="9" t="s">
        <v>14</v>
      </c>
      <c r="JE98" s="9" t="s">
        <v>14</v>
      </c>
      <c r="JF98" s="28">
        <v>1423.5745787799021</v>
      </c>
      <c r="JG98" s="28">
        <v>1992.8919020600906</v>
      </c>
      <c r="JH98" s="28">
        <v>1363.9844655825259</v>
      </c>
      <c r="JI98" s="28">
        <v>1830.9487426220505</v>
      </c>
      <c r="JJ98" s="28">
        <v>1773.4189923777869</v>
      </c>
      <c r="JK98" s="28">
        <v>2072.5012232320209</v>
      </c>
      <c r="JL98" s="28">
        <v>1607.8066342046372</v>
      </c>
      <c r="JM98" s="28">
        <v>1483.136523082821</v>
      </c>
      <c r="JO98" s="6">
        <v>12065.126538859015</v>
      </c>
      <c r="JP98" s="6">
        <v>57.452983518376257</v>
      </c>
    </row>
    <row r="99" spans="1:284" outlineLevel="1">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198"/>
      <c r="HX99" s="63"/>
      <c r="HY99" s="153">
        <v>0</v>
      </c>
      <c r="HZ99" s="154"/>
      <c r="IA99" s="156"/>
      <c r="IC99" s="43"/>
      <c r="JE99" s="176" t="s">
        <v>14</v>
      </c>
      <c r="JF99" s="211">
        <v>474.52485959330073</v>
      </c>
      <c r="JG99" s="176">
        <v>64.286835550325506</v>
      </c>
      <c r="JH99" s="176">
        <v>45.466148852750862</v>
      </c>
      <c r="JI99" s="176">
        <v>59.062862665227435</v>
      </c>
      <c r="JJ99" s="176">
        <v>59.113966412592895</v>
      </c>
      <c r="JK99" s="176">
        <v>66.854878168774874</v>
      </c>
      <c r="JL99" s="176">
        <v>51.864730135633458</v>
      </c>
      <c r="JM99" s="176">
        <v>64.484196655774824</v>
      </c>
      <c r="JO99" s="176">
        <v>57.452983518376257</v>
      </c>
      <c r="JP99" s="231">
        <v>62.15003253998816</v>
      </c>
    </row>
    <row r="100" spans="1:284" outlineLevel="1">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198"/>
      <c r="HX100" s="63"/>
      <c r="HY100" s="153">
        <v>0</v>
      </c>
      <c r="HZ100" s="154"/>
      <c r="IA100" s="156"/>
      <c r="IC100" s="43"/>
      <c r="JE100">
        <v>0</v>
      </c>
      <c r="JF100" s="6">
        <v>0</v>
      </c>
      <c r="JG100" s="6">
        <v>0</v>
      </c>
      <c r="JH100" s="6">
        <v>0</v>
      </c>
      <c r="JI100" s="6">
        <v>0</v>
      </c>
      <c r="JJ100" s="6">
        <v>0</v>
      </c>
      <c r="JK100" s="6">
        <v>0</v>
      </c>
      <c r="JL100" s="6">
        <v>0</v>
      </c>
      <c r="JM100" s="6">
        <v>0</v>
      </c>
      <c r="JO100" s="6">
        <v>0</v>
      </c>
    </row>
    <row r="101" spans="1:284" outlineLevel="1">
      <c r="C101" t="s">
        <v>61</v>
      </c>
      <c r="D101" s="6">
        <v>0</v>
      </c>
      <c r="E101" s="6">
        <v>939.48838435051994</v>
      </c>
      <c r="F101" s="6">
        <v>81.861282509981109</v>
      </c>
      <c r="G101" s="6">
        <v>34.067446387852947</v>
      </c>
      <c r="H101" s="6">
        <v>30.81746553154824</v>
      </c>
      <c r="I101" s="6">
        <v>29.670413464617162</v>
      </c>
      <c r="J101" s="6">
        <v>35.596849143761048</v>
      </c>
      <c r="K101" s="6">
        <v>49.170298602445456</v>
      </c>
      <c r="L101" s="6">
        <v>38.082128622111718</v>
      </c>
      <c r="M101" s="6">
        <v>30.702760324855127</v>
      </c>
      <c r="N101" s="6">
        <v>30.817465531548237</v>
      </c>
      <c r="O101" s="6">
        <v>27.37630933075501</v>
      </c>
      <c r="P101" s="6">
        <v>52.726160009931789</v>
      </c>
      <c r="Q101" s="6">
        <v>114.36109107302826</v>
      </c>
      <c r="R101" s="6">
        <v>31.161581151627562</v>
      </c>
      <c r="S101" s="6">
        <v>58.537890482382565</v>
      </c>
      <c r="T101" s="6">
        <v>42.096810856370489</v>
      </c>
      <c r="U101" s="6">
        <v>49.170298602445449</v>
      </c>
      <c r="V101" s="6">
        <v>24.126328474450293</v>
      </c>
      <c r="W101" s="6">
        <v>16.249904281523577</v>
      </c>
      <c r="X101" s="6">
        <v>288.72696392753079</v>
      </c>
      <c r="Y101" s="6">
        <v>116.6691538878694</v>
      </c>
      <c r="Z101" s="6">
        <v>102.71335374020798</v>
      </c>
      <c r="AA101" s="6">
        <v>58.308480068996346</v>
      </c>
      <c r="AB101" s="6">
        <v>91.38181466550904</v>
      </c>
      <c r="AC101" s="6">
        <v>28.102775639811359</v>
      </c>
      <c r="AD101" s="6">
        <v>54.102622490249075</v>
      </c>
      <c r="AE101" s="6">
        <v>31.735107185093099</v>
      </c>
      <c r="AF101" s="6">
        <v>82.778924163525971</v>
      </c>
      <c r="AG101" s="6">
        <v>43.396803198892364</v>
      </c>
      <c r="AH101" s="6">
        <v>44.161504576846419</v>
      </c>
      <c r="AI101" s="6">
        <v>32.117457874070126</v>
      </c>
      <c r="AJ101" s="6">
        <v>48.94088818905923</v>
      </c>
      <c r="AK101" s="6">
        <v>42.82327716542683</v>
      </c>
      <c r="AL101" s="6">
        <v>47.029134744174115</v>
      </c>
      <c r="AM101" s="6">
        <v>118.91106427185487</v>
      </c>
      <c r="AN101" s="6">
        <v>29.82335374020797</v>
      </c>
      <c r="AO101" s="6">
        <v>48.749712844570723</v>
      </c>
      <c r="AP101" s="6">
        <v>22.55869064964449</v>
      </c>
      <c r="AQ101" s="6">
        <v>61.176110236324043</v>
      </c>
      <c r="AR101" s="6">
        <v>31.735107185093099</v>
      </c>
      <c r="AS101" s="6">
        <v>54.179092628044486</v>
      </c>
      <c r="AT101" s="6">
        <v>42.82327716542683</v>
      </c>
      <c r="AU101" s="6">
        <v>53.146745767806522</v>
      </c>
      <c r="AV101" s="6">
        <v>47.029134744174108</v>
      </c>
      <c r="AW101" s="6">
        <v>33.742448302222485</v>
      </c>
      <c r="AX101" s="6">
        <v>43.301215526648114</v>
      </c>
      <c r="AY101" s="6">
        <v>38.139481225458269</v>
      </c>
      <c r="AZ101" s="6">
        <v>37.948305880969755</v>
      </c>
      <c r="BA101" s="6">
        <v>29.727766067963717</v>
      </c>
      <c r="BB101" s="6">
        <v>41.771812770740013</v>
      </c>
      <c r="BC101" s="6">
        <v>33.551272957733971</v>
      </c>
      <c r="BD101" s="6">
        <v>30.683642790406282</v>
      </c>
      <c r="BE101" s="6">
        <v>40.242410014831911</v>
      </c>
      <c r="BF101" s="6">
        <v>35.080675713642066</v>
      </c>
      <c r="BG101" s="6">
        <v>19.710178016765653</v>
      </c>
      <c r="BH101" s="6">
        <v>44.257092249090675</v>
      </c>
      <c r="BI101" s="6">
        <v>28.007187967567102</v>
      </c>
      <c r="BJ101" s="6">
        <v>49.227651205792007</v>
      </c>
      <c r="BK101" s="6">
        <v>38.521831914435296</v>
      </c>
      <c r="BL101" s="6">
        <v>52.668807406585231</v>
      </c>
      <c r="BM101" s="6">
        <v>42.874129807060775</v>
      </c>
      <c r="BN101" s="6">
        <v>87.953276037452056</v>
      </c>
      <c r="BO101" s="6">
        <v>42.759424600367666</v>
      </c>
      <c r="BP101" s="6">
        <v>57.671101470471655</v>
      </c>
      <c r="BQ101" s="6">
        <v>126.95304631310863</v>
      </c>
      <c r="BR101" s="6">
        <v>35.685936854292699</v>
      </c>
      <c r="BS101" s="6">
        <v>33.774183409407577</v>
      </c>
      <c r="BT101" s="6">
        <v>45.244704078718328</v>
      </c>
      <c r="BU101" s="6">
        <v>33.583008064919063</v>
      </c>
      <c r="BV101" s="6">
        <v>30.333027208614347</v>
      </c>
      <c r="BW101" s="6">
        <v>30.715377897591374</v>
      </c>
      <c r="BX101" s="6">
        <v>34.538884787361624</v>
      </c>
      <c r="BY101" s="6">
        <v>27.274221696798143</v>
      </c>
      <c r="BZ101" s="6">
        <v>64.362238527569602</v>
      </c>
      <c r="CA101" s="6">
        <v>55.759348025586533</v>
      </c>
      <c r="CB101" s="6">
        <v>41.16642545436202</v>
      </c>
      <c r="CC101" s="6">
        <v>29.122378751585721</v>
      </c>
      <c r="CD101" s="6">
        <v>72.901532639455127</v>
      </c>
      <c r="CE101" s="6">
        <v>135.79822097617577</v>
      </c>
      <c r="CF101" s="6">
        <v>46.710510444528886</v>
      </c>
      <c r="CG101" s="6">
        <v>48.239913200436987</v>
      </c>
      <c r="CH101" s="6">
        <v>43.460529588224169</v>
      </c>
      <c r="CI101" s="6">
        <v>36.004691153172175</v>
      </c>
      <c r="CJ101" s="6">
        <v>316.26774617333172</v>
      </c>
      <c r="CK101" s="6">
        <v>34.8576390862411</v>
      </c>
      <c r="CL101" s="6">
        <v>44.798756999643757</v>
      </c>
      <c r="CM101" s="6">
        <v>46.901685789017399</v>
      </c>
      <c r="CN101" s="6">
        <v>63.151590070540976</v>
      </c>
      <c r="CO101" s="6">
        <v>53.975173535092367</v>
      </c>
      <c r="CP101" s="6">
        <v>52.859982751073744</v>
      </c>
      <c r="CQ101" s="6">
        <v>53.242333440050778</v>
      </c>
      <c r="CR101" s="6">
        <v>51.139404650677136</v>
      </c>
      <c r="CS101" s="6">
        <v>34.124798991199505</v>
      </c>
      <c r="CT101" s="6">
        <v>37.757130536481249</v>
      </c>
      <c r="CU101" s="6">
        <v>71.021640477482435</v>
      </c>
      <c r="CV101" s="6">
        <v>33.551272957733964</v>
      </c>
      <c r="CW101" s="6">
        <v>50.183527928234568</v>
      </c>
      <c r="CX101" s="6">
        <v>29.536590723475204</v>
      </c>
      <c r="CY101" s="6">
        <v>66.242256865269624</v>
      </c>
      <c r="CZ101" s="6">
        <v>53.242333440050771</v>
      </c>
      <c r="DA101" s="6">
        <v>58.40406774124061</v>
      </c>
      <c r="DB101" s="6">
        <v>51.139404650677136</v>
      </c>
      <c r="DC101" s="6">
        <v>46.742371727441345</v>
      </c>
      <c r="DD101" s="6">
        <v>42.15416345971704</v>
      </c>
      <c r="DE101" s="6">
        <v>50.565878617211602</v>
      </c>
      <c r="DF101" s="6">
        <v>27.210625306700596</v>
      </c>
      <c r="DG101" s="6">
        <v>63.304530346131777</v>
      </c>
      <c r="DH101" s="6">
        <v>56.23104260005681</v>
      </c>
      <c r="DI101" s="6">
        <v>71.71624550362634</v>
      </c>
      <c r="DJ101" s="6">
        <v>44.416406310666737</v>
      </c>
      <c r="DK101" s="6">
        <v>36.195866497660688</v>
      </c>
      <c r="DL101" s="6">
        <v>38.107619942545817</v>
      </c>
      <c r="DM101" s="6">
        <v>107.69544533636441</v>
      </c>
      <c r="DN101" s="6">
        <v>35.622340464195148</v>
      </c>
      <c r="DO101" s="6">
        <v>43.460529588224162</v>
      </c>
      <c r="DP101" s="6">
        <v>49.960491300833603</v>
      </c>
      <c r="DQ101" s="6">
        <v>41.357600798850534</v>
      </c>
      <c r="DR101" s="6">
        <v>35.048814430729614</v>
      </c>
      <c r="DS101" s="6">
        <v>223.93005478538012</v>
      </c>
      <c r="DT101" s="6">
        <v>49.004614578391035</v>
      </c>
      <c r="DU101" s="6">
        <v>25.872397895281008</v>
      </c>
      <c r="DV101" s="6">
        <v>51.489894056741697</v>
      </c>
      <c r="DW101" s="6">
        <v>37.534093909080276</v>
      </c>
      <c r="DX101" s="6">
        <v>35.431165119706634</v>
      </c>
      <c r="DY101" s="6">
        <v>98.136678111938778</v>
      </c>
      <c r="DZ101" s="6">
        <v>60.666310592190307</v>
      </c>
      <c r="EA101" s="6">
        <v>41.931126832316068</v>
      </c>
      <c r="EB101" s="6">
        <v>47.742857304766851</v>
      </c>
      <c r="EC101" s="6">
        <v>41.357600798850534</v>
      </c>
      <c r="ED101" s="6">
        <v>39.445847353965405</v>
      </c>
      <c r="EE101" s="6">
        <v>42.313477521293088</v>
      </c>
      <c r="EF101" s="6">
        <v>62.004538003609895</v>
      </c>
      <c r="EG101" s="6">
        <v>37.916444598057303</v>
      </c>
      <c r="EH101" s="6">
        <v>28.548852718120184</v>
      </c>
      <c r="EI101" s="6">
        <v>33.251766192537595</v>
      </c>
      <c r="EJ101" s="6">
        <v>36.002634106465479</v>
      </c>
      <c r="EK101" s="6">
        <v>38.143797964736819</v>
      </c>
      <c r="EL101" s="6">
        <v>174.79593420512566</v>
      </c>
      <c r="EM101" s="6">
        <v>65.061286468719402</v>
      </c>
      <c r="EN101" s="6">
        <v>103.10518002193342</v>
      </c>
      <c r="EO101" s="6">
        <v>43.458472541517473</v>
      </c>
      <c r="EP101" s="6">
        <v>43.267297197028959</v>
      </c>
      <c r="EQ101" s="6">
        <v>76.53180713803016</v>
      </c>
      <c r="ER101" s="6">
        <v>47.281979431287724</v>
      </c>
      <c r="ES101" s="6">
        <v>39.634965651747216</v>
      </c>
      <c r="ET101" s="6">
        <v>654.96380945095393</v>
      </c>
      <c r="EU101" s="6">
        <v>85.299069785609362</v>
      </c>
      <c r="EV101" s="6">
        <v>-487.77561244864944</v>
      </c>
      <c r="EW101" s="6">
        <v>36.002634106465479</v>
      </c>
      <c r="EX101" s="6">
        <v>36.3467497265448</v>
      </c>
      <c r="EY101" s="6">
        <v>40.782017718678297</v>
      </c>
      <c r="EZ101" s="6">
        <v>35.811458761976972</v>
      </c>
      <c r="FA101" s="6">
        <v>138.47261875230828</v>
      </c>
      <c r="FB101" s="6">
        <v>109.03161570107731</v>
      </c>
      <c r="FC101" s="6">
        <v>87.811152462852419</v>
      </c>
      <c r="FD101" s="6">
        <v>31.414425838741177</v>
      </c>
      <c r="FE101" s="6">
        <v>54.164291832874191</v>
      </c>
      <c r="FF101" s="6">
        <v>33.70852997260333</v>
      </c>
      <c r="FG101" s="6">
        <v>49.002557531684339</v>
      </c>
      <c r="FH101" s="6">
        <v>57.414272689178894</v>
      </c>
      <c r="FI101" s="6">
        <v>137.78171141955374</v>
      </c>
      <c r="FJ101" s="6">
        <v>29.502672393856052</v>
      </c>
      <c r="FK101" s="6">
        <v>36.46145493323791</v>
      </c>
      <c r="FL101" s="6">
        <v>52.864299490352288</v>
      </c>
      <c r="FM101" s="6">
        <v>82.84059350615108</v>
      </c>
      <c r="FN101" s="6">
        <v>37.723212206862094</v>
      </c>
      <c r="FO101" s="6">
        <v>32.274098157278168</v>
      </c>
      <c r="FP101" s="6">
        <v>37.932888354138136</v>
      </c>
      <c r="FQ101" s="6">
        <v>49.976935056914435</v>
      </c>
      <c r="FR101" s="6">
        <v>31.624101986017223</v>
      </c>
      <c r="FS101" s="6">
        <v>36.594660942718555</v>
      </c>
      <c r="FT101" s="6">
        <v>36.900541493900171</v>
      </c>
      <c r="FU101" s="6">
        <v>43.285797999816495</v>
      </c>
      <c r="FV101" s="6">
        <v>36.212310253741521</v>
      </c>
      <c r="FW101" s="6">
        <v>36.785836287207061</v>
      </c>
      <c r="FX101" s="6">
        <v>43.476973344305001</v>
      </c>
      <c r="FY101" s="6">
        <v>26.997658649395216</v>
      </c>
      <c r="FZ101" s="6">
        <v>36.403485598230041</v>
      </c>
      <c r="GA101" s="6">
        <v>34.491732153344905</v>
      </c>
      <c r="GB101" s="6">
        <v>26.844718373804405</v>
      </c>
      <c r="GC101" s="6">
        <v>145.37343195668225</v>
      </c>
      <c r="GD101" s="6">
        <v>46.382838580530397</v>
      </c>
      <c r="GE101" s="6">
        <v>35.25643353129896</v>
      </c>
      <c r="GF101" s="6">
        <v>94.788435805021805</v>
      </c>
      <c r="GG101" s="6">
        <v>28.947647163178047</v>
      </c>
      <c r="GH101" s="6">
        <v>36.747601218309363</v>
      </c>
      <c r="GI101" s="6">
        <v>52.423979466367392</v>
      </c>
      <c r="GJ101" s="6">
        <v>34.682907497833426</v>
      </c>
      <c r="GK101" s="6">
        <v>32.312333226175866</v>
      </c>
      <c r="GL101" s="6">
        <v>50.741636434868489</v>
      </c>
      <c r="GM101" s="6">
        <v>32.197628019482757</v>
      </c>
      <c r="GN101" s="6">
        <v>29.712348541132094</v>
      </c>
      <c r="GO101" s="6">
        <v>40.226992488000285</v>
      </c>
      <c r="GP101" s="6">
        <v>36.021134909253007</v>
      </c>
      <c r="GQ101" s="6">
        <v>37.168186976184082</v>
      </c>
      <c r="GR101" s="6">
        <v>35.179963393503556</v>
      </c>
      <c r="GS101" s="6">
        <v>39.271115765557724</v>
      </c>
      <c r="GT101" s="6">
        <v>53.911447145760562</v>
      </c>
      <c r="GU101" s="6">
        <v>48.55853750008221</v>
      </c>
      <c r="GV101" s="6">
        <v>41.676225098495756</v>
      </c>
      <c r="GW101" s="6">
        <v>15.294027559081011</v>
      </c>
      <c r="GX101" s="6">
        <v>50.470290944967331</v>
      </c>
      <c r="GY101" s="6">
        <v>113.17580393719948</v>
      </c>
      <c r="GZ101" s="6">
        <v>77.617189862336119</v>
      </c>
      <c r="HA101" s="6">
        <v>95.970022933233338</v>
      </c>
      <c r="HB101" s="6">
        <v>99.984705167492109</v>
      </c>
      <c r="HC101" s="6">
        <v>32.499808563047146</v>
      </c>
      <c r="HD101" s="6">
        <v>26.573372883903254</v>
      </c>
      <c r="HE101" s="6">
        <v>53.337921112295021</v>
      </c>
      <c r="HF101" s="6">
        <v>103.23468602379683</v>
      </c>
      <c r="HG101" s="6">
        <v>41.293874409518729</v>
      </c>
      <c r="HH101" s="6">
        <v>33</v>
      </c>
      <c r="HI101" s="6">
        <v>0</v>
      </c>
      <c r="HJ101" s="6">
        <v>0</v>
      </c>
      <c r="HK101" s="6">
        <v>0</v>
      </c>
      <c r="HL101" s="6">
        <v>0</v>
      </c>
      <c r="HM101" s="6">
        <v>0</v>
      </c>
      <c r="HN101" s="6">
        <v>0</v>
      </c>
      <c r="HO101" s="6">
        <v>0</v>
      </c>
      <c r="HP101" s="6">
        <v>0</v>
      </c>
      <c r="HQ101" s="6">
        <v>0</v>
      </c>
      <c r="HR101" s="6">
        <v>0</v>
      </c>
      <c r="HS101" s="6">
        <v>0</v>
      </c>
      <c r="HT101" s="6">
        <v>0</v>
      </c>
      <c r="HU101" s="6">
        <v>0</v>
      </c>
      <c r="HV101" s="6">
        <v>0</v>
      </c>
      <c r="HW101" s="198">
        <v>0</v>
      </c>
      <c r="HX101" s="63">
        <v>0</v>
      </c>
      <c r="HY101" s="28">
        <v>12265.175497215883</v>
      </c>
      <c r="HZ101" s="154"/>
      <c r="IA101" s="155">
        <v>58.685050225913315</v>
      </c>
      <c r="IB101" s="2">
        <v>83.528026278443903</v>
      </c>
      <c r="IC101" s="37">
        <v>80.400250427688604</v>
      </c>
      <c r="II101" t="s">
        <v>61</v>
      </c>
      <c r="JE101" t="s">
        <v>61</v>
      </c>
      <c r="JF101" s="6">
        <v>1086.2345787799024</v>
      </c>
      <c r="JG101" s="6">
        <v>1861.7456157409711</v>
      </c>
      <c r="JH101" s="6">
        <v>1346.0139832006057</v>
      </c>
      <c r="JI101" s="6">
        <v>1704.7730152596321</v>
      </c>
      <c r="JJ101" s="6">
        <v>1714.1546355863481</v>
      </c>
      <c r="JK101" s="6">
        <v>1864.120097739542</v>
      </c>
      <c r="JL101" s="6">
        <v>1501.7043180135129</v>
      </c>
      <c r="JM101" s="6">
        <v>1219.4292528953667</v>
      </c>
      <c r="JO101" s="6">
        <v>11078.746244320515</v>
      </c>
      <c r="JP101" s="6">
        <v>52.755934496764354</v>
      </c>
    </row>
    <row r="102" spans="1:284" outlineLevel="1">
      <c r="C102" t="s">
        <v>24</v>
      </c>
      <c r="D102" s="6">
        <v>0</v>
      </c>
      <c r="E102" s="6">
        <v>337.34</v>
      </c>
      <c r="F102" s="6">
        <v>0</v>
      </c>
      <c r="G102" s="6">
        <v>0</v>
      </c>
      <c r="H102" s="6">
        <v>0</v>
      </c>
      <c r="I102" s="6">
        <v>0</v>
      </c>
      <c r="J102" s="6">
        <v>0</v>
      </c>
      <c r="K102" s="6">
        <v>0</v>
      </c>
      <c r="L102" s="6">
        <v>24.852794783506642</v>
      </c>
      <c r="M102" s="6">
        <v>22.941041338621517</v>
      </c>
      <c r="N102" s="6">
        <v>0</v>
      </c>
      <c r="O102" s="6">
        <v>0</v>
      </c>
      <c r="P102" s="6">
        <v>0</v>
      </c>
      <c r="Q102" s="6">
        <v>0</v>
      </c>
      <c r="R102" s="6">
        <v>9.5587672244256314</v>
      </c>
      <c r="S102" s="6">
        <v>0</v>
      </c>
      <c r="T102" s="6">
        <v>1.9117534448851263</v>
      </c>
      <c r="U102" s="6">
        <v>1.9117534448851263</v>
      </c>
      <c r="V102" s="6">
        <v>30.588055118162021</v>
      </c>
      <c r="W102" s="6">
        <v>0</v>
      </c>
      <c r="X102" s="6">
        <v>0</v>
      </c>
      <c r="Y102" s="6">
        <v>5.7352603346553792</v>
      </c>
      <c r="Z102" s="6">
        <v>0</v>
      </c>
      <c r="AA102" s="6">
        <v>7.6470137795405053</v>
      </c>
      <c r="AB102" s="6">
        <v>0</v>
      </c>
      <c r="AC102" s="6">
        <v>0</v>
      </c>
      <c r="AD102" s="6">
        <v>0</v>
      </c>
      <c r="AE102" s="6">
        <v>11.470520669310758</v>
      </c>
      <c r="AF102" s="6">
        <v>0</v>
      </c>
      <c r="AG102" s="6">
        <v>10.323468602379682</v>
      </c>
      <c r="AH102" s="6">
        <v>4.2058575787472785</v>
      </c>
      <c r="AI102" s="6">
        <v>0</v>
      </c>
      <c r="AJ102" s="6">
        <v>0</v>
      </c>
      <c r="AK102" s="6">
        <v>0</v>
      </c>
      <c r="AL102" s="6">
        <v>0</v>
      </c>
      <c r="AM102" s="6">
        <v>0</v>
      </c>
      <c r="AN102" s="6">
        <v>0</v>
      </c>
      <c r="AO102" s="6">
        <v>0</v>
      </c>
      <c r="AP102" s="6">
        <v>4.588208267724303</v>
      </c>
      <c r="AQ102" s="6">
        <v>0</v>
      </c>
      <c r="AR102" s="6">
        <v>0</v>
      </c>
      <c r="AS102" s="6">
        <v>0</v>
      </c>
      <c r="AT102" s="6">
        <v>0</v>
      </c>
      <c r="AU102" s="6">
        <v>0</v>
      </c>
      <c r="AV102" s="6">
        <v>0</v>
      </c>
      <c r="AW102" s="6">
        <v>0</v>
      </c>
      <c r="AX102" s="6">
        <v>0</v>
      </c>
      <c r="AY102" s="6">
        <v>0</v>
      </c>
      <c r="AZ102" s="6">
        <v>0</v>
      </c>
      <c r="BA102" s="6">
        <v>0</v>
      </c>
      <c r="BB102" s="6">
        <v>0</v>
      </c>
      <c r="BC102" s="6">
        <v>0</v>
      </c>
      <c r="BD102" s="6">
        <v>0</v>
      </c>
      <c r="BE102" s="6">
        <v>0</v>
      </c>
      <c r="BF102" s="6">
        <v>0</v>
      </c>
      <c r="BG102" s="6">
        <v>0</v>
      </c>
      <c r="BH102" s="6">
        <v>0</v>
      </c>
      <c r="BI102" s="6">
        <v>7.6470137795405053</v>
      </c>
      <c r="BJ102" s="6">
        <v>5.7352603346553792</v>
      </c>
      <c r="BK102" s="6">
        <v>0</v>
      </c>
      <c r="BL102" s="6">
        <v>0</v>
      </c>
      <c r="BM102" s="6">
        <v>0</v>
      </c>
      <c r="BN102" s="6">
        <v>0</v>
      </c>
      <c r="BO102" s="6">
        <v>0</v>
      </c>
      <c r="BP102" s="6">
        <v>0</v>
      </c>
      <c r="BQ102" s="6">
        <v>0</v>
      </c>
      <c r="BR102" s="6">
        <v>0</v>
      </c>
      <c r="BS102" s="6">
        <v>0</v>
      </c>
      <c r="BT102" s="6">
        <v>0</v>
      </c>
      <c r="BU102" s="6">
        <v>0</v>
      </c>
      <c r="BV102" s="6">
        <v>0</v>
      </c>
      <c r="BW102" s="6">
        <v>0</v>
      </c>
      <c r="BX102" s="6">
        <v>0</v>
      </c>
      <c r="BY102" s="6">
        <v>0</v>
      </c>
      <c r="BZ102" s="6">
        <v>14.529326181126962</v>
      </c>
      <c r="CA102" s="6">
        <v>0</v>
      </c>
      <c r="CB102" s="6">
        <v>0</v>
      </c>
      <c r="CC102" s="6">
        <v>0</v>
      </c>
      <c r="CD102" s="6">
        <v>0</v>
      </c>
      <c r="CE102" s="6">
        <v>0</v>
      </c>
      <c r="CF102" s="6">
        <v>0</v>
      </c>
      <c r="CG102" s="6">
        <v>4.588208267724303</v>
      </c>
      <c r="CH102" s="6">
        <v>0</v>
      </c>
      <c r="CI102" s="6">
        <v>107.05819291356708</v>
      </c>
      <c r="CJ102" s="6">
        <v>0</v>
      </c>
      <c r="CK102" s="6">
        <v>0</v>
      </c>
      <c r="CL102" s="6">
        <v>0</v>
      </c>
      <c r="CM102" s="6">
        <v>0</v>
      </c>
      <c r="CN102" s="6">
        <v>0</v>
      </c>
      <c r="CO102" s="6">
        <v>0</v>
      </c>
      <c r="CP102" s="6">
        <v>0</v>
      </c>
      <c r="CQ102" s="6">
        <v>0</v>
      </c>
      <c r="CR102" s="6">
        <v>0</v>
      </c>
      <c r="CS102" s="6">
        <v>0</v>
      </c>
      <c r="CT102" s="6">
        <v>0</v>
      </c>
      <c r="CU102" s="6">
        <v>0</v>
      </c>
      <c r="CV102" s="6">
        <v>0</v>
      </c>
      <c r="CW102" s="6">
        <v>0</v>
      </c>
      <c r="CX102" s="6">
        <v>0</v>
      </c>
      <c r="CY102" s="6">
        <v>0</v>
      </c>
      <c r="CZ102" s="6">
        <v>0</v>
      </c>
      <c r="DA102" s="6">
        <v>0</v>
      </c>
      <c r="DB102" s="6">
        <v>0</v>
      </c>
      <c r="DC102" s="6">
        <v>0</v>
      </c>
      <c r="DD102" s="6">
        <v>0</v>
      </c>
      <c r="DE102" s="6">
        <v>22.941041338621517</v>
      </c>
      <c r="DF102" s="6">
        <v>0</v>
      </c>
      <c r="DG102" s="6">
        <v>0</v>
      </c>
      <c r="DH102" s="6">
        <v>0</v>
      </c>
      <c r="DI102" s="6">
        <v>0</v>
      </c>
      <c r="DJ102" s="6">
        <v>0</v>
      </c>
      <c r="DK102" s="6">
        <v>0</v>
      </c>
      <c r="DL102" s="6">
        <v>0</v>
      </c>
      <c r="DM102" s="6">
        <v>0</v>
      </c>
      <c r="DN102" s="6">
        <v>24.852794783506642</v>
      </c>
      <c r="DO102" s="6">
        <v>0</v>
      </c>
      <c r="DP102" s="6">
        <v>0</v>
      </c>
      <c r="DQ102" s="6">
        <v>0</v>
      </c>
      <c r="DR102" s="6">
        <v>0</v>
      </c>
      <c r="DS102" s="6">
        <v>0</v>
      </c>
      <c r="DT102" s="6">
        <v>0</v>
      </c>
      <c r="DU102" s="6">
        <v>0</v>
      </c>
      <c r="DV102" s="6">
        <v>0</v>
      </c>
      <c r="DW102" s="6">
        <v>11.470520669310758</v>
      </c>
      <c r="DX102" s="6">
        <v>0</v>
      </c>
      <c r="DY102" s="6">
        <v>0</v>
      </c>
      <c r="DZ102" s="6">
        <v>0</v>
      </c>
      <c r="EA102" s="6">
        <v>0</v>
      </c>
      <c r="EB102" s="6">
        <v>0</v>
      </c>
      <c r="EC102" s="6">
        <v>0</v>
      </c>
      <c r="ED102" s="6">
        <v>0</v>
      </c>
      <c r="EE102" s="6">
        <v>0</v>
      </c>
      <c r="EF102" s="6">
        <v>0</v>
      </c>
      <c r="EG102" s="6">
        <v>0</v>
      </c>
      <c r="EH102" s="6">
        <v>0</v>
      </c>
      <c r="EI102" s="6">
        <v>0</v>
      </c>
      <c r="EJ102" s="6">
        <v>0</v>
      </c>
      <c r="EK102" s="6">
        <v>0</v>
      </c>
      <c r="EL102" s="6">
        <v>0</v>
      </c>
      <c r="EM102" s="6">
        <v>0</v>
      </c>
      <c r="EN102" s="6">
        <v>0</v>
      </c>
      <c r="EO102" s="6">
        <v>0</v>
      </c>
      <c r="EP102" s="6">
        <v>0</v>
      </c>
      <c r="EQ102" s="6">
        <v>0</v>
      </c>
      <c r="ER102" s="6">
        <v>0</v>
      </c>
      <c r="ES102" s="6">
        <v>0</v>
      </c>
      <c r="ET102" s="6">
        <v>107.05819291356708</v>
      </c>
      <c r="EU102" s="6">
        <v>0</v>
      </c>
      <c r="EV102" s="6">
        <v>0</v>
      </c>
      <c r="EW102" s="6">
        <v>32.499808563047154</v>
      </c>
      <c r="EX102" s="6">
        <v>0</v>
      </c>
      <c r="EY102" s="6">
        <v>0</v>
      </c>
      <c r="EZ102" s="6">
        <v>0</v>
      </c>
      <c r="FA102" s="6">
        <v>0</v>
      </c>
      <c r="FB102" s="6">
        <v>0</v>
      </c>
      <c r="FC102" s="6">
        <v>0</v>
      </c>
      <c r="FD102" s="6">
        <v>0</v>
      </c>
      <c r="FE102" s="6">
        <v>68.823124015864551</v>
      </c>
      <c r="FF102" s="6">
        <v>0</v>
      </c>
      <c r="FG102" s="6">
        <v>0</v>
      </c>
      <c r="FH102" s="6">
        <v>0</v>
      </c>
      <c r="FI102" s="6">
        <v>0</v>
      </c>
      <c r="FJ102" s="6">
        <v>0</v>
      </c>
      <c r="FK102" s="6">
        <v>26.191022194926234</v>
      </c>
      <c r="FL102" s="6">
        <v>0</v>
      </c>
      <c r="FM102" s="6">
        <v>37.852718208725506</v>
      </c>
      <c r="FN102" s="6">
        <v>0</v>
      </c>
      <c r="FO102" s="6">
        <v>22.941041338621517</v>
      </c>
      <c r="FP102" s="6">
        <v>0</v>
      </c>
      <c r="FQ102" s="6">
        <v>0</v>
      </c>
      <c r="FR102" s="6">
        <v>0</v>
      </c>
      <c r="FS102" s="6">
        <v>0</v>
      </c>
      <c r="FT102" s="6">
        <v>0</v>
      </c>
      <c r="FU102" s="6">
        <v>0</v>
      </c>
      <c r="FV102" s="6">
        <v>0</v>
      </c>
      <c r="FW102" s="6">
        <v>0</v>
      </c>
      <c r="FX102" s="6">
        <v>0</v>
      </c>
      <c r="FY102" s="6">
        <v>0</v>
      </c>
      <c r="FZ102" s="6">
        <v>19.117534448851263</v>
      </c>
      <c r="GA102" s="6">
        <v>0</v>
      </c>
      <c r="GB102" s="6">
        <v>0</v>
      </c>
      <c r="GC102" s="6">
        <v>0</v>
      </c>
      <c r="GD102" s="6">
        <v>0</v>
      </c>
      <c r="GE102" s="6">
        <v>0</v>
      </c>
      <c r="GF102" s="6">
        <v>0</v>
      </c>
      <c r="GG102" s="6">
        <v>0</v>
      </c>
      <c r="GH102" s="6">
        <v>0</v>
      </c>
      <c r="GI102" s="6">
        <v>0</v>
      </c>
      <c r="GJ102" s="6">
        <v>0</v>
      </c>
      <c r="GK102" s="6">
        <v>0</v>
      </c>
      <c r="GL102" s="6">
        <v>0</v>
      </c>
      <c r="GM102" s="6">
        <v>0</v>
      </c>
      <c r="GN102" s="6">
        <v>95.587672244256325</v>
      </c>
      <c r="GO102" s="6">
        <v>0</v>
      </c>
      <c r="GP102" s="6">
        <v>0</v>
      </c>
      <c r="GQ102" s="6">
        <v>0</v>
      </c>
      <c r="GR102" s="6">
        <v>0</v>
      </c>
      <c r="GS102" s="6">
        <v>0</v>
      </c>
      <c r="GT102" s="6">
        <v>0</v>
      </c>
      <c r="GU102" s="6">
        <v>0</v>
      </c>
      <c r="GV102" s="6">
        <v>19.117534448851263</v>
      </c>
      <c r="GW102" s="6">
        <v>0</v>
      </c>
      <c r="GX102" s="6">
        <v>0</v>
      </c>
      <c r="GY102" s="6">
        <v>0</v>
      </c>
      <c r="GZ102" s="6">
        <v>0</v>
      </c>
      <c r="HA102" s="6">
        <v>0</v>
      </c>
      <c r="HB102" s="6">
        <v>6.1176110236324046</v>
      </c>
      <c r="HC102" s="6">
        <v>0</v>
      </c>
      <c r="HD102" s="6">
        <v>0</v>
      </c>
      <c r="HE102" s="6">
        <v>72.073104872169267</v>
      </c>
      <c r="HF102" s="6">
        <v>47.870306259923566</v>
      </c>
      <c r="HG102" s="6">
        <v>22.941041338621517</v>
      </c>
      <c r="HH102" s="6">
        <v>0</v>
      </c>
      <c r="HI102" s="6">
        <v>0</v>
      </c>
      <c r="HJ102" s="6">
        <v>0</v>
      </c>
      <c r="HK102" s="6">
        <v>0</v>
      </c>
      <c r="HL102" s="6">
        <v>0</v>
      </c>
      <c r="HM102" s="6">
        <v>0</v>
      </c>
      <c r="HN102" s="6">
        <v>0</v>
      </c>
      <c r="HO102" s="6">
        <v>0</v>
      </c>
      <c r="HP102" s="6">
        <v>0</v>
      </c>
      <c r="HQ102" s="6">
        <v>0</v>
      </c>
      <c r="HR102" s="6">
        <v>0</v>
      </c>
      <c r="HS102" s="6">
        <v>0</v>
      </c>
      <c r="HT102" s="6">
        <v>0</v>
      </c>
      <c r="HU102" s="6">
        <v>0</v>
      </c>
      <c r="HV102" s="6">
        <v>0</v>
      </c>
      <c r="HW102" s="198">
        <v>0</v>
      </c>
      <c r="HX102" s="63">
        <v>0</v>
      </c>
      <c r="HY102" s="28">
        <v>1250.0875647259547</v>
      </c>
      <c r="HZ102" s="154"/>
      <c r="IA102" s="155">
        <v>5.9812802139997832</v>
      </c>
      <c r="IB102" s="2">
        <v>16.264086113559344</v>
      </c>
      <c r="IC102" s="37">
        <v>21.242819255221089</v>
      </c>
      <c r="II102" t="s">
        <v>24</v>
      </c>
      <c r="JE102" t="s">
        <v>24</v>
      </c>
      <c r="JF102" s="6">
        <v>337.34</v>
      </c>
      <c r="JG102" s="6">
        <v>131.14628631911967</v>
      </c>
      <c r="JH102" s="6">
        <v>17.970482381920188</v>
      </c>
      <c r="JI102" s="6">
        <v>126.17572736241834</v>
      </c>
      <c r="JJ102" s="6">
        <v>59.264356791438914</v>
      </c>
      <c r="JK102" s="6">
        <v>208.38112549247879</v>
      </c>
      <c r="JL102" s="6">
        <v>106.10231619112452</v>
      </c>
      <c r="JM102" s="6">
        <v>263.70727018745436</v>
      </c>
      <c r="JO102" s="6">
        <v>986.38029453850027</v>
      </c>
      <c r="JP102" s="6">
        <v>4.6970490216119059</v>
      </c>
    </row>
    <row r="103" spans="1:284" outlineLevel="1">
      <c r="C103" s="9" t="s">
        <v>14</v>
      </c>
      <c r="D103" s="28">
        <v>0</v>
      </c>
      <c r="E103" s="28">
        <v>1276.8283843505199</v>
      </c>
      <c r="F103" s="28">
        <v>81.861282509981109</v>
      </c>
      <c r="G103" s="28">
        <v>34.067446387852947</v>
      </c>
      <c r="H103" s="28">
        <v>30.81746553154824</v>
      </c>
      <c r="I103" s="28">
        <v>29.670413464617162</v>
      </c>
      <c r="J103" s="28">
        <v>35.596849143761048</v>
      </c>
      <c r="K103" s="28">
        <v>49.170298602445456</v>
      </c>
      <c r="L103" s="28">
        <v>62.934923405618363</v>
      </c>
      <c r="M103" s="28">
        <v>53.643801663476644</v>
      </c>
      <c r="N103" s="28">
        <v>30.817465531548237</v>
      </c>
      <c r="O103" s="28">
        <v>27.37630933075501</v>
      </c>
      <c r="P103" s="28">
        <v>52.726160009931789</v>
      </c>
      <c r="Q103" s="28">
        <v>114.36109107302826</v>
      </c>
      <c r="R103" s="28">
        <v>40.720348376053195</v>
      </c>
      <c r="S103" s="28">
        <v>58.537890482382565</v>
      </c>
      <c r="T103" s="28">
        <v>44.008564301255618</v>
      </c>
      <c r="U103" s="28">
        <v>51.082052047330578</v>
      </c>
      <c r="V103" s="28">
        <v>54.714383592612315</v>
      </c>
      <c r="W103" s="28">
        <v>16.249904281523577</v>
      </c>
      <c r="X103" s="28">
        <v>288.72696392753079</v>
      </c>
      <c r="Y103" s="28">
        <v>122.40441422252478</v>
      </c>
      <c r="Z103" s="28">
        <v>102.71335374020798</v>
      </c>
      <c r="AA103" s="28">
        <v>65.955493848536847</v>
      </c>
      <c r="AB103" s="28">
        <v>91.38181466550904</v>
      </c>
      <c r="AC103" s="28">
        <v>28.102775639811359</v>
      </c>
      <c r="AD103" s="28">
        <v>54.102622490249075</v>
      </c>
      <c r="AE103" s="28">
        <v>43.205627854403858</v>
      </c>
      <c r="AF103" s="28">
        <v>82.778924163525971</v>
      </c>
      <c r="AG103" s="28">
        <v>53.720271801272048</v>
      </c>
      <c r="AH103" s="28">
        <v>48.367362155593696</v>
      </c>
      <c r="AI103" s="28">
        <v>32.117457874070126</v>
      </c>
      <c r="AJ103" s="28">
        <v>48.94088818905923</v>
      </c>
      <c r="AK103" s="28">
        <v>42.82327716542683</v>
      </c>
      <c r="AL103" s="28">
        <v>47.029134744174115</v>
      </c>
      <c r="AM103" s="28">
        <v>118.91106427185487</v>
      </c>
      <c r="AN103" s="28">
        <v>29.82335374020797</v>
      </c>
      <c r="AO103" s="28">
        <v>48.749712844570723</v>
      </c>
      <c r="AP103" s="28">
        <v>27.146898917368794</v>
      </c>
      <c r="AQ103" s="28">
        <v>61.176110236324043</v>
      </c>
      <c r="AR103" s="28">
        <v>31.735107185093099</v>
      </c>
      <c r="AS103" s="28">
        <v>54.179092628044486</v>
      </c>
      <c r="AT103" s="28">
        <v>42.82327716542683</v>
      </c>
      <c r="AU103" s="28">
        <v>53.146745767806522</v>
      </c>
      <c r="AV103" s="28">
        <v>47.029134744174108</v>
      </c>
      <c r="AW103" s="28">
        <v>33.742448302222485</v>
      </c>
      <c r="AX103" s="28">
        <v>43.301215526648114</v>
      </c>
      <c r="AY103" s="28">
        <v>38.139481225458269</v>
      </c>
      <c r="AZ103" s="28">
        <v>37.948305880969755</v>
      </c>
      <c r="BA103" s="28">
        <v>29.727766067963717</v>
      </c>
      <c r="BB103" s="28">
        <v>41.771812770740013</v>
      </c>
      <c r="BC103" s="28">
        <v>33.551272957733971</v>
      </c>
      <c r="BD103" s="28">
        <v>30.683642790406282</v>
      </c>
      <c r="BE103" s="28">
        <v>40.242410014831911</v>
      </c>
      <c r="BF103" s="28">
        <v>35.080675713642066</v>
      </c>
      <c r="BG103" s="28">
        <v>19.710178016765653</v>
      </c>
      <c r="BH103" s="28">
        <v>44.257092249090675</v>
      </c>
      <c r="BI103" s="28">
        <v>35.654201747107606</v>
      </c>
      <c r="BJ103" s="28">
        <v>54.962911540447386</v>
      </c>
      <c r="BK103" s="28">
        <v>38.521831914435296</v>
      </c>
      <c r="BL103" s="28">
        <v>52.668807406585231</v>
      </c>
      <c r="BM103" s="28">
        <v>42.874129807060775</v>
      </c>
      <c r="BN103" s="28">
        <v>87.953276037452056</v>
      </c>
      <c r="BO103" s="28">
        <v>42.759424600367666</v>
      </c>
      <c r="BP103" s="28">
        <v>57.671101470471655</v>
      </c>
      <c r="BQ103" s="28">
        <v>126.95304631310863</v>
      </c>
      <c r="BR103" s="28">
        <v>35.685936854292699</v>
      </c>
      <c r="BS103" s="28">
        <v>33.774183409407577</v>
      </c>
      <c r="BT103" s="28">
        <v>45.244704078718328</v>
      </c>
      <c r="BU103" s="28">
        <v>33.583008064919063</v>
      </c>
      <c r="BV103" s="28">
        <v>30.333027208614347</v>
      </c>
      <c r="BW103" s="28">
        <v>30.715377897591374</v>
      </c>
      <c r="BX103" s="28">
        <v>34.538884787361624</v>
      </c>
      <c r="BY103" s="28">
        <v>27.274221696798143</v>
      </c>
      <c r="BZ103" s="28">
        <v>78.891564708696563</v>
      </c>
      <c r="CA103" s="28">
        <v>55.759348025586533</v>
      </c>
      <c r="CB103" s="28">
        <v>41.16642545436202</v>
      </c>
      <c r="CC103" s="28">
        <v>29.122378751585721</v>
      </c>
      <c r="CD103" s="28">
        <v>72.901532639455127</v>
      </c>
      <c r="CE103" s="28">
        <v>135.79822097617577</v>
      </c>
      <c r="CF103" s="28">
        <v>46.710510444528886</v>
      </c>
      <c r="CG103" s="28">
        <v>52.828121468161292</v>
      </c>
      <c r="CH103" s="28">
        <v>43.460529588224169</v>
      </c>
      <c r="CI103" s="28">
        <v>143.06288406673926</v>
      </c>
      <c r="CJ103" s="28">
        <v>316.26774617333172</v>
      </c>
      <c r="CK103" s="28">
        <v>34.8576390862411</v>
      </c>
      <c r="CL103" s="28">
        <v>44.798756999643757</v>
      </c>
      <c r="CM103" s="28">
        <v>46.901685789017399</v>
      </c>
      <c r="CN103" s="28">
        <v>63.151590070540976</v>
      </c>
      <c r="CO103" s="28">
        <v>53.975173535092367</v>
      </c>
      <c r="CP103" s="28">
        <v>52.859982751073744</v>
      </c>
      <c r="CQ103" s="28">
        <v>53.242333440050778</v>
      </c>
      <c r="CR103" s="28">
        <v>51.139404650677136</v>
      </c>
      <c r="CS103" s="28">
        <v>34.124798991199505</v>
      </c>
      <c r="CT103" s="28">
        <v>37.757130536481249</v>
      </c>
      <c r="CU103" s="28">
        <v>71.021640477482435</v>
      </c>
      <c r="CV103" s="28">
        <v>33.551272957733964</v>
      </c>
      <c r="CW103" s="28">
        <v>50.183527928234568</v>
      </c>
      <c r="CX103" s="28">
        <v>29.536590723475204</v>
      </c>
      <c r="CY103" s="28">
        <v>66.242256865269624</v>
      </c>
      <c r="CZ103" s="28">
        <v>53.242333440050771</v>
      </c>
      <c r="DA103" s="28">
        <v>58.40406774124061</v>
      </c>
      <c r="DB103" s="28">
        <v>51.139404650677136</v>
      </c>
      <c r="DC103" s="28">
        <v>46.742371727441345</v>
      </c>
      <c r="DD103" s="28">
        <v>42.15416345971704</v>
      </c>
      <c r="DE103" s="28">
        <v>73.506919955833126</v>
      </c>
      <c r="DF103" s="28">
        <v>27.210625306700596</v>
      </c>
      <c r="DG103" s="28">
        <v>63.304530346131777</v>
      </c>
      <c r="DH103" s="28">
        <v>56.23104260005681</v>
      </c>
      <c r="DI103" s="28">
        <v>71.71624550362634</v>
      </c>
      <c r="DJ103" s="28">
        <v>44.416406310666737</v>
      </c>
      <c r="DK103" s="28">
        <v>36.195866497660688</v>
      </c>
      <c r="DL103" s="28">
        <v>38.107619942545817</v>
      </c>
      <c r="DM103" s="28">
        <v>107.69544533636441</v>
      </c>
      <c r="DN103" s="28">
        <v>60.475135247701786</v>
      </c>
      <c r="DO103" s="28">
        <v>43.460529588224162</v>
      </c>
      <c r="DP103" s="28">
        <v>49.960491300833603</v>
      </c>
      <c r="DQ103" s="28">
        <v>41.357600798850534</v>
      </c>
      <c r="DR103" s="28">
        <v>35.048814430729614</v>
      </c>
      <c r="DS103" s="28">
        <v>223.93005478538012</v>
      </c>
      <c r="DT103" s="28">
        <v>49.004614578391035</v>
      </c>
      <c r="DU103" s="28">
        <v>25.872397895281008</v>
      </c>
      <c r="DV103" s="28">
        <v>51.489894056741697</v>
      </c>
      <c r="DW103" s="28">
        <v>49.004614578391035</v>
      </c>
      <c r="DX103" s="28">
        <v>35.431165119706634</v>
      </c>
      <c r="DY103" s="28">
        <v>98.136678111938778</v>
      </c>
      <c r="DZ103" s="28">
        <v>60.666310592190307</v>
      </c>
      <c r="EA103" s="28">
        <v>41.931126832316068</v>
      </c>
      <c r="EB103" s="28">
        <v>47.742857304766851</v>
      </c>
      <c r="EC103" s="28">
        <v>41.357600798850534</v>
      </c>
      <c r="ED103" s="28">
        <v>39.445847353965405</v>
      </c>
      <c r="EE103" s="28">
        <v>42.313477521293088</v>
      </c>
      <c r="EF103" s="28">
        <v>62.004538003609895</v>
      </c>
      <c r="EG103" s="28">
        <v>37.916444598057303</v>
      </c>
      <c r="EH103" s="28">
        <v>28.548852718120184</v>
      </c>
      <c r="EI103" s="28">
        <v>33.251766192537595</v>
      </c>
      <c r="EJ103" s="28">
        <v>36.002634106465479</v>
      </c>
      <c r="EK103" s="28">
        <v>38.143797964736819</v>
      </c>
      <c r="EL103" s="28">
        <v>174.79593420512566</v>
      </c>
      <c r="EM103" s="28">
        <v>65.061286468719402</v>
      </c>
      <c r="EN103" s="28">
        <v>103.10518002193342</v>
      </c>
      <c r="EO103" s="28">
        <v>43.458472541517473</v>
      </c>
      <c r="EP103" s="28">
        <v>43.267297197028959</v>
      </c>
      <c r="EQ103" s="28">
        <v>76.53180713803016</v>
      </c>
      <c r="ER103" s="28">
        <v>47.281979431287724</v>
      </c>
      <c r="ES103" s="28">
        <v>39.634965651747216</v>
      </c>
      <c r="ET103" s="28">
        <v>762.02200236452097</v>
      </c>
      <c r="EU103" s="28">
        <v>85.299069785609362</v>
      </c>
      <c r="EV103" s="28">
        <v>-487.77561244864944</v>
      </c>
      <c r="EW103" s="28">
        <v>68.502442669512632</v>
      </c>
      <c r="EX103" s="28">
        <v>36.3467497265448</v>
      </c>
      <c r="EY103" s="28">
        <v>40.782017718678297</v>
      </c>
      <c r="EZ103" s="28">
        <v>35.811458761976972</v>
      </c>
      <c r="FA103" s="28">
        <v>138.47261875230828</v>
      </c>
      <c r="FB103" s="28">
        <v>109.03161570107731</v>
      </c>
      <c r="FC103" s="28">
        <v>87.811152462852419</v>
      </c>
      <c r="FD103" s="28">
        <v>31.414425838741177</v>
      </c>
      <c r="FE103" s="28">
        <v>122.98741584873875</v>
      </c>
      <c r="FF103" s="28">
        <v>33.70852997260333</v>
      </c>
      <c r="FG103" s="28">
        <v>49.002557531684339</v>
      </c>
      <c r="FH103" s="28">
        <v>57.414272689178894</v>
      </c>
      <c r="FI103" s="28">
        <v>137.78171141955374</v>
      </c>
      <c r="FJ103" s="28">
        <v>29.502672393856052</v>
      </c>
      <c r="FK103" s="28">
        <v>62.652477128164143</v>
      </c>
      <c r="FL103" s="28">
        <v>52.864299490352288</v>
      </c>
      <c r="FM103" s="28">
        <v>120.69331171487659</v>
      </c>
      <c r="FN103" s="28">
        <v>37.723212206862094</v>
      </c>
      <c r="FO103" s="28">
        <v>55.215139495899685</v>
      </c>
      <c r="FP103" s="28">
        <v>37.932888354138136</v>
      </c>
      <c r="FQ103" s="28">
        <v>49.976935056914435</v>
      </c>
      <c r="FR103" s="28">
        <v>31.624101986017223</v>
      </c>
      <c r="FS103" s="28">
        <v>36.594660942718555</v>
      </c>
      <c r="FT103" s="28">
        <v>36.900541493900171</v>
      </c>
      <c r="FU103" s="28">
        <v>43.285797999816495</v>
      </c>
      <c r="FV103" s="28">
        <v>36.212310253741521</v>
      </c>
      <c r="FW103" s="28">
        <v>36.785836287207061</v>
      </c>
      <c r="FX103" s="28">
        <v>43.476973344305001</v>
      </c>
      <c r="FY103" s="28">
        <v>26.997658649395216</v>
      </c>
      <c r="FZ103" s="28">
        <v>55.521020047081308</v>
      </c>
      <c r="GA103" s="28">
        <v>34.491732153344905</v>
      </c>
      <c r="GB103" s="28">
        <v>26.844718373804405</v>
      </c>
      <c r="GC103" s="28">
        <v>145.37343195668225</v>
      </c>
      <c r="GD103" s="28">
        <v>46.382838580530397</v>
      </c>
      <c r="GE103" s="28">
        <v>35.25643353129896</v>
      </c>
      <c r="GF103" s="28">
        <v>94.788435805021805</v>
      </c>
      <c r="GG103" s="28">
        <v>28.947647163178047</v>
      </c>
      <c r="GH103" s="28">
        <v>36.747601218309363</v>
      </c>
      <c r="GI103" s="28">
        <v>52.423979466367392</v>
      </c>
      <c r="GJ103" s="28">
        <v>34.682907497833426</v>
      </c>
      <c r="GK103" s="28">
        <v>32.312333226175866</v>
      </c>
      <c r="GL103" s="28">
        <v>50.741636434868489</v>
      </c>
      <c r="GM103" s="28">
        <v>32.197628019482757</v>
      </c>
      <c r="GN103" s="28">
        <v>125.30002078538843</v>
      </c>
      <c r="GO103" s="28">
        <v>40.226992488000285</v>
      </c>
      <c r="GP103" s="28">
        <v>36.021134909253007</v>
      </c>
      <c r="GQ103" s="28">
        <v>37.168186976184082</v>
      </c>
      <c r="GR103" s="28">
        <v>35.179963393503556</v>
      </c>
      <c r="GS103" s="28">
        <v>39.271115765557724</v>
      </c>
      <c r="GT103" s="28">
        <v>53.911447145760562</v>
      </c>
      <c r="GU103" s="28">
        <v>48.55853750008221</v>
      </c>
      <c r="GV103" s="28">
        <v>60.793759547347022</v>
      </c>
      <c r="GW103" s="28">
        <v>15.294027559081011</v>
      </c>
      <c r="GX103" s="28">
        <v>50.470290944967331</v>
      </c>
      <c r="GY103" s="28">
        <v>113.17580393719948</v>
      </c>
      <c r="GZ103" s="28">
        <v>77.617189862336119</v>
      </c>
      <c r="HA103" s="28">
        <v>95.970022933233338</v>
      </c>
      <c r="HB103" s="28">
        <v>106.10231619112452</v>
      </c>
      <c r="HC103" s="28">
        <v>32.499808563047146</v>
      </c>
      <c r="HD103" s="28">
        <v>26.573372883903254</v>
      </c>
      <c r="HE103" s="28">
        <v>125.41102598446429</v>
      </c>
      <c r="HF103" s="28">
        <v>151.10499228372038</v>
      </c>
      <c r="HG103" s="28">
        <v>64.234915748140253</v>
      </c>
      <c r="HH103" s="28">
        <v>33</v>
      </c>
      <c r="HI103" s="28">
        <v>0</v>
      </c>
      <c r="HJ103" s="28">
        <v>0</v>
      </c>
      <c r="HK103" s="28">
        <v>0</v>
      </c>
      <c r="HL103" s="28">
        <v>0</v>
      </c>
      <c r="HM103" s="28">
        <v>0</v>
      </c>
      <c r="HN103" s="28">
        <v>0</v>
      </c>
      <c r="HO103" s="28">
        <v>0</v>
      </c>
      <c r="HP103" s="28">
        <v>0</v>
      </c>
      <c r="HQ103" s="28">
        <v>0</v>
      </c>
      <c r="HR103" s="28">
        <v>0</v>
      </c>
      <c r="HS103" s="28">
        <v>0</v>
      </c>
      <c r="HT103" s="28">
        <v>0</v>
      </c>
      <c r="HU103" s="28">
        <v>0</v>
      </c>
      <c r="HV103" s="28">
        <v>0</v>
      </c>
      <c r="HW103" s="200">
        <v>0</v>
      </c>
      <c r="HX103" s="184">
        <v>0</v>
      </c>
      <c r="HY103" s="28">
        <v>13515.263061941838</v>
      </c>
      <c r="HZ103" s="154"/>
      <c r="IA103" s="155">
        <v>64.666330439913096</v>
      </c>
      <c r="IB103" s="2">
        <v>99.792112392003233</v>
      </c>
      <c r="IC103" s="38">
        <v>101.6430696829097</v>
      </c>
      <c r="II103" s="9" t="s">
        <v>14</v>
      </c>
      <c r="JE103" s="9" t="s">
        <v>14</v>
      </c>
      <c r="JF103" s="28">
        <v>1423.5745787799021</v>
      </c>
      <c r="JG103" s="28">
        <v>1992.8919020600906</v>
      </c>
      <c r="JH103" s="28">
        <v>1363.9844655825259</v>
      </c>
      <c r="JI103" s="28">
        <v>1830.9487426220505</v>
      </c>
      <c r="JJ103" s="28">
        <v>1773.4189923777869</v>
      </c>
      <c r="JK103" s="28">
        <v>2072.5012232320209</v>
      </c>
      <c r="JL103" s="28">
        <v>1607.8066342046372</v>
      </c>
      <c r="JM103" s="28">
        <v>1483.136523082821</v>
      </c>
      <c r="JO103" s="6">
        <v>13548.263061941836</v>
      </c>
      <c r="JP103" s="6">
        <v>64.515538390199225</v>
      </c>
    </row>
    <row r="104" spans="1:284">
      <c r="A104" s="9" t="s">
        <v>98</v>
      </c>
      <c r="II104">
        <v>0</v>
      </c>
      <c r="JO104" s="2"/>
    </row>
    <row r="105" spans="1:284">
      <c r="E105" s="6">
        <v>1276.8283843505199</v>
      </c>
      <c r="F105" s="6">
        <v>68.823124015864551</v>
      </c>
      <c r="G105" s="6">
        <v>21.029287893736385</v>
      </c>
      <c r="H105" s="6">
        <v>17.779307037431678</v>
      </c>
      <c r="I105" s="6">
        <v>16.6322549705006</v>
      </c>
      <c r="J105" s="6">
        <v>22.558690649644486</v>
      </c>
      <c r="K105" s="6">
        <v>36.132140108328898</v>
      </c>
      <c r="L105" s="6">
        <v>49.896764911501805</v>
      </c>
      <c r="M105" s="6">
        <v>40.605643169360079</v>
      </c>
      <c r="N105" s="6">
        <v>17.779307037431675</v>
      </c>
      <c r="O105" s="6">
        <v>14.338150836638448</v>
      </c>
      <c r="P105" s="6">
        <v>39.382120964633607</v>
      </c>
      <c r="Q105" s="6">
        <v>101.3229325789117</v>
      </c>
      <c r="R105" s="6">
        <v>27.108663848471096</v>
      </c>
      <c r="S105" s="6">
        <v>44.926205954800466</v>
      </c>
      <c r="T105" s="6">
        <v>30.396879773673518</v>
      </c>
      <c r="U105" s="6">
        <v>37.470367519748478</v>
      </c>
      <c r="V105" s="6">
        <v>41.102699065030215</v>
      </c>
      <c r="W105" s="6">
        <v>16.249904281523577</v>
      </c>
      <c r="X105" s="6">
        <v>288.72696392753079</v>
      </c>
      <c r="Y105" s="6">
        <v>122.40441422252478</v>
      </c>
      <c r="Z105" s="6">
        <v>89.331079626012098</v>
      </c>
      <c r="AA105" s="6">
        <v>52.57321973434096</v>
      </c>
      <c r="AB105" s="6">
        <v>77.99954055131316</v>
      </c>
      <c r="AC105" s="6">
        <v>14.720501525615473</v>
      </c>
      <c r="AD105" s="6">
        <v>40.720348376053188</v>
      </c>
      <c r="AE105" s="6">
        <v>29.82335374020797</v>
      </c>
      <c r="AF105" s="6">
        <v>56.014375935134197</v>
      </c>
      <c r="AG105" s="6">
        <v>34.602737352420789</v>
      </c>
      <c r="AH105" s="6">
        <v>29.249827706742433</v>
      </c>
      <c r="AI105" s="6">
        <v>12.999923425218864</v>
      </c>
      <c r="AJ105" s="6">
        <v>29.823353740207967</v>
      </c>
      <c r="AK105" s="6">
        <v>23.705742716575568</v>
      </c>
      <c r="AL105" s="6">
        <v>27.911600295322852</v>
      </c>
      <c r="AM105" s="6">
        <v>99.79352982300361</v>
      </c>
      <c r="AN105" s="6">
        <v>10.705819291356708</v>
      </c>
      <c r="AO105" s="6">
        <v>29.63217839571946</v>
      </c>
      <c r="AP105" s="6">
        <v>8.0293644685175316</v>
      </c>
      <c r="AQ105" s="6">
        <v>42.058575787472776</v>
      </c>
      <c r="AR105" s="6">
        <v>12.617572736241836</v>
      </c>
      <c r="AS105" s="6">
        <v>35.061558179193227</v>
      </c>
      <c r="AT105" s="6">
        <v>23.705742716575568</v>
      </c>
      <c r="AU105" s="6">
        <v>34.029211318955262</v>
      </c>
      <c r="AV105" s="6">
        <v>27.911600295322845</v>
      </c>
      <c r="AW105" s="6">
        <v>17.014605659477628</v>
      </c>
      <c r="AX105" s="6">
        <v>26.573372883903257</v>
      </c>
      <c r="AY105" s="6">
        <v>21.411638582713412</v>
      </c>
      <c r="AZ105" s="6">
        <v>21.220463238224898</v>
      </c>
      <c r="BA105" s="6">
        <v>12.99992342521886</v>
      </c>
      <c r="BB105" s="6">
        <v>25.043970127995156</v>
      </c>
      <c r="BC105" s="6">
        <v>16.823430314989114</v>
      </c>
      <c r="BD105" s="6">
        <v>13.955800147661424</v>
      </c>
      <c r="BE105" s="6">
        <v>23.514567372087054</v>
      </c>
      <c r="BF105" s="6">
        <v>18.352833070897209</v>
      </c>
      <c r="BG105" s="6">
        <v>2.9823353740207956</v>
      </c>
      <c r="BH105" s="6">
        <v>27.529249606345818</v>
      </c>
      <c r="BI105" s="6">
        <v>18.926359104362749</v>
      </c>
      <c r="BJ105" s="6">
        <v>38.235068897702533</v>
      </c>
      <c r="BK105" s="6">
        <v>21.793989271690439</v>
      </c>
      <c r="BL105" s="6">
        <v>35.94096476384037</v>
      </c>
      <c r="BM105" s="6">
        <v>22.482220511849086</v>
      </c>
      <c r="BN105" s="6">
        <v>67.561366742240367</v>
      </c>
      <c r="BO105" s="6">
        <v>22.367515305155976</v>
      </c>
      <c r="BP105" s="6">
        <v>37.279192175259965</v>
      </c>
      <c r="BQ105" s="6">
        <v>106.56113701789694</v>
      </c>
      <c r="BR105" s="6">
        <v>15.294027559081009</v>
      </c>
      <c r="BS105" s="6">
        <v>13.382274114195887</v>
      </c>
      <c r="BT105" s="6">
        <v>24.852794783506639</v>
      </c>
      <c r="BU105" s="6">
        <v>13.191098769707374</v>
      </c>
      <c r="BV105" s="6">
        <v>9.9411179134026568</v>
      </c>
      <c r="BW105" s="6">
        <v>10.323468602379684</v>
      </c>
      <c r="BX105" s="6">
        <v>14.146975492149934</v>
      </c>
      <c r="BY105" s="6">
        <v>6.8823124015864536</v>
      </c>
      <c r="BZ105" s="6">
        <v>58.499655413484874</v>
      </c>
      <c r="CA105" s="6">
        <v>35.367438730374843</v>
      </c>
      <c r="CB105" s="6">
        <v>23.323392027598544</v>
      </c>
      <c r="CC105" s="6">
        <v>11.279345324822245</v>
      </c>
      <c r="CD105" s="6">
        <v>55.05849921269165</v>
      </c>
      <c r="CE105" s="6">
        <v>117.9551875494123</v>
      </c>
      <c r="CF105" s="6">
        <v>28.86747701776541</v>
      </c>
      <c r="CG105" s="6">
        <v>34.985088041397816</v>
      </c>
      <c r="CH105" s="6">
        <v>25.617496161460693</v>
      </c>
      <c r="CI105" s="6">
        <v>125.21985063997579</v>
      </c>
      <c r="CJ105" s="6">
        <v>298.42471274656822</v>
      </c>
      <c r="CK105" s="6">
        <v>17.014605659477624</v>
      </c>
      <c r="CL105" s="6">
        <v>26.955723572880281</v>
      </c>
      <c r="CM105" s="6">
        <v>29.058652362253923</v>
      </c>
      <c r="CN105" s="6">
        <v>45.3085566437775</v>
      </c>
      <c r="CO105" s="6">
        <v>36.13214010832889</v>
      </c>
      <c r="CP105" s="6">
        <v>36.132140108328883</v>
      </c>
      <c r="CQ105" s="6">
        <v>36.514490797305925</v>
      </c>
      <c r="CR105" s="6">
        <v>34.411562007932275</v>
      </c>
      <c r="CS105" s="6">
        <v>17.396956348454648</v>
      </c>
      <c r="CT105" s="6">
        <v>21.029287893736392</v>
      </c>
      <c r="CU105" s="6">
        <v>54.293797834737575</v>
      </c>
      <c r="CV105" s="6">
        <v>16.823430314989107</v>
      </c>
      <c r="CW105" s="6">
        <v>33.455685285489707</v>
      </c>
      <c r="CX105" s="6">
        <v>12.808748080730346</v>
      </c>
      <c r="CY105" s="6">
        <v>49.514414222524763</v>
      </c>
      <c r="CZ105" s="6">
        <v>36.514490797305911</v>
      </c>
      <c r="DA105" s="6">
        <v>41.676225098495749</v>
      </c>
      <c r="DB105" s="6">
        <v>34.411562007932275</v>
      </c>
      <c r="DC105" s="6">
        <v>30.014529084696488</v>
      </c>
      <c r="DD105" s="6">
        <v>25.426320816972183</v>
      </c>
      <c r="DE105" s="6">
        <v>56.779077313088266</v>
      </c>
      <c r="DF105" s="6">
        <v>9.3675918799371196</v>
      </c>
      <c r="DG105" s="6">
        <v>45.461496919368301</v>
      </c>
      <c r="DH105" s="6">
        <v>38.388009173293334</v>
      </c>
      <c r="DI105" s="6">
        <v>53.873212076862863</v>
      </c>
      <c r="DJ105" s="6">
        <v>26.573372883903261</v>
      </c>
      <c r="DK105" s="6">
        <v>18.352833070897212</v>
      </c>
      <c r="DL105" s="6">
        <v>20.264586515782341</v>
      </c>
      <c r="DM105" s="6">
        <v>89.852411909600931</v>
      </c>
      <c r="DN105" s="6">
        <v>42.63210182093831</v>
      </c>
      <c r="DO105" s="6">
        <v>25.617496161460686</v>
      </c>
      <c r="DP105" s="6">
        <v>32.117457874070126</v>
      </c>
      <c r="DQ105" s="6">
        <v>23.514567372087058</v>
      </c>
      <c r="DR105" s="6">
        <v>17.205781003966138</v>
      </c>
      <c r="DS105" s="6">
        <v>206.08702135861665</v>
      </c>
      <c r="DT105" s="6">
        <v>31.161581151627558</v>
      </c>
      <c r="DU105" s="6">
        <v>8.0293644685175316</v>
      </c>
      <c r="DV105" s="6">
        <v>33.646860629978221</v>
      </c>
      <c r="DW105" s="6">
        <v>31.161581151627558</v>
      </c>
      <c r="DX105" s="6">
        <v>17.588131692943158</v>
      </c>
      <c r="DY105" s="6">
        <v>80.293644685175309</v>
      </c>
      <c r="DZ105" s="6">
        <v>42.82327716542683</v>
      </c>
      <c r="EA105" s="6">
        <v>24.088093405552591</v>
      </c>
      <c r="EB105" s="6">
        <v>29.899823878003374</v>
      </c>
      <c r="EC105" s="6">
        <v>23.514567372087058</v>
      </c>
      <c r="ED105" s="6">
        <v>21.602813927201929</v>
      </c>
      <c r="EE105" s="6">
        <v>24.470444094529611</v>
      </c>
      <c r="EF105" s="6">
        <v>44.161504576846419</v>
      </c>
      <c r="EG105" s="6">
        <v>20.073411171293827</v>
      </c>
      <c r="EH105" s="6">
        <v>10.705819291356708</v>
      </c>
      <c r="EI105" s="6">
        <v>15.408732765774118</v>
      </c>
      <c r="EJ105" s="6">
        <v>18.735183759874236</v>
      </c>
      <c r="EK105" s="6">
        <v>20.876347618145576</v>
      </c>
      <c r="EL105" s="6">
        <v>157.52848385853443</v>
      </c>
      <c r="EM105" s="6">
        <v>47.793836122128155</v>
      </c>
      <c r="EN105" s="6">
        <v>85.837729675342175</v>
      </c>
      <c r="EO105" s="6">
        <v>26.19102219492623</v>
      </c>
      <c r="EP105" s="6">
        <v>25.999846850437716</v>
      </c>
      <c r="EQ105" s="6">
        <v>59.264356791438914</v>
      </c>
      <c r="ER105" s="6">
        <v>30.014529084696481</v>
      </c>
      <c r="ES105" s="6">
        <v>22.367515305155973</v>
      </c>
      <c r="ET105" s="6">
        <v>744.75455201792977</v>
      </c>
      <c r="EU105" s="6">
        <v>68.031619439018115</v>
      </c>
      <c r="EV105" s="6">
        <v>-505.0430627952407</v>
      </c>
      <c r="EW105" s="6">
        <v>51.234992322921386</v>
      </c>
      <c r="EX105" s="6">
        <v>19.079299379953557</v>
      </c>
      <c r="EY105" s="6">
        <v>23.514567372087054</v>
      </c>
      <c r="EZ105" s="6">
        <v>18.544008415385729</v>
      </c>
      <c r="FA105" s="6">
        <v>121.20516840571703</v>
      </c>
      <c r="FB105" s="6">
        <v>91.764165354486067</v>
      </c>
      <c r="FC105" s="6">
        <v>70.543702116261173</v>
      </c>
      <c r="FD105" s="6">
        <v>14.146975492149934</v>
      </c>
      <c r="FE105" s="6">
        <v>105.7199655021475</v>
      </c>
      <c r="FF105" s="6">
        <v>16.441079626012087</v>
      </c>
      <c r="FG105" s="6">
        <v>31.735107185093096</v>
      </c>
      <c r="FH105" s="6">
        <v>40.146822342587654</v>
      </c>
      <c r="FI105" s="6">
        <v>120.5142610729625</v>
      </c>
      <c r="FJ105" s="6">
        <v>12.235222047264809</v>
      </c>
      <c r="FK105" s="6">
        <v>45.385026781572904</v>
      </c>
      <c r="FL105" s="6">
        <v>35.596849143761048</v>
      </c>
      <c r="FM105" s="6">
        <v>103.42586136828534</v>
      </c>
      <c r="FN105" s="6">
        <v>20.455761860270851</v>
      </c>
      <c r="FO105" s="6">
        <v>40.414467824871579</v>
      </c>
      <c r="FP105" s="6">
        <v>23.132216683110027</v>
      </c>
      <c r="FQ105" s="6">
        <v>35.17626338588633</v>
      </c>
      <c r="FR105" s="6">
        <v>16.823430314989114</v>
      </c>
      <c r="FS105" s="6">
        <v>21.793989271690446</v>
      </c>
      <c r="FT105" s="6">
        <v>22.099869822872062</v>
      </c>
      <c r="FU105" s="6">
        <v>28.485126328788386</v>
      </c>
      <c r="FV105" s="6">
        <v>21.411638582713412</v>
      </c>
      <c r="FW105" s="6">
        <v>21.985164616178952</v>
      </c>
      <c r="FX105" s="6">
        <v>28.676301673276893</v>
      </c>
      <c r="FY105" s="6">
        <v>12.196986978367107</v>
      </c>
      <c r="FZ105" s="6">
        <v>40.720348376053195</v>
      </c>
      <c r="GA105" s="6">
        <v>19.691060482316797</v>
      </c>
      <c r="GB105" s="6">
        <v>12.044046702776296</v>
      </c>
      <c r="GC105" s="6">
        <v>130.57276028565414</v>
      </c>
      <c r="GD105" s="6">
        <v>31.582166909502288</v>
      </c>
      <c r="GE105" s="6">
        <v>20.455761860270851</v>
      </c>
      <c r="GF105" s="6">
        <v>79.987764133993693</v>
      </c>
      <c r="GG105" s="6">
        <v>14.146975492149938</v>
      </c>
      <c r="GH105" s="6">
        <v>21.946929547281254</v>
      </c>
      <c r="GI105" s="6">
        <v>37.623307795339286</v>
      </c>
      <c r="GJ105" s="6">
        <v>19.882235826805317</v>
      </c>
      <c r="GK105" s="6">
        <v>17.511661555147757</v>
      </c>
      <c r="GL105" s="6">
        <v>35.940964763840384</v>
      </c>
      <c r="GM105" s="6">
        <v>17.396956348454648</v>
      </c>
      <c r="GN105" s="6">
        <v>110.49934911436031</v>
      </c>
      <c r="GO105" s="6">
        <v>25.426320816972176</v>
      </c>
      <c r="GP105" s="6">
        <v>21.220463238224898</v>
      </c>
      <c r="GQ105" s="6">
        <v>22.367515305155973</v>
      </c>
      <c r="GR105" s="6">
        <v>20.379291722475447</v>
      </c>
      <c r="GS105" s="6">
        <v>24.470444094529615</v>
      </c>
      <c r="GT105" s="6">
        <v>38.617419586679553</v>
      </c>
      <c r="GU105" s="6">
        <v>33.264509941001201</v>
      </c>
      <c r="GV105" s="6">
        <v>45.499731988266014</v>
      </c>
      <c r="GW105" s="6">
        <v>0</v>
      </c>
      <c r="GX105" s="6">
        <v>35.176263385886323</v>
      </c>
      <c r="GY105" s="6">
        <v>97.88177637811846</v>
      </c>
      <c r="GZ105" s="6">
        <v>62.32316230325511</v>
      </c>
      <c r="HA105" s="6">
        <v>80.675995374152322</v>
      </c>
      <c r="HB105" s="6">
        <v>90.808288632043499</v>
      </c>
      <c r="HC105" s="6">
        <v>17.205781003966138</v>
      </c>
      <c r="HD105" s="6">
        <v>11.279345324822243</v>
      </c>
      <c r="HE105" s="6">
        <v>110.11699842538327</v>
      </c>
      <c r="HF105" s="6">
        <v>135.81096472463938</v>
      </c>
      <c r="HG105" s="6">
        <v>64.234915748140253</v>
      </c>
      <c r="HH105" s="6">
        <v>33</v>
      </c>
      <c r="HI105" s="6">
        <v>0</v>
      </c>
      <c r="HJ105" s="6">
        <v>0</v>
      </c>
      <c r="HK105" s="6">
        <v>0</v>
      </c>
      <c r="HL105" s="6">
        <v>0</v>
      </c>
      <c r="HM105" s="6">
        <v>0</v>
      </c>
      <c r="HN105" s="6">
        <v>0</v>
      </c>
      <c r="HO105" s="6">
        <v>0</v>
      </c>
      <c r="HP105" s="6">
        <v>0</v>
      </c>
      <c r="HQ105" s="6">
        <v>0</v>
      </c>
      <c r="HR105" s="6">
        <v>0</v>
      </c>
      <c r="HS105" s="6">
        <v>0</v>
      </c>
      <c r="HT105" s="6">
        <v>0</v>
      </c>
      <c r="HU105" s="6">
        <v>0</v>
      </c>
      <c r="HV105" s="6">
        <v>0</v>
      </c>
      <c r="HW105" s="198">
        <v>0</v>
      </c>
      <c r="HX105" s="63">
        <v>0</v>
      </c>
      <c r="HY105" s="28">
        <v>0</v>
      </c>
      <c r="II105">
        <v>0</v>
      </c>
      <c r="JD105" s="9"/>
      <c r="JE105" s="75" t="s">
        <v>98</v>
      </c>
      <c r="JF105" s="6">
        <v>221.30457877990216</v>
      </c>
      <c r="JG105" s="6">
        <v>1774.2219020600905</v>
      </c>
      <c r="JH105" s="6">
        <v>1363.9844655825259</v>
      </c>
      <c r="JI105" s="6">
        <v>1830.9487426220505</v>
      </c>
      <c r="JJ105" s="6">
        <v>1773.4189923777869</v>
      </c>
      <c r="JK105" s="83">
        <v>1936.0512232320211</v>
      </c>
      <c r="JL105" s="6">
        <v>1562.8066342046372</v>
      </c>
      <c r="JM105" s="6">
        <v>1450.136523082821</v>
      </c>
      <c r="JO105" s="6">
        <v>13548.263061941836</v>
      </c>
      <c r="JP105" s="6">
        <v>64.515538390199225</v>
      </c>
    </row>
    <row r="106" spans="1:284" ht="43.2" outlineLevel="1">
      <c r="D106" s="18"/>
      <c r="E106" s="17"/>
      <c r="F106" s="17" t="s">
        <v>268</v>
      </c>
      <c r="G106" s="17" t="s">
        <v>268</v>
      </c>
      <c r="H106" s="17" t="s">
        <v>268</v>
      </c>
      <c r="I106" s="17" t="s">
        <v>268</v>
      </c>
      <c r="J106" s="17" t="s">
        <v>268</v>
      </c>
      <c r="K106" s="17" t="s">
        <v>268</v>
      </c>
      <c r="L106" s="17" t="s">
        <v>268</v>
      </c>
      <c r="M106" s="17" t="s">
        <v>268</v>
      </c>
      <c r="N106" s="17" t="s">
        <v>268</v>
      </c>
      <c r="O106" s="17" t="s">
        <v>268</v>
      </c>
      <c r="P106" s="17" t="s">
        <v>268</v>
      </c>
      <c r="Q106" s="17" t="s">
        <v>268</v>
      </c>
      <c r="R106" s="17" t="s">
        <v>270</v>
      </c>
      <c r="S106" s="17" t="s">
        <v>270</v>
      </c>
      <c r="T106" s="17" t="s">
        <v>270</v>
      </c>
      <c r="U106" s="17" t="s">
        <v>270</v>
      </c>
      <c r="V106" s="17" t="s">
        <v>270</v>
      </c>
      <c r="W106" s="17" t="s">
        <v>270</v>
      </c>
      <c r="X106" s="17" t="s">
        <v>269</v>
      </c>
      <c r="Y106" s="17" t="s">
        <v>269</v>
      </c>
      <c r="Z106" s="17" t="s">
        <v>269</v>
      </c>
      <c r="AA106" s="17" t="s">
        <v>270</v>
      </c>
      <c r="AB106" s="17" t="s">
        <v>270</v>
      </c>
      <c r="AC106" s="17" t="s">
        <v>270</v>
      </c>
      <c r="AD106" s="17" t="s">
        <v>270</v>
      </c>
      <c r="AE106" s="17" t="s">
        <v>270</v>
      </c>
      <c r="AF106" s="17" t="s">
        <v>270</v>
      </c>
      <c r="AG106" s="17" t="s">
        <v>270</v>
      </c>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201"/>
      <c r="HX106" s="185"/>
      <c r="HY106" s="3"/>
      <c r="HZ106" s="18"/>
      <c r="II106">
        <v>0</v>
      </c>
    </row>
    <row r="107" spans="1:284">
      <c r="A107" s="9" t="s">
        <v>95</v>
      </c>
      <c r="II107">
        <v>0</v>
      </c>
    </row>
    <row r="108" spans="1:284">
      <c r="II108">
        <v>0</v>
      </c>
      <c r="IN108" s="18"/>
    </row>
    <row r="109" spans="1:284" ht="15" thickBot="1">
      <c r="E109" s="2" t="s">
        <v>207</v>
      </c>
      <c r="F109" s="2" t="s">
        <v>52</v>
      </c>
      <c r="G109" s="2" t="s">
        <v>52</v>
      </c>
      <c r="H109" s="2" t="s">
        <v>52</v>
      </c>
      <c r="I109" s="2" t="s">
        <v>52</v>
      </c>
      <c r="J109" s="2" t="s">
        <v>52</v>
      </c>
      <c r="K109" s="2" t="s">
        <v>52</v>
      </c>
      <c r="L109" s="2" t="s">
        <v>52</v>
      </c>
      <c r="M109" s="2" t="s">
        <v>52</v>
      </c>
      <c r="N109" s="2" t="s">
        <v>52</v>
      </c>
      <c r="O109" s="2" t="s">
        <v>52</v>
      </c>
      <c r="P109" s="2" t="s">
        <v>52</v>
      </c>
      <c r="Q109" s="2" t="s">
        <v>267</v>
      </c>
      <c r="R109" s="2" t="s">
        <v>52</v>
      </c>
      <c r="S109" s="2" t="s">
        <v>52</v>
      </c>
      <c r="T109" s="2" t="s">
        <v>52</v>
      </c>
      <c r="U109" s="2" t="s">
        <v>52</v>
      </c>
      <c r="V109" s="2" t="s">
        <v>52</v>
      </c>
      <c r="W109" s="2" t="s">
        <v>52</v>
      </c>
      <c r="X109" s="2" t="s">
        <v>271</v>
      </c>
      <c r="Y109" s="2" t="s">
        <v>271</v>
      </c>
      <c r="Z109" s="2" t="s">
        <v>271</v>
      </c>
      <c r="AA109" s="2" t="s">
        <v>271</v>
      </c>
      <c r="AB109" s="2" t="s">
        <v>52</v>
      </c>
      <c r="AC109" s="2" t="s">
        <v>52</v>
      </c>
      <c r="AD109" s="2" t="s">
        <v>52</v>
      </c>
      <c r="AE109" s="2" t="s">
        <v>52</v>
      </c>
      <c r="AF109" s="2" t="s">
        <v>52</v>
      </c>
      <c r="AG109" s="2" t="s">
        <v>52</v>
      </c>
      <c r="AH109" s="2" t="s">
        <v>52</v>
      </c>
      <c r="AI109" s="2" t="s">
        <v>52</v>
      </c>
      <c r="AJ109" s="2" t="s">
        <v>52</v>
      </c>
      <c r="AK109" s="2" t="s">
        <v>52</v>
      </c>
      <c r="AL109" s="2" t="s">
        <v>52</v>
      </c>
      <c r="AM109" s="2" t="s">
        <v>52</v>
      </c>
      <c r="AN109" s="2" t="s">
        <v>52</v>
      </c>
      <c r="AO109" s="2" t="s">
        <v>52</v>
      </c>
      <c r="AP109" s="2" t="s">
        <v>52</v>
      </c>
      <c r="AQ109" s="2" t="s">
        <v>52</v>
      </c>
      <c r="AR109" s="2" t="s">
        <v>52</v>
      </c>
      <c r="AS109" s="2" t="s">
        <v>52</v>
      </c>
      <c r="AT109" s="2" t="s">
        <v>52</v>
      </c>
      <c r="AU109" s="2" t="s">
        <v>52</v>
      </c>
      <c r="AV109" s="2" t="s">
        <v>52</v>
      </c>
      <c r="AW109" s="2" t="s">
        <v>52</v>
      </c>
      <c r="AX109" s="2" t="s">
        <v>52</v>
      </c>
      <c r="AY109" s="2" t="s">
        <v>52</v>
      </c>
      <c r="AZ109" s="2" t="s">
        <v>52</v>
      </c>
      <c r="BA109" s="2" t="s">
        <v>52</v>
      </c>
      <c r="BB109" s="2" t="s">
        <v>52</v>
      </c>
      <c r="BC109" s="2" t="s">
        <v>52</v>
      </c>
      <c r="BD109" s="2" t="s">
        <v>52</v>
      </c>
      <c r="BE109" s="2" t="s">
        <v>52</v>
      </c>
      <c r="BF109" s="2" t="s">
        <v>52</v>
      </c>
      <c r="BG109" s="2" t="s">
        <v>52</v>
      </c>
      <c r="BH109" s="2" t="s">
        <v>52</v>
      </c>
      <c r="BI109" s="2" t="s">
        <v>52</v>
      </c>
      <c r="BJ109" s="2" t="s">
        <v>52</v>
      </c>
      <c r="BK109" s="2" t="s">
        <v>52</v>
      </c>
      <c r="BL109" s="2" t="s">
        <v>288</v>
      </c>
      <c r="BM109" s="2" t="s">
        <v>52</v>
      </c>
      <c r="BN109" s="2" t="s">
        <v>52</v>
      </c>
      <c r="BO109" s="2" t="s">
        <v>52</v>
      </c>
      <c r="BP109" s="2" t="s">
        <v>52</v>
      </c>
      <c r="BQ109" s="2" t="s">
        <v>52</v>
      </c>
      <c r="BR109" s="2" t="s">
        <v>52</v>
      </c>
      <c r="BS109" s="2" t="s">
        <v>52</v>
      </c>
      <c r="BT109" s="2" t="s">
        <v>52</v>
      </c>
      <c r="BU109" s="2" t="s">
        <v>52</v>
      </c>
      <c r="BV109" s="2" t="s">
        <v>52</v>
      </c>
      <c r="BW109" s="2" t="s">
        <v>52</v>
      </c>
      <c r="BX109" s="2" t="s">
        <v>52</v>
      </c>
      <c r="BY109" s="2" t="s">
        <v>52</v>
      </c>
      <c r="BZ109" s="2" t="s">
        <v>52</v>
      </c>
      <c r="CA109" s="2" t="s">
        <v>52</v>
      </c>
      <c r="CB109" s="2" t="s">
        <v>52</v>
      </c>
      <c r="CC109" s="2" t="s">
        <v>306</v>
      </c>
      <c r="CD109" s="2" t="s">
        <v>54</v>
      </c>
      <c r="CE109" s="2" t="s">
        <v>238</v>
      </c>
      <c r="CF109" s="2" t="s">
        <v>306</v>
      </c>
      <c r="CG109" s="2" t="s">
        <v>52</v>
      </c>
      <c r="CH109" s="2" t="s">
        <v>52</v>
      </c>
      <c r="CI109" s="2" t="s">
        <v>52</v>
      </c>
      <c r="CJ109" s="2" t="s">
        <v>52</v>
      </c>
      <c r="CK109" s="2" t="s">
        <v>52</v>
      </c>
      <c r="CL109" s="2" t="s">
        <v>52</v>
      </c>
      <c r="CM109" s="2" t="s">
        <v>52</v>
      </c>
      <c r="CN109" s="2" t="s">
        <v>52</v>
      </c>
      <c r="CO109" s="2" t="s">
        <v>52</v>
      </c>
      <c r="CP109" s="2" t="s">
        <v>52</v>
      </c>
      <c r="CQ109" s="2" t="s">
        <v>52</v>
      </c>
      <c r="CR109" s="2" t="s">
        <v>52</v>
      </c>
      <c r="CS109" s="2" t="s">
        <v>52</v>
      </c>
      <c r="CT109" s="2" t="s">
        <v>52</v>
      </c>
      <c r="CU109" s="2" t="s">
        <v>52</v>
      </c>
      <c r="CV109" s="2" t="s">
        <v>52</v>
      </c>
      <c r="CW109" s="2" t="s">
        <v>52</v>
      </c>
      <c r="CX109" s="2" t="s">
        <v>52</v>
      </c>
      <c r="CY109" s="2" t="s">
        <v>52</v>
      </c>
      <c r="CZ109" s="2" t="s">
        <v>52</v>
      </c>
      <c r="DA109" s="97" t="s">
        <v>211</v>
      </c>
      <c r="DB109" s="2" t="s">
        <v>52</v>
      </c>
      <c r="DC109" s="2" t="s">
        <v>52</v>
      </c>
      <c r="DD109" s="2" t="s">
        <v>52</v>
      </c>
      <c r="DE109" s="2" t="s">
        <v>52</v>
      </c>
      <c r="DF109" s="2" t="s">
        <v>52</v>
      </c>
      <c r="DG109" s="207" t="s">
        <v>82</v>
      </c>
      <c r="DH109" s="208" t="s">
        <v>82</v>
      </c>
      <c r="DI109" s="209" t="s">
        <v>82</v>
      </c>
      <c r="DJ109" s="2" t="s">
        <v>52</v>
      </c>
      <c r="DK109" s="2" t="s">
        <v>52</v>
      </c>
      <c r="DL109" s="2" t="s">
        <v>52</v>
      </c>
      <c r="DM109" s="210" t="s">
        <v>288</v>
      </c>
      <c r="DN109" s="2" t="s">
        <v>52</v>
      </c>
      <c r="DO109" s="2" t="s">
        <v>52</v>
      </c>
      <c r="DP109" s="2" t="s">
        <v>52</v>
      </c>
      <c r="DQ109" s="2" t="s">
        <v>52</v>
      </c>
      <c r="DR109" s="2" t="s">
        <v>52</v>
      </c>
      <c r="DS109" s="2" t="s">
        <v>315</v>
      </c>
      <c r="DT109" s="2" t="s">
        <v>52</v>
      </c>
      <c r="DU109" s="2" t="s">
        <v>52</v>
      </c>
      <c r="DV109" s="2" t="s">
        <v>52</v>
      </c>
      <c r="DW109" s="2" t="s">
        <v>52</v>
      </c>
      <c r="DX109" s="2" t="s">
        <v>52</v>
      </c>
      <c r="DY109" s="2" t="s">
        <v>316</v>
      </c>
      <c r="DZ109" s="2" t="s">
        <v>316</v>
      </c>
      <c r="EA109" s="2" t="s">
        <v>316</v>
      </c>
      <c r="EB109" s="2" t="s">
        <v>52</v>
      </c>
      <c r="EC109" s="2" t="s">
        <v>52</v>
      </c>
      <c r="ED109" s="2" t="s">
        <v>52</v>
      </c>
      <c r="EE109" s="2" t="s">
        <v>52</v>
      </c>
      <c r="EF109" s="2" t="s">
        <v>52</v>
      </c>
      <c r="EG109" s="2" t="s">
        <v>52</v>
      </c>
      <c r="EH109" s="2" t="s">
        <v>52</v>
      </c>
      <c r="EI109" s="2" t="s">
        <v>52</v>
      </c>
      <c r="EJ109" s="2" t="s">
        <v>52</v>
      </c>
      <c r="EK109" s="2" t="s">
        <v>52</v>
      </c>
      <c r="EL109" s="2" t="s">
        <v>20</v>
      </c>
      <c r="EM109" s="2" t="s">
        <v>20</v>
      </c>
      <c r="EN109" s="2" t="s">
        <v>20</v>
      </c>
      <c r="EO109" s="2" t="s">
        <v>52</v>
      </c>
      <c r="EP109" s="2" t="s">
        <v>52</v>
      </c>
      <c r="EQ109" s="2" t="s">
        <v>52</v>
      </c>
      <c r="ER109" s="2" t="s">
        <v>52</v>
      </c>
      <c r="ES109" s="2" t="s">
        <v>52</v>
      </c>
      <c r="ET109" s="2" t="s">
        <v>52</v>
      </c>
      <c r="EU109" s="2" t="s">
        <v>52</v>
      </c>
      <c r="EV109" s="2" t="s">
        <v>52</v>
      </c>
      <c r="EW109" s="2" t="s">
        <v>52</v>
      </c>
      <c r="EX109" s="2" t="s">
        <v>52</v>
      </c>
      <c r="GS109" s="2" t="s">
        <v>52</v>
      </c>
      <c r="GT109" s="2" t="s">
        <v>52</v>
      </c>
      <c r="GU109" s="2" t="s">
        <v>52</v>
      </c>
      <c r="II109">
        <v>0</v>
      </c>
    </row>
    <row r="110" spans="1:284" s="18" customFormat="1" ht="54" customHeight="1" thickBot="1">
      <c r="A110" s="18" t="s">
        <v>8</v>
      </c>
      <c r="E110" s="17"/>
      <c r="F110" s="17" t="s">
        <v>279</v>
      </c>
      <c r="G110" s="17" t="s">
        <v>279</v>
      </c>
      <c r="H110" s="17" t="s">
        <v>279</v>
      </c>
      <c r="I110" s="17" t="s">
        <v>279</v>
      </c>
      <c r="J110" s="17" t="s">
        <v>279</v>
      </c>
      <c r="K110" s="17" t="s">
        <v>279</v>
      </c>
      <c r="L110" s="17" t="s">
        <v>279</v>
      </c>
      <c r="M110" s="17" t="s">
        <v>279</v>
      </c>
      <c r="N110" s="17" t="s">
        <v>279</v>
      </c>
      <c r="O110" s="17" t="s">
        <v>279</v>
      </c>
      <c r="P110" s="17" t="s">
        <v>279</v>
      </c>
      <c r="Q110" s="17"/>
      <c r="R110" s="17" t="s">
        <v>278</v>
      </c>
      <c r="S110" s="17" t="s">
        <v>278</v>
      </c>
      <c r="T110" s="17" t="s">
        <v>278</v>
      </c>
      <c r="U110" s="17" t="s">
        <v>278</v>
      </c>
      <c r="V110" s="17" t="s">
        <v>278</v>
      </c>
      <c r="W110" s="17" t="s">
        <v>278</v>
      </c>
      <c r="X110" s="17" t="s">
        <v>313</v>
      </c>
      <c r="Y110" s="17" t="s">
        <v>313</v>
      </c>
      <c r="Z110" s="17" t="s">
        <v>313</v>
      </c>
      <c r="AA110" s="17" t="s">
        <v>313</v>
      </c>
      <c r="AB110" s="17" t="s">
        <v>278</v>
      </c>
      <c r="AC110" s="17" t="s">
        <v>278</v>
      </c>
      <c r="AD110" s="17" t="s">
        <v>278</v>
      </c>
      <c r="AE110" s="17" t="s">
        <v>278</v>
      </c>
      <c r="AF110" s="17" t="s">
        <v>278</v>
      </c>
      <c r="AG110" s="17" t="s">
        <v>280</v>
      </c>
      <c r="AH110" s="17" t="s">
        <v>280</v>
      </c>
      <c r="AI110" s="17" t="s">
        <v>280</v>
      </c>
      <c r="AJ110" s="17" t="s">
        <v>280</v>
      </c>
      <c r="AK110" s="17" t="s">
        <v>280</v>
      </c>
      <c r="AL110" s="17" t="s">
        <v>280</v>
      </c>
      <c r="AM110" s="17" t="s">
        <v>280</v>
      </c>
      <c r="AN110" s="17" t="s">
        <v>280</v>
      </c>
      <c r="AO110" s="17" t="s">
        <v>280</v>
      </c>
      <c r="AP110" s="17" t="s">
        <v>280</v>
      </c>
      <c r="AQ110" s="17" t="s">
        <v>280</v>
      </c>
      <c r="AR110" s="17" t="s">
        <v>280</v>
      </c>
      <c r="AS110" s="17" t="s">
        <v>280</v>
      </c>
      <c r="AT110" s="17" t="s">
        <v>280</v>
      </c>
      <c r="AU110" s="17" t="s">
        <v>280</v>
      </c>
      <c r="AV110" s="17" t="s">
        <v>280</v>
      </c>
      <c r="AW110" s="17" t="s">
        <v>280</v>
      </c>
      <c r="AX110" s="17" t="s">
        <v>280</v>
      </c>
      <c r="AY110" s="17" t="s">
        <v>280</v>
      </c>
      <c r="AZ110" s="17" t="s">
        <v>280</v>
      </c>
      <c r="BA110" s="17" t="s">
        <v>280</v>
      </c>
      <c r="BB110" s="17" t="s">
        <v>280</v>
      </c>
      <c r="BC110" s="17" t="s">
        <v>280</v>
      </c>
      <c r="BD110" s="17" t="s">
        <v>280</v>
      </c>
      <c r="BE110" s="17" t="s">
        <v>280</v>
      </c>
      <c r="BF110" s="17" t="s">
        <v>280</v>
      </c>
      <c r="BG110" s="17" t="s">
        <v>280</v>
      </c>
      <c r="BH110" s="17" t="s">
        <v>280</v>
      </c>
      <c r="BI110" s="17" t="s">
        <v>280</v>
      </c>
      <c r="BJ110" s="17" t="s">
        <v>280</v>
      </c>
      <c r="BK110" s="17" t="s">
        <v>280</v>
      </c>
      <c r="BL110" s="17" t="s">
        <v>280</v>
      </c>
      <c r="BM110" s="17" t="s">
        <v>280</v>
      </c>
      <c r="BN110" s="17" t="s">
        <v>280</v>
      </c>
      <c r="BO110" s="17" t="s">
        <v>280</v>
      </c>
      <c r="BP110" s="17" t="s">
        <v>280</v>
      </c>
      <c r="BQ110" s="17" t="s">
        <v>280</v>
      </c>
      <c r="BR110" s="17" t="s">
        <v>280</v>
      </c>
      <c r="BS110" s="17" t="s">
        <v>280</v>
      </c>
      <c r="BT110" s="17" t="s">
        <v>280</v>
      </c>
      <c r="BU110" s="17" t="s">
        <v>280</v>
      </c>
      <c r="BV110" s="17" t="s">
        <v>280</v>
      </c>
      <c r="BW110" s="17" t="s">
        <v>280</v>
      </c>
      <c r="BX110" s="17" t="s">
        <v>280</v>
      </c>
      <c r="BY110" s="17" t="s">
        <v>280</v>
      </c>
      <c r="BZ110" s="17" t="s">
        <v>280</v>
      </c>
      <c r="CA110" s="17" t="s">
        <v>280</v>
      </c>
      <c r="CB110" s="17" t="s">
        <v>280</v>
      </c>
      <c r="CC110" s="17" t="s">
        <v>306</v>
      </c>
      <c r="CD110" s="17" t="s">
        <v>54</v>
      </c>
      <c r="CE110" s="17" t="s">
        <v>238</v>
      </c>
      <c r="CF110" s="17" t="s">
        <v>306</v>
      </c>
      <c r="CG110" s="17" t="s">
        <v>280</v>
      </c>
      <c r="CH110" s="17" t="s">
        <v>280</v>
      </c>
      <c r="CI110" s="17" t="s">
        <v>280</v>
      </c>
      <c r="CJ110" s="17" t="s">
        <v>280</v>
      </c>
      <c r="CK110" s="17" t="s">
        <v>280</v>
      </c>
      <c r="CL110" s="17" t="s">
        <v>280</v>
      </c>
      <c r="CM110" s="17" t="s">
        <v>280</v>
      </c>
      <c r="CN110" s="17" t="s">
        <v>280</v>
      </c>
      <c r="CO110" s="17" t="s">
        <v>280</v>
      </c>
      <c r="CP110" s="17" t="s">
        <v>280</v>
      </c>
      <c r="CQ110" s="17" t="s">
        <v>280</v>
      </c>
      <c r="CR110" s="17" t="s">
        <v>280</v>
      </c>
      <c r="CS110" s="17" t="s">
        <v>280</v>
      </c>
      <c r="CT110" s="17" t="s">
        <v>280</v>
      </c>
      <c r="CU110" s="17" t="s">
        <v>280</v>
      </c>
      <c r="CV110" s="17" t="s">
        <v>280</v>
      </c>
      <c r="CW110" s="17" t="s">
        <v>280</v>
      </c>
      <c r="CX110" s="17" t="s">
        <v>280</v>
      </c>
      <c r="CY110" s="17" t="s">
        <v>280</v>
      </c>
      <c r="CZ110" s="17" t="s">
        <v>280</v>
      </c>
      <c r="DA110" s="17" t="s">
        <v>280</v>
      </c>
      <c r="DB110" s="17" t="s">
        <v>280</v>
      </c>
      <c r="DC110" s="17" t="s">
        <v>280</v>
      </c>
      <c r="DD110" s="17" t="s">
        <v>280</v>
      </c>
      <c r="DE110" s="17" t="s">
        <v>280</v>
      </c>
      <c r="DF110" s="17" t="s">
        <v>280</v>
      </c>
      <c r="DG110" s="17" t="s">
        <v>314</v>
      </c>
      <c r="DH110" s="17" t="s">
        <v>314</v>
      </c>
      <c r="DI110" s="17" t="s">
        <v>314</v>
      </c>
      <c r="DJ110" s="17" t="s">
        <v>280</v>
      </c>
      <c r="DK110" s="17" t="s">
        <v>280</v>
      </c>
      <c r="DL110" s="17" t="s">
        <v>280</v>
      </c>
      <c r="DM110" s="17" t="s">
        <v>280</v>
      </c>
      <c r="DN110" s="17" t="s">
        <v>280</v>
      </c>
      <c r="DO110" s="17" t="s">
        <v>280</v>
      </c>
      <c r="DP110" s="17" t="s">
        <v>280</v>
      </c>
      <c r="DQ110" s="17" t="s">
        <v>280</v>
      </c>
      <c r="DR110" s="17" t="s">
        <v>280</v>
      </c>
      <c r="DS110" s="17" t="s">
        <v>280</v>
      </c>
      <c r="DT110" s="17" t="s">
        <v>280</v>
      </c>
      <c r="DU110" s="17" t="s">
        <v>280</v>
      </c>
      <c r="DV110" s="17" t="s">
        <v>280</v>
      </c>
      <c r="DW110" s="17" t="s">
        <v>280</v>
      </c>
      <c r="DX110" s="17" t="s">
        <v>318</v>
      </c>
      <c r="DY110" s="45" t="s">
        <v>319</v>
      </c>
      <c r="DZ110" s="45" t="s">
        <v>317</v>
      </c>
      <c r="EA110" s="17" t="s">
        <v>318</v>
      </c>
      <c r="EB110" s="17" t="s">
        <v>280</v>
      </c>
      <c r="EC110" s="17" t="s">
        <v>280</v>
      </c>
      <c r="ED110" s="17" t="s">
        <v>280</v>
      </c>
      <c r="EE110" s="17" t="s">
        <v>280</v>
      </c>
      <c r="EF110" s="17" t="s">
        <v>280</v>
      </c>
      <c r="EG110" s="17" t="s">
        <v>280</v>
      </c>
      <c r="EH110" s="17" t="s">
        <v>280</v>
      </c>
      <c r="EI110" s="17" t="s">
        <v>280</v>
      </c>
      <c r="EJ110" s="17" t="s">
        <v>280</v>
      </c>
      <c r="EK110" s="17" t="s">
        <v>280</v>
      </c>
      <c r="EL110" s="17"/>
      <c r="EM110" s="17"/>
      <c r="EN110" s="17"/>
      <c r="EO110" s="17"/>
      <c r="EP110" s="17" t="s">
        <v>280</v>
      </c>
      <c r="EQ110" s="17" t="s">
        <v>280</v>
      </c>
      <c r="ER110" s="17" t="s">
        <v>280</v>
      </c>
      <c r="ES110" s="17" t="s">
        <v>280</v>
      </c>
      <c r="ET110" s="17" t="s">
        <v>280</v>
      </c>
      <c r="EU110" s="17" t="s">
        <v>280</v>
      </c>
      <c r="EV110" s="17" t="s">
        <v>280</v>
      </c>
      <c r="EW110" s="17" t="s">
        <v>280</v>
      </c>
      <c r="EX110" s="17" t="s">
        <v>280</v>
      </c>
      <c r="EY110" s="17" t="s">
        <v>280</v>
      </c>
      <c r="EZ110" s="17" t="s">
        <v>323</v>
      </c>
      <c r="FA110" s="17" t="s">
        <v>322</v>
      </c>
      <c r="FB110" s="17" t="s">
        <v>322</v>
      </c>
      <c r="FC110" s="17" t="s">
        <v>323</v>
      </c>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t="s">
        <v>280</v>
      </c>
      <c r="GT110" s="17" t="s">
        <v>280</v>
      </c>
      <c r="GU110" s="17" t="s">
        <v>280</v>
      </c>
      <c r="GV110" s="17" t="s">
        <v>280</v>
      </c>
      <c r="GW110" s="17" t="s">
        <v>280</v>
      </c>
      <c r="GX110" s="244" t="s">
        <v>522</v>
      </c>
      <c r="GY110" s="244" t="s">
        <v>523</v>
      </c>
      <c r="GZ110" s="244" t="s">
        <v>523</v>
      </c>
      <c r="HA110" s="244" t="s">
        <v>317</v>
      </c>
      <c r="HB110" s="17" t="s">
        <v>280</v>
      </c>
      <c r="HC110" s="17" t="s">
        <v>280</v>
      </c>
      <c r="HD110" s="17" t="s">
        <v>280</v>
      </c>
      <c r="HE110" s="17" t="s">
        <v>280</v>
      </c>
      <c r="HF110" s="17" t="s">
        <v>280</v>
      </c>
      <c r="HG110" s="17" t="s">
        <v>533</v>
      </c>
      <c r="HH110" s="17"/>
      <c r="HI110" s="17"/>
      <c r="HJ110" s="17"/>
      <c r="HK110" s="17"/>
      <c r="HL110" s="17"/>
      <c r="HM110" s="17"/>
      <c r="HN110" s="17"/>
      <c r="HO110" s="17"/>
      <c r="HP110" s="17"/>
      <c r="HQ110" s="17"/>
      <c r="HR110" s="17"/>
      <c r="HS110" s="17"/>
      <c r="HT110" s="17"/>
      <c r="HU110" s="17"/>
      <c r="HV110" s="17"/>
      <c r="HW110" s="201"/>
      <c r="HX110" s="185"/>
      <c r="HY110" s="17"/>
      <c r="II110"/>
      <c r="IJ110"/>
      <c r="IK110"/>
      <c r="IL110"/>
      <c r="IM110"/>
      <c r="IN110"/>
      <c r="JE110"/>
    </row>
    <row r="111" spans="1:284">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198"/>
      <c r="HX111" s="63"/>
      <c r="HY111" s="2"/>
      <c r="JD111" s="3" t="s">
        <v>328</v>
      </c>
      <c r="JL111" s="108"/>
      <c r="JM111" s="108"/>
    </row>
    <row r="112" spans="1:284">
      <c r="V112" s="6"/>
      <c r="II112" s="18"/>
      <c r="IK112" s="18"/>
      <c r="IL112" s="18"/>
      <c r="IM112" s="18"/>
      <c r="JD112" s="4" t="s">
        <v>329</v>
      </c>
    </row>
    <row r="113" spans="234:274">
      <c r="JI113" s="4">
        <v>8216</v>
      </c>
      <c r="JJ113" s="4">
        <v>10316</v>
      </c>
      <c r="JK113" s="4">
        <v>10916</v>
      </c>
      <c r="JL113" s="4">
        <v>14636</v>
      </c>
      <c r="JM113" s="4">
        <v>14636</v>
      </c>
      <c r="JN113" s="4">
        <v>14636</v>
      </c>
    </row>
    <row r="114" spans="234:274">
      <c r="IJ114" s="18"/>
      <c r="JE114" s="175" t="s">
        <v>301</v>
      </c>
      <c r="JN114" s="108"/>
    </row>
    <row r="115" spans="234:274">
      <c r="JD115" s="172" t="s">
        <v>296</v>
      </c>
      <c r="JE115" s="118" t="s">
        <v>224</v>
      </c>
      <c r="JF115" s="4">
        <v>202002</v>
      </c>
      <c r="JG115" s="4">
        <v>202003</v>
      </c>
      <c r="JH115" s="4">
        <v>202004</v>
      </c>
      <c r="JI115" s="4">
        <v>202005</v>
      </c>
      <c r="JJ115" s="4" t="s">
        <v>312</v>
      </c>
      <c r="JK115" s="4" t="s">
        <v>320</v>
      </c>
      <c r="JL115" s="4" t="s">
        <v>516</v>
      </c>
      <c r="JM115" s="4" t="s">
        <v>517</v>
      </c>
      <c r="JN115" s="108"/>
    </row>
    <row r="116" spans="234:274">
      <c r="HZ116" s="26"/>
      <c r="JD116" s="171" t="s">
        <v>295</v>
      </c>
      <c r="JE116" s="169">
        <v>580</v>
      </c>
      <c r="JF116" s="174"/>
      <c r="JG116" s="108">
        <v>1995.5264808399925</v>
      </c>
      <c r="JH116" s="108">
        <v>1363.9844655825259</v>
      </c>
      <c r="JI116" s="108">
        <v>1842.4192632913614</v>
      </c>
      <c r="JJ116" s="108">
        <v>1782.2130582242585</v>
      </c>
      <c r="JK116" s="108">
        <v>1947.5217439013315</v>
      </c>
      <c r="JL116" s="108">
        <v>1564.7183876495226</v>
      </c>
      <c r="JM116" s="108">
        <v>1460.459991685201</v>
      </c>
      <c r="JN116" s="108"/>
    </row>
    <row r="117" spans="234:274">
      <c r="HZ117" s="26"/>
      <c r="JD117" s="170" t="s">
        <v>330</v>
      </c>
      <c r="JE117" s="170">
        <v>120</v>
      </c>
      <c r="JF117" s="224">
        <v>-91.572990009997554</v>
      </c>
      <c r="JG117" s="226">
        <v>-867.78312370225649</v>
      </c>
      <c r="JH117" s="108">
        <v>-522.97927238277521</v>
      </c>
      <c r="JI117" s="108">
        <v>-575.24661156593459</v>
      </c>
      <c r="JJ117" s="108">
        <v>-689.18711688108806</v>
      </c>
      <c r="JK117" s="108">
        <v>-738.51035575912431</v>
      </c>
      <c r="JL117" s="108">
        <v>-682.80186037517171</v>
      </c>
      <c r="JM117" s="108">
        <v>-584.65243851476941</v>
      </c>
      <c r="JN117" s="108"/>
    </row>
    <row r="118" spans="234:274">
      <c r="HZ118" s="26"/>
      <c r="JD118" s="170" t="s">
        <v>61</v>
      </c>
      <c r="JE118" s="170">
        <v>580</v>
      </c>
      <c r="JF118" s="225">
        <v>-129.73158876990468</v>
      </c>
      <c r="JG118" s="227">
        <v>-1008.0675914879271</v>
      </c>
      <c r="JH118" s="108">
        <v>-823.0347108178305</v>
      </c>
      <c r="JI118" s="108">
        <v>-1140.9969243630082</v>
      </c>
      <c r="JJ118" s="108">
        <v>-1081.5554206738595</v>
      </c>
      <c r="JK118" s="108">
        <v>-1096.2179348939849</v>
      </c>
      <c r="JL118" s="108">
        <v>-855.72550507942447</v>
      </c>
      <c r="JM118" s="108">
        <v>-755.1759107981801</v>
      </c>
      <c r="JN118" s="108"/>
    </row>
    <row r="119" spans="234:274">
      <c r="HZ119" s="26"/>
      <c r="JD119" s="170" t="s">
        <v>145</v>
      </c>
      <c r="JE119" s="170">
        <v>890</v>
      </c>
      <c r="JF119" s="108">
        <v>0</v>
      </c>
      <c r="JG119" s="108">
        <v>-23.323392027598544</v>
      </c>
      <c r="JH119" s="108">
        <v>-12.235222047264809</v>
      </c>
      <c r="JI119" s="108">
        <v>-126.17572736241834</v>
      </c>
      <c r="JJ119" s="108">
        <v>-11.470520669310758</v>
      </c>
      <c r="JK119" s="108">
        <v>-5.7352603346553792</v>
      </c>
      <c r="JL119" s="108">
        <v>-26.191022194926234</v>
      </c>
      <c r="JM119" s="108">
        <v>-101.51410792340022</v>
      </c>
      <c r="JN119" s="142"/>
    </row>
    <row r="120" spans="234:274">
      <c r="HZ120" s="26"/>
      <c r="JD120" s="170" t="s">
        <v>137</v>
      </c>
      <c r="JE120" s="170">
        <v>140</v>
      </c>
      <c r="JF120" s="108">
        <v>0</v>
      </c>
      <c r="JG120" s="108">
        <v>-96.352373622210365</v>
      </c>
      <c r="JH120" s="108">
        <v>-5.7352603346553792</v>
      </c>
      <c r="JI120" s="108">
        <v>0</v>
      </c>
      <c r="JJ120" s="108">
        <v>0</v>
      </c>
      <c r="JK120" s="108">
        <v>-107.05819291356708</v>
      </c>
      <c r="JL120" s="108">
        <v>0</v>
      </c>
      <c r="JM120" s="108">
        <v>-19.117534448851263</v>
      </c>
      <c r="JN120" s="142"/>
    </row>
    <row r="121" spans="234:274">
      <c r="HZ121" s="26"/>
      <c r="JD121" s="2" t="s">
        <v>258</v>
      </c>
      <c r="JE121" s="169">
        <v>580</v>
      </c>
      <c r="JF121" s="169"/>
      <c r="JG121" s="173">
        <v>2720.4735191600075</v>
      </c>
      <c r="JH121" s="173">
        <v>3356.4890535774816</v>
      </c>
      <c r="JI121" s="173">
        <v>3014.0697902861202</v>
      </c>
      <c r="JJ121" s="173">
        <v>3331.8567320618622</v>
      </c>
      <c r="JK121" s="173">
        <v>1984.33498816053</v>
      </c>
      <c r="JL121" s="173">
        <v>4139.6166005110081</v>
      </c>
      <c r="JM121" s="173">
        <v>2679.1566088258078</v>
      </c>
      <c r="JN121" s="142"/>
    </row>
    <row r="122" spans="234:274">
      <c r="HZ122" s="26"/>
      <c r="JD122" s="191" t="s">
        <v>307</v>
      </c>
      <c r="JE122" s="169">
        <v>580</v>
      </c>
      <c r="JF122" s="169" t="s">
        <v>297</v>
      </c>
      <c r="JG122" s="174">
        <v>-2720.4735191600075</v>
      </c>
      <c r="JH122" s="174">
        <v>-3356.4890535774816</v>
      </c>
      <c r="JI122" s="174">
        <v>-3014.0697902861202</v>
      </c>
      <c r="JJ122" s="174">
        <v>-3331.8567320618622</v>
      </c>
      <c r="JK122" s="174">
        <v>-1984.33498816053</v>
      </c>
      <c r="JL122" s="174">
        <v>-4139.6166005110081</v>
      </c>
      <c r="JM122" s="174">
        <v>-2679.1566088258078</v>
      </c>
      <c r="JN122" s="142"/>
    </row>
    <row r="123" spans="234:274">
      <c r="HZ123" s="26"/>
      <c r="JE123" t="s">
        <v>302</v>
      </c>
      <c r="JF123" s="142"/>
      <c r="JG123" s="142"/>
      <c r="JH123" s="142"/>
      <c r="JI123" s="142"/>
      <c r="JJ123" s="142"/>
      <c r="JK123" s="142"/>
      <c r="JL123" s="142"/>
      <c r="JM123" s="142"/>
      <c r="JN123" s="142">
        <v>-11956.843391174192</v>
      </c>
    </row>
    <row r="124" spans="234:274">
      <c r="HZ124" s="26"/>
      <c r="JF124" s="161" t="s">
        <v>299</v>
      </c>
      <c r="JG124" s="104">
        <v>4716</v>
      </c>
      <c r="JH124" s="104">
        <v>6716</v>
      </c>
      <c r="JI124" s="104">
        <v>8216</v>
      </c>
      <c r="JJ124" s="104">
        <v>10316</v>
      </c>
      <c r="JK124" s="104">
        <v>10916</v>
      </c>
      <c r="JL124" s="104">
        <v>14636</v>
      </c>
      <c r="JM124" s="104">
        <v>14636</v>
      </c>
      <c r="JN124" s="142"/>
    </row>
    <row r="125" spans="234:274">
      <c r="HZ125" s="26"/>
      <c r="JF125" s="142" t="s">
        <v>298</v>
      </c>
      <c r="JG125" s="108">
        <v>-1995.5264808399925</v>
      </c>
      <c r="JH125" s="108">
        <v>-1363.9844655825259</v>
      </c>
      <c r="JI125" s="108">
        <v>-1842.4192632913614</v>
      </c>
      <c r="JJ125" s="108">
        <v>-1782.2130582242585</v>
      </c>
      <c r="JK125" s="108">
        <v>-1947.5217439013315</v>
      </c>
      <c r="JL125" s="108">
        <v>-1564.7183876495226</v>
      </c>
      <c r="JM125" s="108">
        <v>-1460.459991685201</v>
      </c>
      <c r="JN125" s="142"/>
    </row>
    <row r="126" spans="234:274">
      <c r="HZ126" s="26"/>
      <c r="JF126" s="161" t="s">
        <v>300</v>
      </c>
      <c r="JG126" s="104">
        <v>-1995.5264808399925</v>
      </c>
      <c r="JH126" s="104">
        <v>-3359.5109464225184</v>
      </c>
      <c r="JI126" s="104">
        <v>-5201.9302097138798</v>
      </c>
      <c r="JJ126" s="104">
        <v>-6984.1432679381378</v>
      </c>
      <c r="JK126" s="104">
        <v>-8931.66501183947</v>
      </c>
      <c r="JL126" s="104">
        <v>-10496.383399488992</v>
      </c>
      <c r="JM126" s="104">
        <v>-11956.843391174192</v>
      </c>
      <c r="JN126" s="142"/>
    </row>
    <row r="127" spans="234:274">
      <c r="HZ127" s="26"/>
      <c r="JF127" s="142" t="s">
        <v>258</v>
      </c>
      <c r="JG127" s="108">
        <v>2720.4735191600075</v>
      </c>
      <c r="JH127" s="108">
        <v>3356.4890535774816</v>
      </c>
      <c r="JI127" s="108">
        <v>3014.0697902861202</v>
      </c>
      <c r="JJ127" s="108">
        <v>3331.8567320618622</v>
      </c>
      <c r="JK127" s="108">
        <v>1984.33498816053</v>
      </c>
      <c r="JL127" s="108">
        <v>4139.6166005110081</v>
      </c>
      <c r="JM127" s="108">
        <v>2679.1566088258078</v>
      </c>
    </row>
    <row r="128" spans="234:274">
      <c r="HZ128" s="26"/>
      <c r="JF128" s="142"/>
      <c r="JG128" s="142">
        <v>4716</v>
      </c>
      <c r="JH128" s="142">
        <v>6716</v>
      </c>
      <c r="JI128" s="142">
        <v>8216</v>
      </c>
      <c r="JJ128" s="142">
        <v>10316</v>
      </c>
      <c r="JK128" s="142">
        <v>10916</v>
      </c>
      <c r="JL128" s="142">
        <v>14636</v>
      </c>
      <c r="JM128" s="142">
        <v>14636</v>
      </c>
    </row>
    <row r="129" spans="234:276">
      <c r="HZ129" s="26"/>
    </row>
    <row r="130" spans="234:276">
      <c r="HZ130" s="26"/>
      <c r="JE130" s="175" t="s">
        <v>301</v>
      </c>
      <c r="JF130" s="94"/>
      <c r="JG130" s="118" t="s">
        <v>308</v>
      </c>
      <c r="JH130" s="94"/>
      <c r="JP130">
        <v>0</v>
      </c>
    </row>
    <row r="131" spans="234:276">
      <c r="HZ131" s="26"/>
      <c r="JD131" s="172" t="s">
        <v>296</v>
      </c>
      <c r="JF131" s="4">
        <v>202002</v>
      </c>
      <c r="JG131" s="4">
        <v>202003</v>
      </c>
      <c r="JH131" s="4">
        <v>202004</v>
      </c>
      <c r="JI131" s="4">
        <v>202005</v>
      </c>
      <c r="JJ131" s="4">
        <v>202006</v>
      </c>
      <c r="JK131" s="4">
        <v>202007</v>
      </c>
      <c r="JL131" s="4">
        <v>202008</v>
      </c>
      <c r="JM131" s="4">
        <v>202009</v>
      </c>
    </row>
    <row r="132" spans="234:276">
      <c r="HZ132" s="26"/>
      <c r="JD132" s="171" t="s">
        <v>295</v>
      </c>
      <c r="JE132" s="169">
        <v>580</v>
      </c>
      <c r="JF132" s="174"/>
      <c r="JG132" s="108">
        <v>2026.7462435474315</v>
      </c>
      <c r="JH132" s="108">
        <v>1385.3238322915031</v>
      </c>
      <c r="JI132" s="108">
        <v>1871.2436826913774</v>
      </c>
      <c r="JJ132" s="108">
        <v>1810.0955590610495</v>
      </c>
      <c r="JK132" s="108">
        <v>2036.9335413526712</v>
      </c>
      <c r="JL132" s="108">
        <v>1573.1819463063509</v>
      </c>
      <c r="JM132" s="108">
        <v>1460.459991685201</v>
      </c>
    </row>
    <row r="133" spans="234:276">
      <c r="HZ133" s="26"/>
      <c r="JD133" s="170" t="s">
        <v>330</v>
      </c>
      <c r="JE133" s="170">
        <v>120</v>
      </c>
      <c r="JF133" s="224">
        <v>-93.005638008394143</v>
      </c>
      <c r="JG133" s="226">
        <v>-881.35948235428532</v>
      </c>
      <c r="JH133" s="108">
        <v>-531.16121781996458</v>
      </c>
      <c r="JI133" s="108">
        <v>-584.24627300053851</v>
      </c>
      <c r="JJ133" s="108">
        <v>-699.96936329908328</v>
      </c>
      <c r="JK133" s="108">
        <v>-756.66591089501458</v>
      </c>
      <c r="JL133" s="108">
        <v>-686.49513428432408</v>
      </c>
      <c r="JM133" s="108">
        <v>-584.65243851476941</v>
      </c>
      <c r="JN133" s="478"/>
    </row>
    <row r="134" spans="234:276">
      <c r="HZ134" s="26"/>
      <c r="JD134" s="170" t="s">
        <v>61</v>
      </c>
      <c r="JE134" s="170">
        <v>580</v>
      </c>
      <c r="JF134" s="225">
        <v>-131.7612232828732</v>
      </c>
      <c r="JG134" s="227">
        <v>-1023.8386831278962</v>
      </c>
      <c r="JH134" s="108">
        <v>-835.910986135862</v>
      </c>
      <c r="JI134" s="108">
        <v>-1158.8476788233231</v>
      </c>
      <c r="JJ134" s="108">
        <v>-1098.4762202285558</v>
      </c>
      <c r="JK134" s="108">
        <v>-1165.7095377124529</v>
      </c>
      <c r="JL134" s="108">
        <v>-860.35412263997057</v>
      </c>
      <c r="JM134" s="108">
        <v>-755.1759107981801</v>
      </c>
      <c r="JN134" s="478"/>
    </row>
    <row r="135" spans="234:276">
      <c r="HZ135" s="26"/>
      <c r="JD135" s="170" t="s">
        <v>145</v>
      </c>
      <c r="JE135" s="170">
        <v>60</v>
      </c>
      <c r="JF135" s="108">
        <v>0</v>
      </c>
      <c r="JG135" s="108">
        <v>-23.688283584601429</v>
      </c>
      <c r="JH135" s="108">
        <v>-12.426640568971242</v>
      </c>
      <c r="JI135" s="174">
        <v>-128.14973086751593</v>
      </c>
      <c r="JJ135" s="108">
        <v>-11.64997553341054</v>
      </c>
      <c r="JK135" s="108">
        <v>-5.8249877667052701</v>
      </c>
      <c r="JL135" s="108">
        <v>-26.332689382056333</v>
      </c>
      <c r="JM135" s="108">
        <v>-101.51410792340022</v>
      </c>
      <c r="JN135" s="478"/>
    </row>
    <row r="136" spans="234:276">
      <c r="HZ136" s="26"/>
      <c r="JD136" s="170" t="s">
        <v>137</v>
      </c>
      <c r="JE136" s="170">
        <v>140</v>
      </c>
      <c r="JF136" s="108">
        <v>0</v>
      </c>
      <c r="JG136" s="108">
        <v>-97.859794480648532</v>
      </c>
      <c r="JH136" s="108">
        <v>-5.8249877667052701</v>
      </c>
      <c r="JI136" s="108">
        <v>0</v>
      </c>
      <c r="JJ136" s="108">
        <v>0</v>
      </c>
      <c r="JK136" s="108">
        <v>-108.73310497849837</v>
      </c>
      <c r="JL136" s="108">
        <v>0</v>
      </c>
      <c r="JM136" s="108">
        <v>-19.117534448851263</v>
      </c>
      <c r="JN136" s="478"/>
    </row>
    <row r="137" spans="234:276">
      <c r="HZ137" s="26"/>
      <c r="JD137" s="2" t="s">
        <v>258</v>
      </c>
      <c r="JE137" s="169">
        <v>580</v>
      </c>
      <c r="JF137" s="169"/>
      <c r="JG137" s="173">
        <v>2689.2537564525683</v>
      </c>
      <c r="JH137" s="173">
        <v>3303.9299241610652</v>
      </c>
      <c r="JI137" s="173">
        <v>2932.686241469688</v>
      </c>
      <c r="JJ137" s="173">
        <v>3822.5906824086387</v>
      </c>
      <c r="JK137" s="173">
        <v>1785.6571410559682</v>
      </c>
      <c r="JL137" s="173">
        <v>4021.8472289657566</v>
      </c>
      <c r="JM137" s="173">
        <v>2679.1566088258078</v>
      </c>
    </row>
    <row r="138" spans="234:276">
      <c r="HZ138" s="26"/>
      <c r="JD138" s="191" t="s">
        <v>307</v>
      </c>
      <c r="JF138" s="169" t="s">
        <v>297</v>
      </c>
      <c r="JG138" s="190">
        <v>-2689.2537564525683</v>
      </c>
      <c r="JH138" s="190">
        <v>-3303.9299241610652</v>
      </c>
      <c r="JI138" s="190">
        <v>-2932.686241469688</v>
      </c>
      <c r="JJ138" s="190">
        <v>-3822.5906824086387</v>
      </c>
      <c r="JK138" s="190">
        <v>-1785.6571410559682</v>
      </c>
      <c r="JL138" s="174">
        <v>-4021.8472289657566</v>
      </c>
      <c r="JM138" s="174">
        <v>-2679.1566088258078</v>
      </c>
    </row>
    <row r="139" spans="234:276">
      <c r="HZ139" s="26"/>
      <c r="JF139" s="142"/>
      <c r="JG139" s="142"/>
      <c r="JH139" s="142"/>
    </row>
    <row r="140" spans="234:276">
      <c r="HZ140" s="26"/>
      <c r="JF140" s="69" t="s">
        <v>331</v>
      </c>
      <c r="JG140" s="243">
        <v>31.219762707439031</v>
      </c>
      <c r="JH140" s="243">
        <v>21.339366708977195</v>
      </c>
      <c r="JI140" s="243">
        <v>28.824419400016041</v>
      </c>
      <c r="JJ140" s="243">
        <v>27.882500836790996</v>
      </c>
      <c r="JK140" s="243">
        <v>89.41179745133968</v>
      </c>
      <c r="JL140" s="243">
        <v>8.4635586568283543</v>
      </c>
      <c r="JM140" s="243">
        <v>0</v>
      </c>
      <c r="JN140" s="70"/>
      <c r="JO140" s="262">
        <v>207.1414057613913</v>
      </c>
    </row>
    <row r="141" spans="234:276">
      <c r="HZ141" s="26"/>
    </row>
    <row r="142" spans="234:276">
      <c r="HZ142" s="26"/>
    </row>
    <row r="143" spans="234:276">
      <c r="HZ143" s="26"/>
      <c r="JG143" s="142"/>
      <c r="JH143" s="142"/>
      <c r="JI143" s="142"/>
      <c r="JJ143" s="142"/>
      <c r="JK143" s="142"/>
      <c r="JL143" s="142"/>
      <c r="JM143" s="142"/>
    </row>
    <row r="144" spans="234:276">
      <c r="HZ144" s="26"/>
      <c r="JG144" s="142"/>
      <c r="JH144" s="142"/>
      <c r="JI144" s="142"/>
      <c r="JJ144" s="142"/>
      <c r="JK144" s="142"/>
      <c r="JL144" s="142"/>
      <c r="JM144" s="142"/>
    </row>
    <row r="145" spans="234:273">
      <c r="HZ145" s="26"/>
      <c r="JG145" s="142"/>
      <c r="JH145" s="142"/>
      <c r="JI145" s="142"/>
      <c r="JJ145" s="142"/>
      <c r="JK145" s="142"/>
      <c r="JL145" s="142"/>
      <c r="JM145" s="142"/>
    </row>
    <row r="146" spans="234:273">
      <c r="HZ146" s="26"/>
    </row>
    <row r="147" spans="234:273">
      <c r="HZ147" s="26"/>
    </row>
    <row r="148" spans="234:273">
      <c r="HZ148" s="26"/>
    </row>
    <row r="149" spans="234:273">
      <c r="HZ149" s="26"/>
    </row>
    <row r="150" spans="234:273">
      <c r="HZ150" s="26"/>
    </row>
    <row r="151" spans="234:273">
      <c r="HZ151" s="26"/>
    </row>
    <row r="152" spans="234:273">
      <c r="HZ152" s="26"/>
    </row>
    <row r="153" spans="234:273">
      <c r="HZ153" s="26"/>
    </row>
    <row r="154" spans="234:273">
      <c r="HZ154" s="26"/>
    </row>
    <row r="155" spans="234:273">
      <c r="HZ155" s="26"/>
    </row>
    <row r="156" spans="234:273">
      <c r="HZ156" s="26"/>
    </row>
    <row r="157" spans="234:273">
      <c r="HZ157" s="26"/>
    </row>
    <row r="158" spans="234:273">
      <c r="HZ158" s="26"/>
    </row>
    <row r="159" spans="234:273">
      <c r="HZ159" s="26"/>
    </row>
    <row r="160" spans="234:273">
      <c r="HZ160" s="26"/>
    </row>
    <row r="161" spans="234:234">
      <c r="HZ161" s="26"/>
    </row>
    <row r="162" spans="234:234">
      <c r="HZ162" s="26"/>
    </row>
    <row r="163" spans="234:234">
      <c r="HZ163" s="26"/>
    </row>
    <row r="164" spans="234:234">
      <c r="HZ164" s="26"/>
    </row>
    <row r="165" spans="234:234">
      <c r="HZ165" s="26"/>
    </row>
    <row r="166" spans="234:234">
      <c r="HZ166" s="26"/>
    </row>
    <row r="167" spans="234:234">
      <c r="HZ167" s="26"/>
    </row>
    <row r="168" spans="234:234">
      <c r="HZ168" s="26"/>
    </row>
    <row r="169" spans="234:234">
      <c r="HZ169" s="26"/>
    </row>
  </sheetData>
  <autoFilter ref="B6:HY25"/>
  <conditionalFormatting sqref="IK44:IK45 IK55:IK57">
    <cfRule type="cellIs" dxfId="86" priority="1" stopIfTrue="1" operator="greaterThan">
      <formula>0</formula>
    </cfRule>
  </conditionalFormatting>
  <conditionalFormatting sqref="IK43">
    <cfRule type="cellIs" dxfId="85" priority="11" stopIfTrue="1" operator="greaterThan">
      <formula>0</formula>
    </cfRule>
  </conditionalFormatting>
  <conditionalFormatting sqref="IK43">
    <cfRule type="cellIs" dxfId="84" priority="10" stopIfTrue="1" operator="greaterThan">
      <formula>0</formula>
    </cfRule>
  </conditionalFormatting>
  <conditionalFormatting sqref="IK43">
    <cfRule type="cellIs" dxfId="83" priority="9" stopIfTrue="1" operator="greaterThan">
      <formula>0</formula>
    </cfRule>
  </conditionalFormatting>
  <conditionalFormatting sqref="IK43">
    <cfRule type="cellIs" dxfId="82" priority="8" stopIfTrue="1" operator="greaterThan">
      <formula>0</formula>
    </cfRule>
  </conditionalFormatting>
  <conditionalFormatting sqref="IK43">
    <cfRule type="cellIs" dxfId="81" priority="4" stopIfTrue="1" operator="greaterThan">
      <formula>0</formula>
    </cfRule>
  </conditionalFormatting>
  <conditionalFormatting sqref="IK43">
    <cfRule type="cellIs" dxfId="80" priority="7" stopIfTrue="1" operator="greaterThan">
      <formula>0</formula>
    </cfRule>
  </conditionalFormatting>
  <conditionalFormatting sqref="IK43">
    <cfRule type="cellIs" dxfId="79" priority="6" stopIfTrue="1" operator="greaterThan">
      <formula>0</formula>
    </cfRule>
  </conditionalFormatting>
  <conditionalFormatting sqref="IK43">
    <cfRule type="cellIs" dxfId="78" priority="5" stopIfTrue="1" operator="greaterThan">
      <formula>0</formula>
    </cfRule>
  </conditionalFormatting>
  <conditionalFormatting sqref="IK43">
    <cfRule type="cellIs" dxfId="77" priority="3" stopIfTrue="1" operator="greaterThan">
      <formula>0</formula>
    </cfRule>
  </conditionalFormatting>
  <conditionalFormatting sqref="IK43">
    <cfRule type="cellIs" dxfId="76" priority="2" stopIfTrue="1" operator="greaterThan">
      <formula>0</formula>
    </cfRule>
  </conditionalFormatting>
  <conditionalFormatting sqref="IK43">
    <cfRule type="cellIs" dxfId="75" priority="12" stopIfTrue="1" operator="greaterThan">
      <formula>0</formula>
    </cfRule>
  </conditionalFormatting>
  <conditionalFormatting sqref="IK43">
    <cfRule type="cellIs" dxfId="74" priority="13" stopIfTrue="1" operator="greaterThan">
      <formula>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dimension ref="A1:GL223"/>
  <sheetViews>
    <sheetView topLeftCell="A101" zoomScale="85" zoomScaleNormal="85" workbookViewId="0">
      <selection activeCell="I162" sqref="I162"/>
    </sheetView>
  </sheetViews>
  <sheetFormatPr baseColWidth="10" defaultRowHeight="14.4"/>
  <cols>
    <col min="4" max="4" width="5" style="2" customWidth="1"/>
    <col min="5" max="5" width="3.5546875" style="2" customWidth="1"/>
    <col min="6" max="6" width="3.88671875" customWidth="1"/>
    <col min="7" max="7" width="7" customWidth="1"/>
    <col min="8" max="8" width="7.6640625" customWidth="1"/>
    <col min="9" max="9" width="15.6640625" customWidth="1"/>
  </cols>
  <sheetData>
    <row r="1" spans="1:194">
      <c r="A1" t="s">
        <v>509</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row>
    <row r="2" spans="1:194">
      <c r="G2" s="2"/>
      <c r="H2" s="2"/>
      <c r="I2" s="2"/>
      <c r="J2" s="4" t="s">
        <v>21</v>
      </c>
      <c r="K2" s="4" t="s">
        <v>233</v>
      </c>
      <c r="L2" s="4" t="s">
        <v>23</v>
      </c>
      <c r="M2" s="4" t="s">
        <v>25</v>
      </c>
      <c r="N2" s="4"/>
      <c r="O2" s="4" t="s">
        <v>24</v>
      </c>
      <c r="P2" s="4" t="s">
        <v>14</v>
      </c>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row>
    <row r="3" spans="1:194">
      <c r="F3" s="142">
        <v>0</v>
      </c>
      <c r="G3" s="2"/>
      <c r="H3" s="2"/>
      <c r="I3" s="2" t="s">
        <v>207</v>
      </c>
      <c r="J3" s="142">
        <v>0</v>
      </c>
      <c r="K3" s="142">
        <v>0</v>
      </c>
      <c r="L3" s="142">
        <v>0</v>
      </c>
      <c r="M3" s="142">
        <v>0</v>
      </c>
      <c r="N3" s="142"/>
      <c r="O3" s="142">
        <v>0</v>
      </c>
      <c r="P3" s="142">
        <v>0</v>
      </c>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row>
    <row r="4" spans="1:194">
      <c r="F4" s="142">
        <v>163</v>
      </c>
      <c r="G4" s="2"/>
      <c r="H4" s="2"/>
      <c r="I4" s="2" t="s">
        <v>52</v>
      </c>
      <c r="J4" s="142">
        <v>94110</v>
      </c>
      <c r="K4" s="142">
        <v>71970.402540000126</v>
      </c>
      <c r="L4" s="142">
        <v>10229</v>
      </c>
      <c r="M4" s="142">
        <v>17375</v>
      </c>
      <c r="N4" s="142"/>
      <c r="O4" s="142">
        <v>16575</v>
      </c>
      <c r="P4" s="142">
        <v>210259.40254000033</v>
      </c>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row>
    <row r="5" spans="1:194">
      <c r="F5" s="142">
        <v>1</v>
      </c>
      <c r="G5" s="2"/>
      <c r="H5" s="2"/>
      <c r="I5" s="2" t="s">
        <v>267</v>
      </c>
      <c r="J5" s="142">
        <v>975</v>
      </c>
      <c r="K5" s="142">
        <v>341</v>
      </c>
      <c r="L5" s="142">
        <v>1675</v>
      </c>
      <c r="M5" s="142">
        <v>0</v>
      </c>
      <c r="N5" s="142"/>
      <c r="O5" s="142">
        <v>0</v>
      </c>
      <c r="P5" s="142">
        <v>2991</v>
      </c>
      <c r="Q5" s="2"/>
      <c r="R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row>
    <row r="6" spans="1:194">
      <c r="F6" s="142">
        <v>4</v>
      </c>
      <c r="G6" s="2"/>
      <c r="H6" s="2"/>
      <c r="I6" s="2" t="s">
        <v>271</v>
      </c>
      <c r="J6" s="142">
        <v>2525</v>
      </c>
      <c r="K6" s="142">
        <v>700</v>
      </c>
      <c r="L6" s="142">
        <v>0</v>
      </c>
      <c r="M6" s="142">
        <v>5870</v>
      </c>
      <c r="N6" s="142"/>
      <c r="O6" s="142">
        <v>350</v>
      </c>
      <c r="P6" s="142">
        <v>9445</v>
      </c>
      <c r="Q6" s="2"/>
      <c r="R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row>
    <row r="7" spans="1:194">
      <c r="F7" s="142">
        <v>2</v>
      </c>
      <c r="G7" s="2"/>
      <c r="H7" s="2"/>
      <c r="I7" s="2" t="s">
        <v>288</v>
      </c>
      <c r="J7" s="142">
        <v>2100</v>
      </c>
      <c r="K7" s="142">
        <v>904.16669999999999</v>
      </c>
      <c r="L7" s="142">
        <v>0</v>
      </c>
      <c r="M7" s="142">
        <v>1190</v>
      </c>
      <c r="N7" s="142"/>
      <c r="O7" s="142">
        <v>0</v>
      </c>
      <c r="P7" s="142">
        <v>4194.1666999999998</v>
      </c>
      <c r="Q7" s="2"/>
      <c r="R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row>
    <row r="8" spans="1:194">
      <c r="F8" s="142">
        <v>3</v>
      </c>
      <c r="G8" s="2"/>
      <c r="H8" s="2"/>
      <c r="I8" s="2" t="s">
        <v>510</v>
      </c>
      <c r="J8" s="142">
        <v>1840</v>
      </c>
      <c r="K8" s="142">
        <v>1400.0001</v>
      </c>
      <c r="L8" s="142">
        <v>1790</v>
      </c>
      <c r="M8" s="142">
        <v>1950</v>
      </c>
      <c r="N8" s="142"/>
      <c r="O8" s="142">
        <v>0</v>
      </c>
      <c r="P8" s="142">
        <v>6980.0000999999993</v>
      </c>
      <c r="Q8" s="2"/>
      <c r="R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row>
    <row r="9" spans="1:194">
      <c r="F9" s="142">
        <v>1</v>
      </c>
      <c r="G9" s="2"/>
      <c r="H9" s="2"/>
      <c r="I9" s="2" t="s">
        <v>211</v>
      </c>
      <c r="J9" s="142">
        <v>1090</v>
      </c>
      <c r="K9" s="142">
        <v>437.5</v>
      </c>
      <c r="L9" s="142">
        <v>0</v>
      </c>
      <c r="M9" s="142">
        <v>0</v>
      </c>
      <c r="N9" s="142"/>
      <c r="O9" s="142">
        <v>0</v>
      </c>
      <c r="P9" s="142">
        <v>1527.5</v>
      </c>
      <c r="Q9" s="2"/>
      <c r="R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row>
    <row r="10" spans="1:194">
      <c r="F10" s="142">
        <v>3</v>
      </c>
      <c r="G10" s="2"/>
      <c r="H10" s="2"/>
      <c r="I10" s="2" t="s">
        <v>82</v>
      </c>
      <c r="J10" s="142">
        <v>945</v>
      </c>
      <c r="K10" s="142">
        <v>1400.0001</v>
      </c>
      <c r="L10" s="142">
        <v>2257</v>
      </c>
      <c r="M10" s="142">
        <v>400</v>
      </c>
      <c r="N10" s="142"/>
      <c r="O10" s="142">
        <v>0</v>
      </c>
      <c r="P10" s="142">
        <v>5002.0001000000002</v>
      </c>
      <c r="Q10" s="2"/>
      <c r="R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row>
    <row r="11" spans="1:194">
      <c r="F11" s="142">
        <v>1</v>
      </c>
      <c r="I11" s="2" t="s">
        <v>315</v>
      </c>
      <c r="J11" s="142">
        <v>40</v>
      </c>
      <c r="K11" s="142">
        <v>466.66669999999999</v>
      </c>
      <c r="L11" s="142">
        <v>5300</v>
      </c>
      <c r="M11" s="142">
        <v>50</v>
      </c>
      <c r="N11" s="142"/>
      <c r="O11" s="142">
        <v>0</v>
      </c>
      <c r="P11" s="142">
        <v>5856.6666999999998</v>
      </c>
      <c r="R11" s="2"/>
    </row>
    <row r="12" spans="1:194">
      <c r="F12" s="142">
        <v>3</v>
      </c>
      <c r="I12" s="2" t="s">
        <v>316</v>
      </c>
      <c r="J12" s="142">
        <v>1710</v>
      </c>
      <c r="K12" s="142">
        <v>1400.0001</v>
      </c>
      <c r="L12" s="142">
        <v>1250</v>
      </c>
      <c r="M12" s="142">
        <v>990</v>
      </c>
      <c r="N12" s="142"/>
      <c r="O12" s="142">
        <v>0</v>
      </c>
      <c r="P12" s="142">
        <v>5350.0000999999993</v>
      </c>
      <c r="R12" s="2"/>
    </row>
    <row r="13" spans="1:194">
      <c r="F13" s="142">
        <v>3</v>
      </c>
      <c r="I13" s="2" t="s">
        <v>20</v>
      </c>
      <c r="J13" s="142">
        <v>3365</v>
      </c>
      <c r="K13" s="142">
        <v>1354.8387</v>
      </c>
      <c r="L13" s="142">
        <v>1570</v>
      </c>
      <c r="M13" s="142">
        <v>2780</v>
      </c>
      <c r="N13" s="142"/>
      <c r="O13" s="142">
        <v>0</v>
      </c>
      <c r="P13" s="142">
        <v>9069.8387000000002</v>
      </c>
      <c r="R13" s="2"/>
    </row>
    <row r="14" spans="1:194">
      <c r="F14" s="142">
        <v>3</v>
      </c>
      <c r="I14" s="2" t="s">
        <v>321</v>
      </c>
      <c r="J14" s="142">
        <v>2855</v>
      </c>
      <c r="K14" s="142">
        <v>1354.8387</v>
      </c>
      <c r="L14" s="142">
        <v>2280</v>
      </c>
      <c r="M14" s="142">
        <v>2400</v>
      </c>
      <c r="N14" s="142"/>
      <c r="O14" s="142">
        <v>0</v>
      </c>
      <c r="P14" s="142">
        <v>8889.8387000000002</v>
      </c>
      <c r="R14" s="2"/>
    </row>
    <row r="15" spans="1:194">
      <c r="F15" s="142">
        <v>1</v>
      </c>
      <c r="I15" s="2" t="s">
        <v>521</v>
      </c>
      <c r="J15" s="142">
        <v>965.00000000000011</v>
      </c>
      <c r="K15" s="142">
        <v>387.09676999999999</v>
      </c>
      <c r="L15" s="142">
        <v>1300</v>
      </c>
      <c r="M15" s="142">
        <v>1150</v>
      </c>
      <c r="N15" s="142"/>
      <c r="O15" s="142">
        <v>0</v>
      </c>
      <c r="P15" s="142">
        <v>3802.0967700000001</v>
      </c>
      <c r="R15" s="2"/>
    </row>
    <row r="16" spans="1:194">
      <c r="N16" s="234"/>
      <c r="O16" s="240" t="s">
        <v>515</v>
      </c>
      <c r="P16" s="189"/>
      <c r="R16" s="2"/>
    </row>
    <row r="17" spans="4:18">
      <c r="F17" s="142">
        <v>163</v>
      </c>
      <c r="I17" s="2" t="s">
        <v>52</v>
      </c>
      <c r="J17" s="142">
        <v>94110</v>
      </c>
      <c r="K17" s="142">
        <v>71970.402540000126</v>
      </c>
      <c r="L17" s="142">
        <v>10229</v>
      </c>
      <c r="M17" s="142">
        <v>17375</v>
      </c>
      <c r="N17" s="239">
        <v>121714</v>
      </c>
      <c r="O17" s="142">
        <v>746.71165644171776</v>
      </c>
      <c r="P17" s="235">
        <v>28.550571630766658</v>
      </c>
      <c r="R17" s="2"/>
    </row>
    <row r="18" spans="4:18">
      <c r="F18" s="142">
        <v>12</v>
      </c>
      <c r="I18" s="2" t="s">
        <v>513</v>
      </c>
      <c r="J18" s="142">
        <v>10550</v>
      </c>
      <c r="K18" s="142">
        <v>4591.2688699999999</v>
      </c>
      <c r="L18" s="142">
        <v>10555</v>
      </c>
      <c r="M18" s="142">
        <v>10660</v>
      </c>
      <c r="N18" s="239">
        <v>31765</v>
      </c>
      <c r="O18" s="142">
        <v>2647.0833333333335</v>
      </c>
      <c r="P18" s="235">
        <v>101.21141362796007</v>
      </c>
      <c r="R18" s="2"/>
    </row>
    <row r="19" spans="4:18">
      <c r="F19" s="142">
        <v>12</v>
      </c>
      <c r="I19" s="2" t="s">
        <v>514</v>
      </c>
      <c r="J19" s="142">
        <v>7860</v>
      </c>
      <c r="K19" s="142">
        <v>5554.8389999999999</v>
      </c>
      <c r="L19" s="142">
        <v>6867</v>
      </c>
      <c r="M19" s="142">
        <v>6120</v>
      </c>
      <c r="N19" s="239">
        <v>20847</v>
      </c>
      <c r="O19" s="142">
        <v>1737.25</v>
      </c>
      <c r="P19" s="235">
        <v>66.423873442533719</v>
      </c>
      <c r="R19" s="2"/>
    </row>
    <row r="20" spans="4:18">
      <c r="F20" s="142">
        <v>187</v>
      </c>
      <c r="I20" s="4" t="s">
        <v>14</v>
      </c>
      <c r="J20" s="161">
        <v>112520</v>
      </c>
      <c r="K20" s="161">
        <v>82116.510410000134</v>
      </c>
      <c r="L20" s="161">
        <v>27651</v>
      </c>
      <c r="M20" s="161">
        <v>34155</v>
      </c>
      <c r="N20" s="236">
        <v>174326</v>
      </c>
      <c r="O20" s="237">
        <v>932.22459893048131</v>
      </c>
      <c r="P20" s="238">
        <v>35.643671768240061</v>
      </c>
      <c r="R20" s="2"/>
    </row>
    <row r="21" spans="4:18">
      <c r="F21" s="142"/>
      <c r="I21" s="2"/>
      <c r="J21" s="142"/>
      <c r="K21" s="142"/>
      <c r="L21" s="142"/>
      <c r="M21" s="142"/>
      <c r="N21" s="161"/>
      <c r="O21" s="142"/>
      <c r="P21" s="142"/>
      <c r="R21" s="2"/>
    </row>
    <row r="22" spans="4:18">
      <c r="R22" s="2"/>
    </row>
    <row r="23" spans="4:18">
      <c r="D23" s="4" t="s">
        <v>512</v>
      </c>
      <c r="G23" s="2">
        <v>4</v>
      </c>
      <c r="H23" s="2">
        <v>3</v>
      </c>
      <c r="I23" s="2">
        <v>5</v>
      </c>
      <c r="J23" s="2">
        <v>30</v>
      </c>
      <c r="K23" s="2">
        <v>15</v>
      </c>
      <c r="L23" s="2">
        <v>31</v>
      </c>
      <c r="M23" s="2">
        <v>32</v>
      </c>
      <c r="N23" s="2"/>
      <c r="O23" s="2">
        <v>34</v>
      </c>
      <c r="P23" s="2">
        <v>35</v>
      </c>
      <c r="R23" s="2"/>
    </row>
    <row r="24" spans="4:18">
      <c r="D24" s="2" t="s">
        <v>511</v>
      </c>
      <c r="J24" s="4" t="s">
        <v>21</v>
      </c>
      <c r="K24" s="4" t="s">
        <v>233</v>
      </c>
      <c r="L24" s="4" t="s">
        <v>23</v>
      </c>
      <c r="M24" s="4" t="s">
        <v>25</v>
      </c>
      <c r="N24" s="4"/>
      <c r="O24" s="4" t="s">
        <v>24</v>
      </c>
      <c r="P24" s="4" t="s">
        <v>14</v>
      </c>
      <c r="R24" s="2"/>
    </row>
    <row r="25" spans="4:18">
      <c r="D25" s="2">
        <v>0</v>
      </c>
      <c r="E25" s="2" t="s">
        <v>286</v>
      </c>
      <c r="F25" s="2">
        <v>1</v>
      </c>
      <c r="G25" s="39">
        <v>44637</v>
      </c>
      <c r="H25" s="2" t="s">
        <v>87</v>
      </c>
      <c r="I25" s="2" t="s">
        <v>557</v>
      </c>
      <c r="J25" s="142">
        <v>200</v>
      </c>
      <c r="K25" s="142">
        <v>0</v>
      </c>
      <c r="L25" s="142">
        <v>0</v>
      </c>
      <c r="M25" s="142">
        <v>1750</v>
      </c>
      <c r="N25" s="142"/>
      <c r="O25" s="142">
        <v>0</v>
      </c>
      <c r="P25" s="142">
        <v>1950</v>
      </c>
      <c r="Q25" s="232"/>
    </row>
    <row r="26" spans="4:18">
      <c r="D26" s="2">
        <v>1</v>
      </c>
      <c r="E26" s="2" t="s">
        <v>334</v>
      </c>
      <c r="F26" s="2">
        <v>1</v>
      </c>
      <c r="G26" s="39">
        <v>44638</v>
      </c>
      <c r="H26" s="2" t="s">
        <v>88</v>
      </c>
      <c r="I26" s="2" t="s">
        <v>52</v>
      </c>
      <c r="J26" s="142">
        <v>1230</v>
      </c>
      <c r="K26" s="142">
        <v>341</v>
      </c>
      <c r="L26" s="142">
        <v>200</v>
      </c>
      <c r="M26" s="142">
        <v>370</v>
      </c>
      <c r="N26" s="142"/>
      <c r="O26" s="142">
        <v>0</v>
      </c>
      <c r="P26" s="142">
        <v>2141</v>
      </c>
      <c r="Q26" s="232"/>
    </row>
    <row r="27" spans="4:18">
      <c r="D27" s="2">
        <v>2</v>
      </c>
      <c r="E27" s="2" t="s">
        <v>335</v>
      </c>
      <c r="F27" s="2">
        <v>1</v>
      </c>
      <c r="G27" s="39">
        <v>44639</v>
      </c>
      <c r="H27" s="2" t="s">
        <v>89</v>
      </c>
      <c r="I27" s="2" t="s">
        <v>52</v>
      </c>
      <c r="J27" s="142">
        <v>550</v>
      </c>
      <c r="K27" s="142">
        <v>341</v>
      </c>
      <c r="L27" s="142">
        <v>0</v>
      </c>
      <c r="M27" s="142">
        <v>0</v>
      </c>
      <c r="N27" s="142"/>
      <c r="O27" s="142">
        <v>0</v>
      </c>
      <c r="P27" s="142">
        <v>891</v>
      </c>
      <c r="Q27" s="232"/>
    </row>
    <row r="28" spans="4:18">
      <c r="D28" s="2">
        <v>3</v>
      </c>
      <c r="E28" s="2" t="s">
        <v>281</v>
      </c>
      <c r="F28" s="2">
        <v>1</v>
      </c>
      <c r="G28" s="39">
        <v>44640</v>
      </c>
      <c r="H28" s="2" t="s">
        <v>90</v>
      </c>
      <c r="I28" s="2" t="s">
        <v>52</v>
      </c>
      <c r="J28" s="142">
        <v>440</v>
      </c>
      <c r="K28" s="142">
        <v>341</v>
      </c>
      <c r="L28" s="142">
        <v>0</v>
      </c>
      <c r="M28" s="142">
        <v>25</v>
      </c>
      <c r="N28" s="142"/>
      <c r="O28" s="142">
        <v>0</v>
      </c>
      <c r="P28" s="142">
        <v>806</v>
      </c>
      <c r="Q28" s="232"/>
    </row>
    <row r="29" spans="4:18">
      <c r="D29" s="2">
        <v>4</v>
      </c>
      <c r="E29" s="2" t="s">
        <v>282</v>
      </c>
      <c r="F29" s="2">
        <v>1</v>
      </c>
      <c r="G29" s="39">
        <v>44641</v>
      </c>
      <c r="H29" s="2" t="s">
        <v>289</v>
      </c>
      <c r="I29" s="2" t="s">
        <v>52</v>
      </c>
      <c r="J29" s="142">
        <v>435</v>
      </c>
      <c r="K29" s="142">
        <v>341</v>
      </c>
      <c r="L29" s="142">
        <v>0</v>
      </c>
      <c r="M29" s="142">
        <v>0</v>
      </c>
      <c r="N29" s="142"/>
      <c r="O29" s="142">
        <v>0</v>
      </c>
      <c r="P29" s="142">
        <v>776</v>
      </c>
      <c r="Q29" s="232"/>
    </row>
    <row r="30" spans="4:18">
      <c r="D30" s="2">
        <v>5</v>
      </c>
      <c r="E30" s="2" t="s">
        <v>336</v>
      </c>
      <c r="F30" s="2">
        <v>1</v>
      </c>
      <c r="G30" s="39">
        <v>44642</v>
      </c>
      <c r="H30" s="2" t="s">
        <v>85</v>
      </c>
      <c r="I30" s="2" t="s">
        <v>52</v>
      </c>
      <c r="J30" s="142">
        <v>590</v>
      </c>
      <c r="K30" s="142">
        <v>341</v>
      </c>
      <c r="L30" s="142">
        <v>0</v>
      </c>
      <c r="M30" s="142">
        <v>0</v>
      </c>
      <c r="N30" s="142"/>
      <c r="O30" s="142">
        <v>0</v>
      </c>
      <c r="P30" s="142">
        <v>931</v>
      </c>
      <c r="Q30" s="232"/>
    </row>
    <row r="31" spans="4:18">
      <c r="D31" s="2">
        <v>6</v>
      </c>
      <c r="E31" s="2" t="s">
        <v>337</v>
      </c>
      <c r="F31" s="2">
        <v>1</v>
      </c>
      <c r="G31" s="39">
        <v>44643</v>
      </c>
      <c r="H31" s="2" t="s">
        <v>86</v>
      </c>
      <c r="I31" s="2" t="s">
        <v>52</v>
      </c>
      <c r="J31" s="142">
        <v>815</v>
      </c>
      <c r="K31" s="142">
        <v>341</v>
      </c>
      <c r="L31" s="142">
        <v>130</v>
      </c>
      <c r="M31" s="142">
        <v>0</v>
      </c>
      <c r="N31" s="142"/>
      <c r="O31" s="142">
        <v>0</v>
      </c>
      <c r="P31" s="142">
        <v>1286</v>
      </c>
      <c r="Q31" s="232"/>
    </row>
    <row r="32" spans="4:18">
      <c r="D32" s="2">
        <v>7</v>
      </c>
      <c r="E32" s="2" t="s">
        <v>338</v>
      </c>
      <c r="F32" s="2">
        <v>1</v>
      </c>
      <c r="G32" s="39">
        <v>44644</v>
      </c>
      <c r="H32" s="2" t="s">
        <v>87</v>
      </c>
      <c r="I32" s="2" t="s">
        <v>52</v>
      </c>
      <c r="J32" s="142">
        <v>655</v>
      </c>
      <c r="K32" s="142">
        <v>341</v>
      </c>
      <c r="L32" s="142">
        <v>0</v>
      </c>
      <c r="M32" s="142">
        <v>0</v>
      </c>
      <c r="N32" s="142"/>
      <c r="O32" s="142">
        <v>650</v>
      </c>
      <c r="P32" s="142">
        <v>1646</v>
      </c>
      <c r="Q32" s="232"/>
    </row>
    <row r="33" spans="4:17">
      <c r="D33" s="2">
        <v>8</v>
      </c>
      <c r="E33" s="2" t="s">
        <v>339</v>
      </c>
      <c r="F33" s="2">
        <v>1</v>
      </c>
      <c r="G33" s="39">
        <v>44645</v>
      </c>
      <c r="H33" s="2" t="s">
        <v>88</v>
      </c>
      <c r="I33" s="2" t="s">
        <v>52</v>
      </c>
      <c r="J33" s="142">
        <v>262</v>
      </c>
      <c r="K33" s="142">
        <v>341</v>
      </c>
      <c r="L33" s="142">
        <v>200</v>
      </c>
      <c r="M33" s="142">
        <v>0</v>
      </c>
      <c r="N33" s="142"/>
      <c r="O33" s="142">
        <v>600</v>
      </c>
      <c r="P33" s="142">
        <v>1403</v>
      </c>
      <c r="Q33" s="232"/>
    </row>
    <row r="34" spans="4:17">
      <c r="D34" s="2">
        <v>9</v>
      </c>
      <c r="E34" s="2" t="s">
        <v>340</v>
      </c>
      <c r="F34" s="2">
        <v>1</v>
      </c>
      <c r="G34" s="39">
        <v>44646</v>
      </c>
      <c r="H34" s="2" t="s">
        <v>89</v>
      </c>
      <c r="I34" s="2" t="s">
        <v>52</v>
      </c>
      <c r="J34" s="142">
        <v>465</v>
      </c>
      <c r="K34" s="142">
        <v>341</v>
      </c>
      <c r="L34" s="142">
        <v>0</v>
      </c>
      <c r="M34" s="142">
        <v>0</v>
      </c>
      <c r="N34" s="142"/>
      <c r="O34" s="142">
        <v>0</v>
      </c>
      <c r="P34" s="142">
        <v>806</v>
      </c>
      <c r="Q34" s="232"/>
    </row>
    <row r="35" spans="4:17">
      <c r="D35" s="2">
        <v>10</v>
      </c>
      <c r="E35" s="2" t="s">
        <v>341</v>
      </c>
      <c r="F35" s="2">
        <v>1</v>
      </c>
      <c r="G35" s="39">
        <v>44647</v>
      </c>
      <c r="H35" s="2" t="s">
        <v>90</v>
      </c>
      <c r="I35" s="2" t="s">
        <v>52</v>
      </c>
      <c r="J35" s="142">
        <v>375</v>
      </c>
      <c r="K35" s="142">
        <v>341</v>
      </c>
      <c r="L35" s="142">
        <v>0</v>
      </c>
      <c r="M35" s="142">
        <v>0</v>
      </c>
      <c r="N35" s="142"/>
      <c r="O35" s="142">
        <v>0</v>
      </c>
      <c r="P35" s="142">
        <v>716</v>
      </c>
      <c r="Q35" s="232"/>
    </row>
    <row r="36" spans="4:17">
      <c r="D36" s="2">
        <v>11</v>
      </c>
      <c r="E36" s="2" t="s">
        <v>342</v>
      </c>
      <c r="F36" s="2">
        <v>1</v>
      </c>
      <c r="G36" s="39">
        <v>44648</v>
      </c>
      <c r="H36" s="2" t="s">
        <v>289</v>
      </c>
      <c r="I36" s="2" t="s">
        <v>52</v>
      </c>
      <c r="J36" s="142">
        <v>1030</v>
      </c>
      <c r="K36" s="142">
        <v>349</v>
      </c>
      <c r="L36" s="142">
        <v>0</v>
      </c>
      <c r="M36" s="142">
        <v>0</v>
      </c>
      <c r="N36" s="142"/>
      <c r="O36" s="142">
        <v>0</v>
      </c>
      <c r="P36" s="142">
        <v>1379</v>
      </c>
      <c r="Q36" s="232"/>
    </row>
    <row r="37" spans="4:17">
      <c r="D37" s="2">
        <v>12</v>
      </c>
      <c r="E37" s="2" t="s">
        <v>343</v>
      </c>
      <c r="F37" s="2">
        <v>1</v>
      </c>
      <c r="G37" s="39">
        <v>44649</v>
      </c>
      <c r="H37" s="2" t="s">
        <v>85</v>
      </c>
      <c r="I37" s="2" t="s">
        <v>267</v>
      </c>
      <c r="J37" s="142">
        <v>975</v>
      </c>
      <c r="K37" s="142">
        <v>341</v>
      </c>
      <c r="L37" s="142">
        <v>1675</v>
      </c>
      <c r="M37" s="142">
        <v>0</v>
      </c>
      <c r="N37" s="142"/>
      <c r="O37" s="142">
        <v>0</v>
      </c>
      <c r="P37" s="142">
        <v>2991</v>
      </c>
      <c r="Q37" s="232"/>
    </row>
    <row r="38" spans="4:17">
      <c r="D38" s="2">
        <v>13</v>
      </c>
      <c r="E38" s="2" t="s">
        <v>344</v>
      </c>
      <c r="F38" s="2">
        <v>1</v>
      </c>
      <c r="G38" s="39">
        <v>44650</v>
      </c>
      <c r="H38" s="2" t="s">
        <v>86</v>
      </c>
      <c r="I38" s="2" t="s">
        <v>52</v>
      </c>
      <c r="J38" s="142">
        <v>459</v>
      </c>
      <c r="K38" s="142">
        <v>356</v>
      </c>
      <c r="L38" s="142">
        <v>0</v>
      </c>
      <c r="M38" s="142">
        <v>0</v>
      </c>
      <c r="N38" s="142"/>
      <c r="O38" s="142">
        <v>250</v>
      </c>
      <c r="P38" s="142">
        <v>1065</v>
      </c>
      <c r="Q38" s="232"/>
    </row>
    <row r="39" spans="4:17">
      <c r="D39" s="2">
        <v>14</v>
      </c>
      <c r="E39" s="2" t="s">
        <v>345</v>
      </c>
      <c r="F39" s="2">
        <v>1</v>
      </c>
      <c r="G39" s="39">
        <v>44651</v>
      </c>
      <c r="H39" s="2" t="s">
        <v>87</v>
      </c>
      <c r="I39" s="2" t="s">
        <v>52</v>
      </c>
      <c r="J39" s="142">
        <v>1175</v>
      </c>
      <c r="K39" s="142">
        <v>356</v>
      </c>
      <c r="L39" s="142">
        <v>0</v>
      </c>
      <c r="M39" s="142">
        <v>0</v>
      </c>
      <c r="N39" s="142"/>
      <c r="O39" s="142">
        <v>0</v>
      </c>
      <c r="P39" s="142">
        <v>1531</v>
      </c>
      <c r="Q39" s="232"/>
    </row>
    <row r="40" spans="4:17">
      <c r="D40" s="2">
        <v>15</v>
      </c>
      <c r="E40" s="2" t="s">
        <v>346</v>
      </c>
      <c r="F40" s="2">
        <v>1</v>
      </c>
      <c r="G40" s="39">
        <v>44652</v>
      </c>
      <c r="H40" s="2" t="s">
        <v>88</v>
      </c>
      <c r="I40" s="2" t="s">
        <v>52</v>
      </c>
      <c r="J40" s="142">
        <v>745</v>
      </c>
      <c r="K40" s="142">
        <v>356</v>
      </c>
      <c r="L40" s="142">
        <v>0</v>
      </c>
      <c r="M40" s="142">
        <v>0</v>
      </c>
      <c r="N40" s="142"/>
      <c r="O40" s="142">
        <v>0</v>
      </c>
      <c r="P40" s="142">
        <v>1101</v>
      </c>
      <c r="Q40" s="232"/>
    </row>
    <row r="41" spans="4:17">
      <c r="D41" s="2">
        <v>16</v>
      </c>
      <c r="E41" s="2" t="s">
        <v>347</v>
      </c>
      <c r="F41" s="2">
        <v>1</v>
      </c>
      <c r="G41" s="39">
        <v>44653</v>
      </c>
      <c r="H41" s="2" t="s">
        <v>89</v>
      </c>
      <c r="I41" s="2" t="s">
        <v>52</v>
      </c>
      <c r="J41" s="142">
        <v>930</v>
      </c>
      <c r="K41" s="142">
        <v>356</v>
      </c>
      <c r="L41" s="142">
        <v>0</v>
      </c>
      <c r="M41" s="142">
        <v>0</v>
      </c>
      <c r="N41" s="142"/>
      <c r="O41" s="142">
        <v>50</v>
      </c>
      <c r="P41" s="142">
        <v>1336</v>
      </c>
      <c r="Q41" s="232"/>
    </row>
    <row r="42" spans="4:17">
      <c r="D42" s="2">
        <v>17</v>
      </c>
      <c r="E42" s="2" t="s">
        <v>348</v>
      </c>
      <c r="F42" s="2">
        <v>1</v>
      </c>
      <c r="G42" s="39">
        <v>44654</v>
      </c>
      <c r="H42" s="2" t="s">
        <v>90</v>
      </c>
      <c r="I42" s="2" t="s">
        <v>52</v>
      </c>
      <c r="J42" s="142">
        <v>275</v>
      </c>
      <c r="K42" s="142">
        <v>356</v>
      </c>
      <c r="L42" s="142">
        <v>0</v>
      </c>
      <c r="M42" s="142">
        <v>0</v>
      </c>
      <c r="N42" s="142"/>
      <c r="O42" s="142">
        <v>800</v>
      </c>
      <c r="P42" s="142">
        <v>1431</v>
      </c>
      <c r="Q42" s="232"/>
    </row>
    <row r="43" spans="4:17">
      <c r="D43" s="2">
        <v>18</v>
      </c>
      <c r="E43" s="2" t="s">
        <v>349</v>
      </c>
      <c r="F43" s="2">
        <v>1</v>
      </c>
      <c r="G43" s="39">
        <v>44655</v>
      </c>
      <c r="H43" s="2" t="s">
        <v>289</v>
      </c>
      <c r="I43" s="2" t="s">
        <v>52</v>
      </c>
      <c r="J43" s="142">
        <v>400</v>
      </c>
      <c r="K43" s="142">
        <v>0</v>
      </c>
      <c r="L43" s="142">
        <v>25</v>
      </c>
      <c r="M43" s="142">
        <v>0</v>
      </c>
      <c r="N43" s="142"/>
      <c r="O43" s="142">
        <v>0</v>
      </c>
      <c r="P43" s="142">
        <v>425</v>
      </c>
      <c r="Q43" s="232"/>
    </row>
    <row r="44" spans="4:17">
      <c r="D44" s="2">
        <v>19</v>
      </c>
      <c r="E44" s="2" t="s">
        <v>350</v>
      </c>
      <c r="F44" s="2">
        <v>1</v>
      </c>
      <c r="G44" s="39">
        <v>44656</v>
      </c>
      <c r="H44" s="2" t="s">
        <v>85</v>
      </c>
      <c r="I44" s="2" t="s">
        <v>271</v>
      </c>
      <c r="J44" s="142">
        <v>820</v>
      </c>
      <c r="K44" s="142">
        <v>0</v>
      </c>
      <c r="L44" s="142">
        <v>0</v>
      </c>
      <c r="M44" s="142">
        <v>4825</v>
      </c>
      <c r="N44" s="142"/>
      <c r="O44" s="142">
        <v>0</v>
      </c>
      <c r="P44" s="142">
        <v>5645</v>
      </c>
      <c r="Q44" s="232"/>
    </row>
    <row r="45" spans="4:17">
      <c r="D45" s="2">
        <v>20</v>
      </c>
      <c r="E45" s="2" t="s">
        <v>351</v>
      </c>
      <c r="F45" s="2">
        <v>1</v>
      </c>
      <c r="G45" s="39">
        <v>44657</v>
      </c>
      <c r="H45" s="2" t="s">
        <v>86</v>
      </c>
      <c r="I45" s="2" t="s">
        <v>271</v>
      </c>
      <c r="J45" s="142">
        <v>545</v>
      </c>
      <c r="K45" s="142">
        <v>0</v>
      </c>
      <c r="L45" s="142">
        <v>0</v>
      </c>
      <c r="M45" s="142">
        <v>600</v>
      </c>
      <c r="N45" s="142"/>
      <c r="O45" s="142">
        <v>150</v>
      </c>
      <c r="P45" s="142">
        <v>1295</v>
      </c>
      <c r="Q45" s="232"/>
    </row>
    <row r="46" spans="4:17">
      <c r="D46" s="2">
        <v>21</v>
      </c>
      <c r="E46" s="2" t="s">
        <v>352</v>
      </c>
      <c r="F46" s="2">
        <v>1</v>
      </c>
      <c r="G46" s="39">
        <v>44658</v>
      </c>
      <c r="H46" s="2" t="s">
        <v>87</v>
      </c>
      <c r="I46" s="2" t="s">
        <v>271</v>
      </c>
      <c r="J46" s="142">
        <v>410</v>
      </c>
      <c r="K46" s="142">
        <v>350</v>
      </c>
      <c r="L46" s="142">
        <v>0</v>
      </c>
      <c r="M46" s="142">
        <v>20</v>
      </c>
      <c r="N46" s="142"/>
      <c r="O46" s="142">
        <v>0</v>
      </c>
      <c r="P46" s="142">
        <v>780</v>
      </c>
      <c r="Q46" s="232"/>
    </row>
    <row r="47" spans="4:17">
      <c r="D47" s="2">
        <v>22</v>
      </c>
      <c r="E47" s="2" t="s">
        <v>353</v>
      </c>
      <c r="F47" s="2">
        <v>1</v>
      </c>
      <c r="G47" s="39">
        <v>44659</v>
      </c>
      <c r="H47" s="2" t="s">
        <v>88</v>
      </c>
      <c r="I47" s="2" t="s">
        <v>271</v>
      </c>
      <c r="J47" s="142">
        <v>750</v>
      </c>
      <c r="K47" s="142">
        <v>350</v>
      </c>
      <c r="L47" s="142">
        <v>0</v>
      </c>
      <c r="M47" s="142">
        <v>425</v>
      </c>
      <c r="N47" s="142"/>
      <c r="O47" s="142">
        <v>200</v>
      </c>
      <c r="P47" s="142">
        <v>1725</v>
      </c>
      <c r="Q47" s="232"/>
    </row>
    <row r="48" spans="4:17">
      <c r="D48" s="2">
        <v>23</v>
      </c>
      <c r="E48" s="2" t="s">
        <v>354</v>
      </c>
      <c r="F48" s="2">
        <v>1</v>
      </c>
      <c r="G48" s="39">
        <v>44660</v>
      </c>
      <c r="H48" s="2" t="s">
        <v>89</v>
      </c>
      <c r="I48" s="2" t="s">
        <v>52</v>
      </c>
      <c r="J48" s="142">
        <v>1440</v>
      </c>
      <c r="K48" s="142">
        <v>350</v>
      </c>
      <c r="L48" s="142">
        <v>300</v>
      </c>
      <c r="M48" s="142">
        <v>300</v>
      </c>
      <c r="N48" s="142"/>
      <c r="O48" s="142">
        <v>0</v>
      </c>
      <c r="P48" s="142">
        <v>2390</v>
      </c>
      <c r="Q48" s="232"/>
    </row>
    <row r="49" spans="4:17">
      <c r="D49" s="2">
        <v>24</v>
      </c>
      <c r="E49" s="2" t="s">
        <v>355</v>
      </c>
      <c r="F49" s="2">
        <v>1</v>
      </c>
      <c r="G49" s="39">
        <v>44661</v>
      </c>
      <c r="H49" s="2" t="s">
        <v>90</v>
      </c>
      <c r="I49" s="2" t="s">
        <v>52</v>
      </c>
      <c r="J49" s="142">
        <v>375</v>
      </c>
      <c r="K49" s="142">
        <v>350</v>
      </c>
      <c r="L49" s="142">
        <v>10</v>
      </c>
      <c r="M49" s="142">
        <v>0</v>
      </c>
      <c r="N49" s="142"/>
      <c r="O49" s="142">
        <v>0</v>
      </c>
      <c r="P49" s="142">
        <v>735</v>
      </c>
      <c r="Q49" s="232"/>
    </row>
    <row r="50" spans="4:17">
      <c r="D50" s="2">
        <v>25</v>
      </c>
      <c r="E50" s="2" t="s">
        <v>356</v>
      </c>
      <c r="F50" s="2">
        <v>1</v>
      </c>
      <c r="G50" s="39">
        <v>44662</v>
      </c>
      <c r="H50" s="2" t="s">
        <v>289</v>
      </c>
      <c r="I50" s="2" t="s">
        <v>52</v>
      </c>
      <c r="J50" s="142">
        <v>965</v>
      </c>
      <c r="K50" s="142">
        <v>350</v>
      </c>
      <c r="L50" s="142">
        <v>100</v>
      </c>
      <c r="M50" s="142">
        <v>0</v>
      </c>
      <c r="N50" s="142"/>
      <c r="O50" s="142">
        <v>0</v>
      </c>
      <c r="P50" s="142">
        <v>1415</v>
      </c>
      <c r="Q50" s="232"/>
    </row>
    <row r="51" spans="4:17">
      <c r="D51" s="2">
        <v>26</v>
      </c>
      <c r="E51" s="2" t="s">
        <v>357</v>
      </c>
      <c r="F51" s="2">
        <v>1</v>
      </c>
      <c r="G51" s="39">
        <v>44663</v>
      </c>
      <c r="H51" s="2" t="s">
        <v>85</v>
      </c>
      <c r="I51" s="2" t="s">
        <v>52</v>
      </c>
      <c r="J51" s="142">
        <v>480</v>
      </c>
      <c r="K51" s="142">
        <v>350</v>
      </c>
      <c r="L51" s="142">
        <v>0</v>
      </c>
      <c r="M51" s="142">
        <v>0</v>
      </c>
      <c r="N51" s="142"/>
      <c r="O51" s="142">
        <v>300</v>
      </c>
      <c r="P51" s="142">
        <v>1130</v>
      </c>
      <c r="Q51" s="232"/>
    </row>
    <row r="52" spans="4:17">
      <c r="D52" s="2">
        <v>27</v>
      </c>
      <c r="E52" s="2" t="s">
        <v>358</v>
      </c>
      <c r="F52" s="2">
        <v>1</v>
      </c>
      <c r="G52" s="39">
        <v>44664</v>
      </c>
      <c r="H52" s="2" t="s">
        <v>86</v>
      </c>
      <c r="I52" s="2" t="s">
        <v>52</v>
      </c>
      <c r="J52" s="142">
        <v>1265</v>
      </c>
      <c r="K52" s="142">
        <v>700</v>
      </c>
      <c r="L52" s="142">
        <v>200</v>
      </c>
      <c r="M52" s="142">
        <v>0</v>
      </c>
      <c r="N52" s="142"/>
      <c r="O52" s="142">
        <v>0</v>
      </c>
      <c r="P52" s="142">
        <v>2165</v>
      </c>
      <c r="Q52" s="232"/>
    </row>
    <row r="53" spans="4:17">
      <c r="D53" s="2">
        <v>28</v>
      </c>
      <c r="E53" s="2" t="s">
        <v>359</v>
      </c>
      <c r="F53" s="2">
        <v>1</v>
      </c>
      <c r="G53" s="39">
        <v>44665</v>
      </c>
      <c r="H53" s="2" t="s">
        <v>87</v>
      </c>
      <c r="I53" s="2" t="s">
        <v>52</v>
      </c>
      <c r="J53" s="142">
        <v>435</v>
      </c>
      <c r="K53" s="142">
        <v>500</v>
      </c>
      <c r="L53" s="142">
        <v>200</v>
      </c>
      <c r="M53" s="142">
        <v>0</v>
      </c>
      <c r="N53" s="142"/>
      <c r="O53" s="142">
        <v>270</v>
      </c>
      <c r="P53" s="142">
        <v>1405</v>
      </c>
      <c r="Q53" s="232"/>
    </row>
    <row r="54" spans="4:17">
      <c r="D54" s="2">
        <v>29</v>
      </c>
      <c r="E54" s="2" t="s">
        <v>360</v>
      </c>
      <c r="F54" s="2">
        <v>1</v>
      </c>
      <c r="G54" s="39">
        <v>44666</v>
      </c>
      <c r="H54" s="2" t="s">
        <v>88</v>
      </c>
      <c r="I54" s="2" t="s">
        <v>52</v>
      </c>
      <c r="J54" s="142">
        <v>555</v>
      </c>
      <c r="K54" s="142">
        <v>500</v>
      </c>
      <c r="L54" s="142">
        <v>100</v>
      </c>
      <c r="M54" s="142">
        <v>0</v>
      </c>
      <c r="N54" s="142"/>
      <c r="O54" s="142">
        <v>110</v>
      </c>
      <c r="P54" s="142">
        <v>1265</v>
      </c>
      <c r="Q54" s="232"/>
    </row>
    <row r="55" spans="4:17">
      <c r="D55" s="2">
        <v>30</v>
      </c>
      <c r="E55" s="2" t="s">
        <v>361</v>
      </c>
      <c r="F55" s="2">
        <v>1</v>
      </c>
      <c r="G55" s="39">
        <v>44667</v>
      </c>
      <c r="H55" s="2" t="s">
        <v>89</v>
      </c>
      <c r="I55" s="2" t="s">
        <v>52</v>
      </c>
      <c r="J55" s="142">
        <v>340</v>
      </c>
      <c r="K55" s="142">
        <v>500</v>
      </c>
      <c r="L55" s="142">
        <v>0</v>
      </c>
      <c r="M55" s="142">
        <v>0</v>
      </c>
      <c r="N55" s="142"/>
      <c r="O55" s="142">
        <v>0</v>
      </c>
      <c r="P55" s="142">
        <v>840</v>
      </c>
      <c r="Q55" s="232"/>
    </row>
    <row r="56" spans="4:17">
      <c r="D56" s="2">
        <v>31</v>
      </c>
      <c r="E56" s="2" t="s">
        <v>362</v>
      </c>
      <c r="F56" s="2">
        <v>1</v>
      </c>
      <c r="G56" s="39">
        <v>44668</v>
      </c>
      <c r="H56" s="2" t="s">
        <v>90</v>
      </c>
      <c r="I56" s="2" t="s">
        <v>52</v>
      </c>
      <c r="J56" s="142">
        <v>780</v>
      </c>
      <c r="K56" s="142">
        <v>500</v>
      </c>
      <c r="L56" s="142">
        <v>0</v>
      </c>
      <c r="M56" s="142">
        <v>0</v>
      </c>
      <c r="N56" s="142"/>
      <c r="O56" s="142">
        <v>0</v>
      </c>
      <c r="P56" s="142">
        <v>1280</v>
      </c>
      <c r="Q56" s="232"/>
    </row>
    <row r="57" spans="4:17">
      <c r="D57" s="2">
        <v>32</v>
      </c>
      <c r="E57" s="2" t="s">
        <v>363</v>
      </c>
      <c r="F57" s="2">
        <v>1</v>
      </c>
      <c r="G57" s="39">
        <v>44669</v>
      </c>
      <c r="H57" s="2" t="s">
        <v>289</v>
      </c>
      <c r="I57" s="2" t="s">
        <v>52</v>
      </c>
      <c r="J57" s="142">
        <v>620</v>
      </c>
      <c r="K57" s="142">
        <v>500</v>
      </c>
      <c r="L57" s="142">
        <v>0</v>
      </c>
      <c r="M57" s="142">
        <v>0</v>
      </c>
      <c r="N57" s="142"/>
      <c r="O57" s="142">
        <v>0</v>
      </c>
      <c r="P57" s="142">
        <v>1120</v>
      </c>
      <c r="Q57" s="232"/>
    </row>
    <row r="58" spans="4:17">
      <c r="D58" s="2">
        <v>33</v>
      </c>
      <c r="E58" s="2" t="s">
        <v>364</v>
      </c>
      <c r="F58" s="2">
        <v>1</v>
      </c>
      <c r="G58" s="39">
        <v>44670</v>
      </c>
      <c r="H58" s="2" t="s">
        <v>85</v>
      </c>
      <c r="I58" s="2" t="s">
        <v>52</v>
      </c>
      <c r="J58" s="142">
        <v>730</v>
      </c>
      <c r="K58" s="142">
        <v>500</v>
      </c>
      <c r="L58" s="142">
        <v>0</v>
      </c>
      <c r="M58" s="142">
        <v>0</v>
      </c>
      <c r="N58" s="142"/>
      <c r="O58" s="142">
        <v>0</v>
      </c>
      <c r="P58" s="142">
        <v>1230</v>
      </c>
      <c r="Q58" s="232"/>
    </row>
    <row r="59" spans="4:17">
      <c r="D59" s="2">
        <v>34</v>
      </c>
      <c r="E59" s="2" t="s">
        <v>283</v>
      </c>
      <c r="F59" s="2">
        <v>1</v>
      </c>
      <c r="G59" s="39">
        <v>44671</v>
      </c>
      <c r="H59" s="2" t="s">
        <v>86</v>
      </c>
      <c r="I59" s="2" t="s">
        <v>52</v>
      </c>
      <c r="J59" s="142">
        <v>960</v>
      </c>
      <c r="K59" s="142">
        <v>500</v>
      </c>
      <c r="L59" s="142">
        <v>0</v>
      </c>
      <c r="M59" s="142">
        <v>1650</v>
      </c>
      <c r="N59" s="142"/>
      <c r="O59" s="142">
        <v>0</v>
      </c>
      <c r="P59" s="142">
        <v>3110</v>
      </c>
      <c r="Q59" s="232"/>
    </row>
    <row r="60" spans="4:17">
      <c r="D60" s="2">
        <v>35</v>
      </c>
      <c r="E60" s="2" t="s">
        <v>293</v>
      </c>
      <c r="F60" s="2">
        <v>1</v>
      </c>
      <c r="G60" s="39">
        <v>44672</v>
      </c>
      <c r="H60" s="2" t="s">
        <v>87</v>
      </c>
      <c r="I60" s="2" t="s">
        <v>52</v>
      </c>
      <c r="J60" s="142">
        <v>280</v>
      </c>
      <c r="K60" s="142">
        <v>500</v>
      </c>
      <c r="L60" s="142">
        <v>0</v>
      </c>
      <c r="M60" s="142">
        <v>0</v>
      </c>
      <c r="N60" s="142"/>
      <c r="O60" s="142">
        <v>0</v>
      </c>
      <c r="P60" s="142">
        <v>780</v>
      </c>
      <c r="Q60" s="232"/>
    </row>
    <row r="61" spans="4:17">
      <c r="D61" s="2">
        <v>36</v>
      </c>
      <c r="E61" s="2" t="s">
        <v>365</v>
      </c>
      <c r="F61" s="2">
        <v>1</v>
      </c>
      <c r="G61" s="39">
        <v>44673</v>
      </c>
      <c r="H61" s="2" t="s">
        <v>88</v>
      </c>
      <c r="I61" s="2" t="s">
        <v>52</v>
      </c>
      <c r="J61" s="142">
        <v>575</v>
      </c>
      <c r="K61" s="142">
        <v>500</v>
      </c>
      <c r="L61" s="142">
        <v>200</v>
      </c>
      <c r="M61" s="142">
        <v>0</v>
      </c>
      <c r="N61" s="142"/>
      <c r="O61" s="142">
        <v>0</v>
      </c>
      <c r="P61" s="142">
        <v>1275</v>
      </c>
      <c r="Q61" s="232"/>
    </row>
    <row r="62" spans="4:17">
      <c r="D62" s="2">
        <v>37</v>
      </c>
      <c r="E62" s="2" t="s">
        <v>366</v>
      </c>
      <c r="F62" s="2">
        <v>1</v>
      </c>
      <c r="G62" s="39">
        <v>44674</v>
      </c>
      <c r="H62" s="2" t="s">
        <v>89</v>
      </c>
      <c r="I62" s="2" t="s">
        <v>52</v>
      </c>
      <c r="J62" s="142">
        <v>90</v>
      </c>
      <c r="K62" s="142">
        <v>500</v>
      </c>
      <c r="L62" s="142">
        <v>0</v>
      </c>
      <c r="M62" s="142">
        <v>0</v>
      </c>
      <c r="N62" s="142"/>
      <c r="O62" s="142">
        <v>120</v>
      </c>
      <c r="P62" s="142">
        <v>710</v>
      </c>
      <c r="Q62" s="232"/>
    </row>
    <row r="63" spans="4:17">
      <c r="D63" s="2">
        <v>38</v>
      </c>
      <c r="E63" s="2" t="s">
        <v>367</v>
      </c>
      <c r="F63" s="2">
        <v>1</v>
      </c>
      <c r="G63" s="39">
        <v>44675</v>
      </c>
      <c r="H63" s="2" t="s">
        <v>90</v>
      </c>
      <c r="I63" s="2" t="s">
        <v>52</v>
      </c>
      <c r="J63" s="142">
        <v>1000</v>
      </c>
      <c r="K63" s="142">
        <v>500</v>
      </c>
      <c r="L63" s="142">
        <v>100</v>
      </c>
      <c r="M63" s="142">
        <v>0</v>
      </c>
      <c r="N63" s="142"/>
      <c r="O63" s="142">
        <v>0</v>
      </c>
      <c r="P63" s="142">
        <v>1600</v>
      </c>
      <c r="Q63" s="232"/>
    </row>
    <row r="64" spans="4:17">
      <c r="D64" s="2">
        <v>39</v>
      </c>
      <c r="E64" s="2" t="s">
        <v>368</v>
      </c>
      <c r="F64" s="2">
        <v>1</v>
      </c>
      <c r="G64" s="39">
        <v>44676</v>
      </c>
      <c r="H64" s="2" t="s">
        <v>289</v>
      </c>
      <c r="I64" s="2" t="s">
        <v>52</v>
      </c>
      <c r="J64" s="142">
        <v>330</v>
      </c>
      <c r="K64" s="142">
        <v>500</v>
      </c>
      <c r="L64" s="142">
        <v>0</v>
      </c>
      <c r="M64" s="142">
        <v>0</v>
      </c>
      <c r="N64" s="142"/>
      <c r="O64" s="142">
        <v>0</v>
      </c>
      <c r="P64" s="142">
        <v>830</v>
      </c>
      <c r="Q64" s="232"/>
    </row>
    <row r="65" spans="4:17">
      <c r="D65" s="2">
        <v>40</v>
      </c>
      <c r="E65" s="2" t="s">
        <v>369</v>
      </c>
      <c r="F65" s="2">
        <v>1</v>
      </c>
      <c r="G65" s="39">
        <v>44677</v>
      </c>
      <c r="H65" s="2" t="s">
        <v>85</v>
      </c>
      <c r="I65" s="2" t="s">
        <v>52</v>
      </c>
      <c r="J65" s="142">
        <v>767</v>
      </c>
      <c r="K65" s="142">
        <v>500</v>
      </c>
      <c r="L65" s="142">
        <v>150</v>
      </c>
      <c r="M65" s="142">
        <v>0</v>
      </c>
      <c r="N65" s="142"/>
      <c r="O65" s="142">
        <v>0</v>
      </c>
      <c r="P65" s="142">
        <v>1417</v>
      </c>
      <c r="Q65" s="232"/>
    </row>
    <row r="66" spans="4:17">
      <c r="D66" s="2">
        <v>41</v>
      </c>
      <c r="E66" s="2" t="s">
        <v>370</v>
      </c>
      <c r="F66" s="2">
        <v>1</v>
      </c>
      <c r="G66" s="39">
        <v>44678</v>
      </c>
      <c r="H66" s="2" t="s">
        <v>86</v>
      </c>
      <c r="I66" s="2" t="s">
        <v>52</v>
      </c>
      <c r="J66" s="142">
        <v>620</v>
      </c>
      <c r="K66" s="142">
        <v>500</v>
      </c>
      <c r="L66" s="142">
        <v>0</v>
      </c>
      <c r="M66" s="142">
        <v>0</v>
      </c>
      <c r="N66" s="142"/>
      <c r="O66" s="142">
        <v>0</v>
      </c>
      <c r="P66" s="142">
        <v>1120</v>
      </c>
      <c r="Q66" s="232"/>
    </row>
    <row r="67" spans="4:17">
      <c r="D67" s="2">
        <v>42</v>
      </c>
      <c r="E67" s="2" t="s">
        <v>371</v>
      </c>
      <c r="F67" s="2">
        <v>1</v>
      </c>
      <c r="G67" s="39">
        <v>44679</v>
      </c>
      <c r="H67" s="2" t="s">
        <v>87</v>
      </c>
      <c r="I67" s="2" t="s">
        <v>52</v>
      </c>
      <c r="J67" s="142">
        <v>890</v>
      </c>
      <c r="K67" s="142">
        <v>500</v>
      </c>
      <c r="L67" s="142">
        <v>0</v>
      </c>
      <c r="M67" s="142">
        <v>0</v>
      </c>
      <c r="N67" s="142"/>
      <c r="O67" s="142">
        <v>0</v>
      </c>
      <c r="P67" s="142">
        <v>1390</v>
      </c>
      <c r="Q67" s="232"/>
    </row>
    <row r="68" spans="4:17">
      <c r="D68" s="2">
        <v>43</v>
      </c>
      <c r="E68" s="2" t="s">
        <v>372</v>
      </c>
      <c r="F68" s="2">
        <v>1</v>
      </c>
      <c r="G68" s="39">
        <v>44680</v>
      </c>
      <c r="H68" s="2" t="s">
        <v>88</v>
      </c>
      <c r="I68" s="2" t="s">
        <v>52</v>
      </c>
      <c r="J68" s="142">
        <v>230</v>
      </c>
      <c r="K68" s="142">
        <v>500</v>
      </c>
      <c r="L68" s="142">
        <v>500</v>
      </c>
      <c r="M68" s="142">
        <v>0</v>
      </c>
      <c r="N68" s="142"/>
      <c r="O68" s="142">
        <v>0</v>
      </c>
      <c r="P68" s="142">
        <v>1230</v>
      </c>
      <c r="Q68" s="232"/>
    </row>
    <row r="69" spans="4:17">
      <c r="D69" s="2">
        <v>44</v>
      </c>
      <c r="E69" s="2" t="s">
        <v>373</v>
      </c>
      <c r="F69" s="2">
        <v>1</v>
      </c>
      <c r="G69" s="39">
        <v>44681</v>
      </c>
      <c r="H69" s="2" t="s">
        <v>89</v>
      </c>
      <c r="I69" s="2" t="s">
        <v>52</v>
      </c>
      <c r="J69" s="142">
        <v>445</v>
      </c>
      <c r="K69" s="142">
        <v>437.5</v>
      </c>
      <c r="L69" s="142">
        <v>0</v>
      </c>
      <c r="M69" s="142">
        <v>0</v>
      </c>
      <c r="N69" s="142"/>
      <c r="O69" s="142">
        <v>0</v>
      </c>
      <c r="P69" s="142">
        <v>882.5</v>
      </c>
      <c r="Q69" s="232"/>
    </row>
    <row r="70" spans="4:17">
      <c r="D70" s="2">
        <v>45</v>
      </c>
      <c r="E70" s="2" t="s">
        <v>374</v>
      </c>
      <c r="F70" s="2">
        <v>1</v>
      </c>
      <c r="G70" s="39">
        <v>44682</v>
      </c>
      <c r="H70" s="2" t="s">
        <v>90</v>
      </c>
      <c r="I70" s="2" t="s">
        <v>52</v>
      </c>
      <c r="J70" s="142">
        <v>695</v>
      </c>
      <c r="K70" s="142">
        <v>437.5</v>
      </c>
      <c r="L70" s="142">
        <v>0</v>
      </c>
      <c r="M70" s="142">
        <v>0</v>
      </c>
      <c r="N70" s="142"/>
      <c r="O70" s="142">
        <v>0</v>
      </c>
      <c r="P70" s="142">
        <v>1132.5</v>
      </c>
      <c r="Q70" s="232"/>
    </row>
    <row r="71" spans="4:17">
      <c r="D71" s="2">
        <v>46</v>
      </c>
      <c r="E71" s="2" t="s">
        <v>375</v>
      </c>
      <c r="F71" s="2">
        <v>1</v>
      </c>
      <c r="G71" s="39">
        <v>44683</v>
      </c>
      <c r="H71" s="2" t="s">
        <v>289</v>
      </c>
      <c r="I71" s="2" t="s">
        <v>52</v>
      </c>
      <c r="J71" s="142">
        <v>560</v>
      </c>
      <c r="K71" s="142">
        <v>437.5</v>
      </c>
      <c r="L71" s="142">
        <v>0</v>
      </c>
      <c r="M71" s="142">
        <v>0</v>
      </c>
      <c r="N71" s="142"/>
      <c r="O71" s="142">
        <v>0</v>
      </c>
      <c r="P71" s="142">
        <v>997.5</v>
      </c>
      <c r="Q71" s="232"/>
    </row>
    <row r="72" spans="4:17">
      <c r="D72" s="2">
        <v>47</v>
      </c>
      <c r="E72" s="2" t="s">
        <v>376</v>
      </c>
      <c r="F72" s="2">
        <v>1</v>
      </c>
      <c r="G72" s="39">
        <v>44684</v>
      </c>
      <c r="H72" s="2" t="s">
        <v>85</v>
      </c>
      <c r="I72" s="2" t="s">
        <v>52</v>
      </c>
      <c r="J72" s="142">
        <v>555</v>
      </c>
      <c r="K72" s="142">
        <v>437.5</v>
      </c>
      <c r="L72" s="142">
        <v>0</v>
      </c>
      <c r="M72" s="142">
        <v>0</v>
      </c>
      <c r="N72" s="142"/>
      <c r="O72" s="142">
        <v>0</v>
      </c>
      <c r="P72" s="142">
        <v>992.5</v>
      </c>
      <c r="Q72" s="232"/>
    </row>
    <row r="73" spans="4:17">
      <c r="D73" s="2">
        <v>48</v>
      </c>
      <c r="E73" s="2" t="s">
        <v>377</v>
      </c>
      <c r="F73" s="2">
        <v>1</v>
      </c>
      <c r="G73" s="39">
        <v>44685</v>
      </c>
      <c r="H73" s="2" t="s">
        <v>86</v>
      </c>
      <c r="I73" s="2" t="s">
        <v>52</v>
      </c>
      <c r="J73" s="142">
        <v>340</v>
      </c>
      <c r="K73" s="142">
        <v>437.5</v>
      </c>
      <c r="L73" s="142">
        <v>0</v>
      </c>
      <c r="M73" s="142">
        <v>0</v>
      </c>
      <c r="N73" s="142"/>
      <c r="O73" s="142">
        <v>0</v>
      </c>
      <c r="P73" s="142">
        <v>777.5</v>
      </c>
      <c r="Q73" s="232"/>
    </row>
    <row r="74" spans="4:17">
      <c r="D74" s="2">
        <v>49</v>
      </c>
      <c r="E74" s="2" t="s">
        <v>378</v>
      </c>
      <c r="F74" s="2">
        <v>1</v>
      </c>
      <c r="G74" s="39">
        <v>44686</v>
      </c>
      <c r="H74" s="2" t="s">
        <v>87</v>
      </c>
      <c r="I74" s="2" t="s">
        <v>52</v>
      </c>
      <c r="J74" s="142">
        <v>455</v>
      </c>
      <c r="K74" s="142">
        <v>437.5</v>
      </c>
      <c r="L74" s="142">
        <v>200</v>
      </c>
      <c r="M74" s="142">
        <v>0</v>
      </c>
      <c r="N74" s="142"/>
      <c r="O74" s="142">
        <v>0</v>
      </c>
      <c r="P74" s="142">
        <v>1092.5</v>
      </c>
      <c r="Q74" s="232"/>
    </row>
    <row r="75" spans="4:17">
      <c r="D75" s="2">
        <v>50</v>
      </c>
      <c r="E75" s="2" t="s">
        <v>379</v>
      </c>
      <c r="F75" s="2">
        <v>1</v>
      </c>
      <c r="G75" s="39">
        <v>44687</v>
      </c>
      <c r="H75" s="2" t="s">
        <v>88</v>
      </c>
      <c r="I75" s="2" t="s">
        <v>52</v>
      </c>
      <c r="J75" s="142">
        <v>350</v>
      </c>
      <c r="K75" s="142">
        <v>437.5</v>
      </c>
      <c r="L75" s="142">
        <v>90</v>
      </c>
      <c r="M75" s="142">
        <v>0</v>
      </c>
      <c r="N75" s="142"/>
      <c r="O75" s="142">
        <v>0</v>
      </c>
      <c r="P75" s="142">
        <v>877.5</v>
      </c>
      <c r="Q75" s="232"/>
    </row>
    <row r="76" spans="4:17">
      <c r="D76" s="2">
        <v>51</v>
      </c>
      <c r="E76" s="2" t="s">
        <v>380</v>
      </c>
      <c r="F76" s="2">
        <v>1</v>
      </c>
      <c r="G76" s="39">
        <v>44688</v>
      </c>
      <c r="H76" s="2" t="s">
        <v>89</v>
      </c>
      <c r="I76" s="2" t="s">
        <v>52</v>
      </c>
      <c r="J76" s="142">
        <v>365</v>
      </c>
      <c r="K76" s="142">
        <v>437.5</v>
      </c>
      <c r="L76" s="142">
        <v>0</v>
      </c>
      <c r="M76" s="142">
        <v>0</v>
      </c>
      <c r="N76" s="142"/>
      <c r="O76" s="142">
        <v>0</v>
      </c>
      <c r="P76" s="142">
        <v>802.5</v>
      </c>
      <c r="Q76" s="232"/>
    </row>
    <row r="77" spans="4:17">
      <c r="D77" s="2">
        <v>52</v>
      </c>
      <c r="E77" s="2" t="s">
        <v>381</v>
      </c>
      <c r="F77" s="2">
        <v>1</v>
      </c>
      <c r="G77" s="39">
        <v>44689</v>
      </c>
      <c r="H77" s="2" t="s">
        <v>90</v>
      </c>
      <c r="I77" s="2" t="s">
        <v>52</v>
      </c>
      <c r="J77" s="142">
        <v>615</v>
      </c>
      <c r="K77" s="142">
        <v>437.5</v>
      </c>
      <c r="L77" s="142">
        <v>0</v>
      </c>
      <c r="M77" s="142">
        <v>0</v>
      </c>
      <c r="N77" s="142"/>
      <c r="O77" s="142">
        <v>0</v>
      </c>
      <c r="P77" s="142">
        <v>1052.5</v>
      </c>
      <c r="Q77" s="232"/>
    </row>
    <row r="78" spans="4:17">
      <c r="D78" s="2">
        <v>53</v>
      </c>
      <c r="E78" s="2" t="s">
        <v>382</v>
      </c>
      <c r="F78" s="2">
        <v>1</v>
      </c>
      <c r="G78" s="39">
        <v>44690</v>
      </c>
      <c r="H78" s="2" t="s">
        <v>289</v>
      </c>
      <c r="I78" s="2" t="s">
        <v>52</v>
      </c>
      <c r="J78" s="142">
        <v>480</v>
      </c>
      <c r="K78" s="142">
        <v>437.5</v>
      </c>
      <c r="L78" s="142">
        <v>0</v>
      </c>
      <c r="M78" s="142">
        <v>0</v>
      </c>
      <c r="N78" s="142"/>
      <c r="O78" s="142">
        <v>0</v>
      </c>
      <c r="P78" s="142">
        <v>917.5</v>
      </c>
      <c r="Q78" s="232"/>
    </row>
    <row r="79" spans="4:17">
      <c r="D79" s="2">
        <v>54</v>
      </c>
      <c r="E79" s="2" t="s">
        <v>383</v>
      </c>
      <c r="F79" s="2">
        <v>1</v>
      </c>
      <c r="G79" s="39">
        <v>44691</v>
      </c>
      <c r="H79" s="2" t="s">
        <v>85</v>
      </c>
      <c r="I79" s="2" t="s">
        <v>52</v>
      </c>
      <c r="J79" s="142">
        <v>78</v>
      </c>
      <c r="K79" s="142">
        <v>437.5</v>
      </c>
      <c r="L79" s="142">
        <v>0</v>
      </c>
      <c r="M79" s="142">
        <v>0</v>
      </c>
      <c r="N79" s="142"/>
      <c r="O79" s="142">
        <v>0</v>
      </c>
      <c r="P79" s="142">
        <v>515.5</v>
      </c>
      <c r="Q79" s="232"/>
    </row>
    <row r="80" spans="4:17">
      <c r="D80" s="2">
        <v>55</v>
      </c>
      <c r="E80" s="2" t="s">
        <v>384</v>
      </c>
      <c r="F80" s="2">
        <v>1</v>
      </c>
      <c r="G80" s="39">
        <v>44692</v>
      </c>
      <c r="H80" s="2" t="s">
        <v>86</v>
      </c>
      <c r="I80" s="2" t="s">
        <v>52</v>
      </c>
      <c r="J80" s="142">
        <v>720</v>
      </c>
      <c r="K80" s="142">
        <v>437.5</v>
      </c>
      <c r="L80" s="142">
        <v>0</v>
      </c>
      <c r="M80" s="142">
        <v>0</v>
      </c>
      <c r="N80" s="142"/>
      <c r="O80" s="142">
        <v>0</v>
      </c>
      <c r="P80" s="142">
        <v>1157.5</v>
      </c>
      <c r="Q80" s="232"/>
    </row>
    <row r="81" spans="4:17">
      <c r="D81" s="2">
        <v>56</v>
      </c>
      <c r="E81" s="2" t="s">
        <v>385</v>
      </c>
      <c r="F81" s="2">
        <v>1</v>
      </c>
      <c r="G81" s="39">
        <v>44693</v>
      </c>
      <c r="H81" s="2" t="s">
        <v>87</v>
      </c>
      <c r="I81" s="2" t="s">
        <v>52</v>
      </c>
      <c r="J81" s="142">
        <v>245</v>
      </c>
      <c r="K81" s="142">
        <v>437.5</v>
      </c>
      <c r="L81" s="142">
        <v>50</v>
      </c>
      <c r="M81" s="142">
        <v>0</v>
      </c>
      <c r="N81" s="142"/>
      <c r="O81" s="142">
        <v>200</v>
      </c>
      <c r="P81" s="142">
        <v>932.5</v>
      </c>
      <c r="Q81" s="232"/>
    </row>
    <row r="82" spans="4:17">
      <c r="D82" s="2">
        <v>57</v>
      </c>
      <c r="E82" s="2" t="s">
        <v>386</v>
      </c>
      <c r="F82" s="2">
        <v>1</v>
      </c>
      <c r="G82" s="39">
        <v>44694</v>
      </c>
      <c r="H82" s="2" t="s">
        <v>88</v>
      </c>
      <c r="I82" s="2" t="s">
        <v>52</v>
      </c>
      <c r="J82" s="142">
        <v>400</v>
      </c>
      <c r="K82" s="142">
        <v>437.5</v>
      </c>
      <c r="L82" s="142">
        <v>450</v>
      </c>
      <c r="M82" s="142">
        <v>0</v>
      </c>
      <c r="N82" s="142"/>
      <c r="O82" s="142">
        <v>150</v>
      </c>
      <c r="P82" s="142">
        <v>1437.5</v>
      </c>
      <c r="Q82" s="232"/>
    </row>
    <row r="83" spans="4:17">
      <c r="D83" s="2">
        <v>58</v>
      </c>
      <c r="E83" s="2" t="s">
        <v>387</v>
      </c>
      <c r="F83" s="2">
        <v>1</v>
      </c>
      <c r="G83" s="39">
        <v>44695</v>
      </c>
      <c r="H83" s="2" t="s">
        <v>89</v>
      </c>
      <c r="I83" s="2" t="s">
        <v>52</v>
      </c>
      <c r="J83" s="142">
        <v>570</v>
      </c>
      <c r="K83" s="142">
        <v>437.5</v>
      </c>
      <c r="L83" s="142">
        <v>0</v>
      </c>
      <c r="M83" s="142">
        <v>0</v>
      </c>
      <c r="N83" s="142"/>
      <c r="O83" s="142">
        <v>0</v>
      </c>
      <c r="P83" s="142">
        <v>1007.5</v>
      </c>
      <c r="Q83" s="232"/>
    </row>
    <row r="84" spans="4:17">
      <c r="D84" s="2">
        <v>59</v>
      </c>
      <c r="E84" s="2" t="s">
        <v>388</v>
      </c>
      <c r="F84" s="2">
        <v>1</v>
      </c>
      <c r="G84" s="39">
        <v>44696</v>
      </c>
      <c r="H84" s="2" t="s">
        <v>90</v>
      </c>
      <c r="I84" s="2" t="s">
        <v>288</v>
      </c>
      <c r="J84" s="142">
        <v>490</v>
      </c>
      <c r="K84" s="142">
        <v>437.5</v>
      </c>
      <c r="L84" s="142">
        <v>0</v>
      </c>
      <c r="M84" s="142">
        <v>450</v>
      </c>
      <c r="N84" s="142"/>
      <c r="O84" s="142">
        <v>0</v>
      </c>
      <c r="P84" s="142">
        <v>1377.5</v>
      </c>
      <c r="Q84" s="232"/>
    </row>
    <row r="85" spans="4:17">
      <c r="D85" s="2">
        <v>60</v>
      </c>
      <c r="E85" s="2" t="s">
        <v>389</v>
      </c>
      <c r="F85" s="2">
        <v>1</v>
      </c>
      <c r="G85" s="39">
        <v>44697</v>
      </c>
      <c r="H85" s="2" t="s">
        <v>289</v>
      </c>
      <c r="I85" s="2" t="s">
        <v>52</v>
      </c>
      <c r="J85" s="142">
        <v>138</v>
      </c>
      <c r="K85" s="142">
        <v>533.33000000000004</v>
      </c>
      <c r="L85" s="142">
        <v>0</v>
      </c>
      <c r="M85" s="142">
        <v>450</v>
      </c>
      <c r="N85" s="142"/>
      <c r="O85" s="142">
        <v>0</v>
      </c>
      <c r="P85" s="142">
        <v>1121.33</v>
      </c>
      <c r="Q85" s="232"/>
    </row>
    <row r="86" spans="4:17">
      <c r="D86" s="2">
        <v>61</v>
      </c>
      <c r="E86" s="2" t="s">
        <v>390</v>
      </c>
      <c r="F86" s="2">
        <v>1</v>
      </c>
      <c r="G86" s="39">
        <v>44698</v>
      </c>
      <c r="H86" s="2" t="s">
        <v>85</v>
      </c>
      <c r="I86" s="2" t="s">
        <v>52</v>
      </c>
      <c r="J86" s="142">
        <v>205</v>
      </c>
      <c r="K86" s="142">
        <v>533.33000000000004</v>
      </c>
      <c r="L86" s="142">
        <v>1562</v>
      </c>
      <c r="M86" s="142">
        <v>0</v>
      </c>
      <c r="N86" s="142"/>
      <c r="O86" s="142">
        <v>0</v>
      </c>
      <c r="P86" s="142">
        <v>2300.33</v>
      </c>
      <c r="Q86" s="232"/>
    </row>
    <row r="87" spans="4:17">
      <c r="D87" s="2">
        <v>62</v>
      </c>
      <c r="E87" s="2" t="s">
        <v>391</v>
      </c>
      <c r="F87" s="2">
        <v>1</v>
      </c>
      <c r="G87" s="39">
        <v>44699</v>
      </c>
      <c r="H87" s="2" t="s">
        <v>86</v>
      </c>
      <c r="I87" s="2" t="s">
        <v>52</v>
      </c>
      <c r="J87" s="142">
        <v>514.99999999999989</v>
      </c>
      <c r="K87" s="142">
        <v>533.33000000000004</v>
      </c>
      <c r="L87" s="142">
        <v>70</v>
      </c>
      <c r="M87" s="142">
        <v>0</v>
      </c>
      <c r="N87" s="142"/>
      <c r="O87" s="142">
        <v>0</v>
      </c>
      <c r="P87" s="142">
        <v>1118.33</v>
      </c>
      <c r="Q87" s="232"/>
    </row>
    <row r="88" spans="4:17">
      <c r="D88" s="2">
        <v>63</v>
      </c>
      <c r="E88" s="2" t="s">
        <v>392</v>
      </c>
      <c r="F88" s="2">
        <v>1</v>
      </c>
      <c r="G88" s="39">
        <v>44700</v>
      </c>
      <c r="H88" s="2" t="s">
        <v>87</v>
      </c>
      <c r="I88" s="2" t="s">
        <v>52</v>
      </c>
      <c r="J88" s="142">
        <v>854.99999999999989</v>
      </c>
      <c r="K88" s="142">
        <v>533.33000000000004</v>
      </c>
      <c r="L88" s="142">
        <v>120</v>
      </c>
      <c r="M88" s="142">
        <v>0</v>
      </c>
      <c r="N88" s="142"/>
      <c r="O88" s="142">
        <v>0</v>
      </c>
      <c r="P88" s="142">
        <v>1508.33</v>
      </c>
      <c r="Q88" s="232"/>
    </row>
    <row r="89" spans="4:17">
      <c r="D89" s="2">
        <v>64</v>
      </c>
      <c r="E89" s="2" t="s">
        <v>292</v>
      </c>
      <c r="F89" s="2">
        <v>1</v>
      </c>
      <c r="G89" s="39">
        <v>44701</v>
      </c>
      <c r="H89" s="2" t="s">
        <v>88</v>
      </c>
      <c r="I89" s="2" t="s">
        <v>52</v>
      </c>
      <c r="J89" s="142">
        <v>455</v>
      </c>
      <c r="K89" s="142">
        <v>533.33000000000004</v>
      </c>
      <c r="L89" s="142">
        <v>632</v>
      </c>
      <c r="M89" s="142">
        <v>1700</v>
      </c>
      <c r="N89" s="142"/>
      <c r="O89" s="142">
        <v>0</v>
      </c>
      <c r="P89" s="142">
        <v>3320.33</v>
      </c>
      <c r="Q89" s="232"/>
    </row>
    <row r="90" spans="4:17">
      <c r="D90" s="2">
        <v>65</v>
      </c>
      <c r="E90" s="2" t="s">
        <v>291</v>
      </c>
      <c r="F90" s="2">
        <v>1</v>
      </c>
      <c r="G90" s="39">
        <v>44702</v>
      </c>
      <c r="H90" s="2" t="s">
        <v>89</v>
      </c>
      <c r="I90" s="2" t="s">
        <v>52</v>
      </c>
      <c r="J90" s="142">
        <v>200</v>
      </c>
      <c r="K90" s="142">
        <v>533.33000000000004</v>
      </c>
      <c r="L90" s="142">
        <v>200</v>
      </c>
      <c r="M90" s="142">
        <v>0</v>
      </c>
      <c r="N90" s="142"/>
      <c r="O90" s="142">
        <v>0</v>
      </c>
      <c r="P90" s="142">
        <v>933.33</v>
      </c>
      <c r="Q90" s="232"/>
    </row>
    <row r="91" spans="4:17">
      <c r="D91" s="2">
        <v>66</v>
      </c>
      <c r="E91" s="2" t="s">
        <v>393</v>
      </c>
      <c r="F91" s="2">
        <v>1</v>
      </c>
      <c r="G91" s="39">
        <v>44703</v>
      </c>
      <c r="H91" s="2" t="s">
        <v>90</v>
      </c>
      <c r="I91" s="2" t="s">
        <v>52</v>
      </c>
      <c r="J91" s="142">
        <v>150</v>
      </c>
      <c r="K91" s="142">
        <v>533.33000000000004</v>
      </c>
      <c r="L91" s="142">
        <v>200</v>
      </c>
      <c r="M91" s="142">
        <v>0</v>
      </c>
      <c r="N91" s="142"/>
      <c r="O91" s="142">
        <v>0</v>
      </c>
      <c r="P91" s="142">
        <v>883.33</v>
      </c>
      <c r="Q91" s="232"/>
    </row>
    <row r="92" spans="4:17">
      <c r="D92" s="2">
        <v>67</v>
      </c>
      <c r="E92" s="2" t="s">
        <v>394</v>
      </c>
      <c r="F92" s="2">
        <v>1</v>
      </c>
      <c r="G92" s="39">
        <v>44704</v>
      </c>
      <c r="H92" s="2" t="s">
        <v>289</v>
      </c>
      <c r="I92" s="2" t="s">
        <v>52</v>
      </c>
      <c r="J92" s="142">
        <v>649.99999999999989</v>
      </c>
      <c r="K92" s="142">
        <v>533.33000000000004</v>
      </c>
      <c r="L92" s="142">
        <v>0</v>
      </c>
      <c r="M92" s="142">
        <v>0</v>
      </c>
      <c r="N92" s="142"/>
      <c r="O92" s="142">
        <v>0</v>
      </c>
      <c r="P92" s="142">
        <v>1183.33</v>
      </c>
      <c r="Q92" s="232"/>
    </row>
    <row r="93" spans="4:17">
      <c r="D93" s="2">
        <v>68</v>
      </c>
      <c r="E93" s="2" t="s">
        <v>395</v>
      </c>
      <c r="F93" s="2">
        <v>1</v>
      </c>
      <c r="G93" s="39">
        <v>44705</v>
      </c>
      <c r="H93" s="2" t="s">
        <v>85</v>
      </c>
      <c r="I93" s="2" t="s">
        <v>52</v>
      </c>
      <c r="J93" s="142">
        <v>345</v>
      </c>
      <c r="K93" s="142">
        <v>533.33000000000004</v>
      </c>
      <c r="L93" s="142">
        <v>0</v>
      </c>
      <c r="M93" s="142">
        <v>0</v>
      </c>
      <c r="N93" s="142"/>
      <c r="O93" s="142">
        <v>0</v>
      </c>
      <c r="P93" s="142">
        <v>878.33</v>
      </c>
      <c r="Q93" s="232"/>
    </row>
    <row r="94" spans="4:17">
      <c r="D94" s="2">
        <v>69</v>
      </c>
      <c r="E94" s="2" t="s">
        <v>396</v>
      </c>
      <c r="F94" s="2">
        <v>1</v>
      </c>
      <c r="G94" s="39">
        <v>44706</v>
      </c>
      <c r="H94" s="2" t="s">
        <v>86</v>
      </c>
      <c r="I94" s="2" t="s">
        <v>52</v>
      </c>
      <c r="J94" s="142">
        <v>260</v>
      </c>
      <c r="K94" s="142">
        <v>533.33000000000004</v>
      </c>
      <c r="L94" s="142">
        <v>0</v>
      </c>
      <c r="M94" s="142">
        <v>0</v>
      </c>
      <c r="N94" s="142"/>
      <c r="O94" s="142">
        <v>0</v>
      </c>
      <c r="P94" s="142">
        <v>793.33</v>
      </c>
      <c r="Q94" s="232"/>
    </row>
    <row r="95" spans="4:17">
      <c r="D95" s="2">
        <v>70</v>
      </c>
      <c r="E95" s="2" t="s">
        <v>397</v>
      </c>
      <c r="F95" s="2">
        <v>1</v>
      </c>
      <c r="G95" s="39">
        <v>44707</v>
      </c>
      <c r="H95" s="2" t="s">
        <v>87</v>
      </c>
      <c r="I95" s="2" t="s">
        <v>52</v>
      </c>
      <c r="J95" s="142">
        <v>270</v>
      </c>
      <c r="K95" s="142">
        <v>533.33000000000004</v>
      </c>
      <c r="L95" s="142">
        <v>0</v>
      </c>
      <c r="M95" s="142">
        <v>0</v>
      </c>
      <c r="N95" s="142"/>
      <c r="O95" s="142">
        <v>0</v>
      </c>
      <c r="P95" s="142">
        <v>803.33</v>
      </c>
      <c r="Q95" s="232"/>
    </row>
    <row r="96" spans="4:17">
      <c r="D96" s="2">
        <v>71</v>
      </c>
      <c r="E96" s="2" t="s">
        <v>398</v>
      </c>
      <c r="F96" s="2">
        <v>1</v>
      </c>
      <c r="G96" s="39">
        <v>44708</v>
      </c>
      <c r="H96" s="2" t="s">
        <v>88</v>
      </c>
      <c r="I96" s="2" t="s">
        <v>52</v>
      </c>
      <c r="J96" s="142">
        <v>120</v>
      </c>
      <c r="K96" s="142">
        <v>533.33000000000004</v>
      </c>
      <c r="L96" s="142">
        <v>250</v>
      </c>
      <c r="M96" s="142">
        <v>0</v>
      </c>
      <c r="N96" s="142"/>
      <c r="O96" s="142">
        <v>0</v>
      </c>
      <c r="P96" s="142">
        <v>903.33</v>
      </c>
      <c r="Q96" s="232"/>
    </row>
    <row r="97" spans="4:17">
      <c r="D97" s="2">
        <v>72</v>
      </c>
      <c r="E97" s="2" t="s">
        <v>399</v>
      </c>
      <c r="F97" s="2">
        <v>1</v>
      </c>
      <c r="G97" s="39">
        <v>44709</v>
      </c>
      <c r="H97" s="2" t="s">
        <v>89</v>
      </c>
      <c r="I97" s="2" t="s">
        <v>52</v>
      </c>
      <c r="J97" s="142">
        <v>180</v>
      </c>
      <c r="K97" s="142">
        <v>533.33000000000004</v>
      </c>
      <c r="L97" s="142">
        <v>0</v>
      </c>
      <c r="M97" s="142">
        <v>0</v>
      </c>
      <c r="N97" s="142"/>
      <c r="O97" s="142">
        <v>0</v>
      </c>
      <c r="P97" s="142">
        <v>713.33</v>
      </c>
      <c r="Q97" s="232"/>
    </row>
    <row r="98" spans="4:17">
      <c r="D98" s="2">
        <v>73</v>
      </c>
      <c r="E98" s="2" t="s">
        <v>400</v>
      </c>
      <c r="F98" s="2">
        <v>1</v>
      </c>
      <c r="G98" s="39">
        <v>44710</v>
      </c>
      <c r="H98" s="2" t="s">
        <v>90</v>
      </c>
      <c r="I98" s="2" t="s">
        <v>52</v>
      </c>
      <c r="J98" s="142">
        <v>450</v>
      </c>
      <c r="K98" s="142">
        <v>533.33000000000004</v>
      </c>
      <c r="L98" s="142">
        <v>0</v>
      </c>
      <c r="M98" s="142">
        <v>700</v>
      </c>
      <c r="N98" s="142"/>
      <c r="O98" s="142">
        <v>380</v>
      </c>
      <c r="P98" s="142">
        <v>2063.33</v>
      </c>
      <c r="Q98" s="232"/>
    </row>
    <row r="99" spans="4:17">
      <c r="D99" s="2">
        <v>74</v>
      </c>
      <c r="E99" s="2" t="s">
        <v>401</v>
      </c>
      <c r="F99" s="2">
        <v>1</v>
      </c>
      <c r="G99" s="39">
        <v>44711</v>
      </c>
      <c r="H99" s="2" t="s">
        <v>289</v>
      </c>
      <c r="I99" s="2" t="s">
        <v>52</v>
      </c>
      <c r="J99" s="142">
        <v>924.99999999999989</v>
      </c>
      <c r="K99" s="142">
        <v>533.33000000000004</v>
      </c>
      <c r="L99" s="142">
        <v>0</v>
      </c>
      <c r="M99" s="142">
        <v>0</v>
      </c>
      <c r="N99" s="142"/>
      <c r="O99" s="142">
        <v>0</v>
      </c>
      <c r="P99" s="142">
        <v>1458.33</v>
      </c>
      <c r="Q99" s="232"/>
    </row>
    <row r="100" spans="4:17">
      <c r="D100" s="2">
        <v>75</v>
      </c>
      <c r="E100" s="2" t="s">
        <v>402</v>
      </c>
      <c r="F100" s="2">
        <v>1</v>
      </c>
      <c r="G100" s="39">
        <v>44712</v>
      </c>
      <c r="H100" s="2" t="s">
        <v>85</v>
      </c>
      <c r="I100" s="2" t="s">
        <v>52</v>
      </c>
      <c r="J100" s="142">
        <v>410</v>
      </c>
      <c r="K100" s="142">
        <v>466.66669999999999</v>
      </c>
      <c r="L100" s="142">
        <v>200</v>
      </c>
      <c r="M100" s="142">
        <v>0</v>
      </c>
      <c r="N100" s="142"/>
      <c r="O100" s="142">
        <v>0</v>
      </c>
      <c r="P100" s="142">
        <v>1076.6667</v>
      </c>
      <c r="Q100" s="232"/>
    </row>
    <row r="101" spans="4:17">
      <c r="D101" s="2">
        <v>76</v>
      </c>
      <c r="E101" s="2" t="s">
        <v>403</v>
      </c>
      <c r="F101" s="2">
        <v>1</v>
      </c>
      <c r="G101" s="39">
        <v>44713</v>
      </c>
      <c r="H101" s="2" t="s">
        <v>86</v>
      </c>
      <c r="I101" s="2" t="s">
        <v>52</v>
      </c>
      <c r="J101" s="142">
        <v>295</v>
      </c>
      <c r="K101" s="142">
        <v>466.66669999999999</v>
      </c>
      <c r="L101" s="142">
        <v>0</v>
      </c>
      <c r="M101" s="142">
        <v>0</v>
      </c>
      <c r="N101" s="142"/>
      <c r="O101" s="142">
        <v>0</v>
      </c>
      <c r="P101" s="142">
        <v>761.66669999999999</v>
      </c>
      <c r="Q101" s="232"/>
    </row>
    <row r="102" spans="4:17">
      <c r="D102" s="2">
        <v>77</v>
      </c>
      <c r="E102" s="2" t="s">
        <v>404</v>
      </c>
      <c r="F102" s="2">
        <v>1</v>
      </c>
      <c r="G102" s="39">
        <v>44714</v>
      </c>
      <c r="H102" s="2" t="s">
        <v>87</v>
      </c>
      <c r="I102" s="2" t="s">
        <v>510</v>
      </c>
      <c r="J102" s="142">
        <v>740</v>
      </c>
      <c r="K102" s="142">
        <v>466.66669999999999</v>
      </c>
      <c r="L102" s="142">
        <v>650</v>
      </c>
      <c r="M102" s="142">
        <v>100</v>
      </c>
      <c r="N102" s="142"/>
      <c r="O102" s="142">
        <v>0</v>
      </c>
      <c r="P102" s="142">
        <v>1956.6667</v>
      </c>
      <c r="Q102" s="232"/>
    </row>
    <row r="103" spans="4:17">
      <c r="D103" s="2">
        <v>78</v>
      </c>
      <c r="E103" s="2" t="s">
        <v>405</v>
      </c>
      <c r="F103" s="2">
        <v>1</v>
      </c>
      <c r="G103" s="39">
        <v>44715</v>
      </c>
      <c r="H103" s="2" t="s">
        <v>88</v>
      </c>
      <c r="I103" s="2" t="s">
        <v>510</v>
      </c>
      <c r="J103" s="142">
        <v>565</v>
      </c>
      <c r="K103" s="142">
        <v>466.66669999999999</v>
      </c>
      <c r="L103" s="142">
        <v>840</v>
      </c>
      <c r="M103" s="142">
        <v>1800</v>
      </c>
      <c r="N103" s="142"/>
      <c r="O103" s="142">
        <v>0</v>
      </c>
      <c r="P103" s="142">
        <v>3671.6666999999998</v>
      </c>
      <c r="Q103" s="232"/>
    </row>
    <row r="104" spans="4:17">
      <c r="D104" s="2">
        <v>79</v>
      </c>
      <c r="E104" s="2" t="s">
        <v>406</v>
      </c>
      <c r="F104" s="2">
        <v>1</v>
      </c>
      <c r="G104" s="39">
        <v>44716</v>
      </c>
      <c r="H104" s="2" t="s">
        <v>89</v>
      </c>
      <c r="I104" s="2" t="s">
        <v>510</v>
      </c>
      <c r="J104" s="142">
        <v>535</v>
      </c>
      <c r="K104" s="142">
        <v>466.66669999999999</v>
      </c>
      <c r="L104" s="142">
        <v>300</v>
      </c>
      <c r="M104" s="142">
        <v>50</v>
      </c>
      <c r="N104" s="142"/>
      <c r="O104" s="142">
        <v>0</v>
      </c>
      <c r="P104" s="142">
        <v>1351.6667</v>
      </c>
      <c r="Q104" s="232"/>
    </row>
    <row r="105" spans="4:17">
      <c r="D105" s="2">
        <v>80</v>
      </c>
      <c r="E105" s="2" t="s">
        <v>407</v>
      </c>
      <c r="F105" s="2">
        <v>1</v>
      </c>
      <c r="G105" s="39">
        <v>44717</v>
      </c>
      <c r="H105" s="2" t="s">
        <v>90</v>
      </c>
      <c r="I105" s="2" t="s">
        <v>52</v>
      </c>
      <c r="J105" s="142">
        <v>795</v>
      </c>
      <c r="K105" s="142">
        <v>466.66669999999999</v>
      </c>
      <c r="L105" s="142">
        <v>0</v>
      </c>
      <c r="M105" s="142">
        <v>0</v>
      </c>
      <c r="N105" s="142"/>
      <c r="O105" s="142">
        <v>120</v>
      </c>
      <c r="P105" s="142">
        <v>1381.6667</v>
      </c>
      <c r="Q105" s="232"/>
    </row>
    <row r="106" spans="4:17">
      <c r="D106" s="2">
        <v>81</v>
      </c>
      <c r="E106" s="2" t="s">
        <v>408</v>
      </c>
      <c r="F106" s="2">
        <v>1</v>
      </c>
      <c r="G106" s="39">
        <v>44718</v>
      </c>
      <c r="H106" s="2" t="s">
        <v>289</v>
      </c>
      <c r="I106" s="2" t="s">
        <v>52</v>
      </c>
      <c r="J106" s="142">
        <v>670</v>
      </c>
      <c r="K106" s="142">
        <v>466.66669999999999</v>
      </c>
      <c r="L106" s="142">
        <v>0</v>
      </c>
      <c r="M106" s="142">
        <v>0</v>
      </c>
      <c r="N106" s="142"/>
      <c r="O106" s="142">
        <v>0</v>
      </c>
      <c r="P106" s="142">
        <v>1136.6667</v>
      </c>
      <c r="Q106" s="232"/>
    </row>
    <row r="107" spans="4:17">
      <c r="D107" s="2">
        <v>82</v>
      </c>
      <c r="E107" s="2" t="s">
        <v>409</v>
      </c>
      <c r="F107" s="2">
        <v>1</v>
      </c>
      <c r="G107" s="39">
        <v>44719</v>
      </c>
      <c r="H107" s="2" t="s">
        <v>85</v>
      </c>
      <c r="I107" s="2" t="s">
        <v>52</v>
      </c>
      <c r="J107" s="142">
        <v>150</v>
      </c>
      <c r="K107" s="142">
        <v>466.66669999999999</v>
      </c>
      <c r="L107" s="142">
        <v>0</v>
      </c>
      <c r="M107" s="142">
        <v>325</v>
      </c>
      <c r="N107" s="142"/>
      <c r="O107" s="142">
        <v>2800</v>
      </c>
      <c r="P107" s="142">
        <v>3741.6666999999998</v>
      </c>
      <c r="Q107" s="232"/>
    </row>
    <row r="108" spans="4:17">
      <c r="D108" s="2">
        <v>83</v>
      </c>
      <c r="E108" s="2" t="s">
        <v>410</v>
      </c>
      <c r="F108" s="2">
        <v>1</v>
      </c>
      <c r="G108" s="39">
        <v>44720</v>
      </c>
      <c r="H108" s="2" t="s">
        <v>86</v>
      </c>
      <c r="I108" s="2" t="s">
        <v>52</v>
      </c>
      <c r="J108" s="142">
        <v>385</v>
      </c>
      <c r="K108" s="142">
        <v>466.66669999999999</v>
      </c>
      <c r="L108" s="142">
        <v>100</v>
      </c>
      <c r="M108" s="142">
        <v>7320</v>
      </c>
      <c r="N108" s="142"/>
      <c r="O108" s="142">
        <v>0</v>
      </c>
      <c r="P108" s="142">
        <v>8271.6666999999998</v>
      </c>
      <c r="Q108" s="232"/>
    </row>
    <row r="109" spans="4:17">
      <c r="D109" s="2">
        <v>84</v>
      </c>
      <c r="E109" s="2" t="s">
        <v>411</v>
      </c>
      <c r="F109" s="2">
        <v>1</v>
      </c>
      <c r="G109" s="39">
        <v>44721</v>
      </c>
      <c r="H109" s="2" t="s">
        <v>87</v>
      </c>
      <c r="I109" s="2" t="s">
        <v>52</v>
      </c>
      <c r="J109" s="142">
        <v>445</v>
      </c>
      <c r="K109" s="142">
        <v>466.66669999999999</v>
      </c>
      <c r="L109" s="142">
        <v>0</v>
      </c>
      <c r="M109" s="142">
        <v>0</v>
      </c>
      <c r="N109" s="142"/>
      <c r="O109" s="142">
        <v>0</v>
      </c>
      <c r="P109" s="142">
        <v>911.66669999999999</v>
      </c>
      <c r="Q109" s="232"/>
    </row>
    <row r="110" spans="4:17">
      <c r="D110" s="2">
        <v>85</v>
      </c>
      <c r="E110" s="2" t="s">
        <v>412</v>
      </c>
      <c r="F110" s="2">
        <v>1</v>
      </c>
      <c r="G110" s="39">
        <v>44722</v>
      </c>
      <c r="H110" s="2" t="s">
        <v>88</v>
      </c>
      <c r="I110" s="2" t="s">
        <v>52</v>
      </c>
      <c r="J110" s="142">
        <v>605</v>
      </c>
      <c r="K110" s="142">
        <v>466.66669999999999</v>
      </c>
      <c r="L110" s="142">
        <v>100</v>
      </c>
      <c r="M110" s="142">
        <v>0</v>
      </c>
      <c r="N110" s="142"/>
      <c r="O110" s="142">
        <v>0</v>
      </c>
      <c r="P110" s="142">
        <v>1171.6667</v>
      </c>
      <c r="Q110" s="232"/>
    </row>
    <row r="111" spans="4:17">
      <c r="D111" s="2">
        <v>86</v>
      </c>
      <c r="E111" s="2" t="s">
        <v>413</v>
      </c>
      <c r="F111" s="2">
        <v>1</v>
      </c>
      <c r="G111" s="39">
        <v>44723</v>
      </c>
      <c r="H111" s="2" t="s">
        <v>89</v>
      </c>
      <c r="I111" s="2" t="s">
        <v>52</v>
      </c>
      <c r="J111" s="142">
        <v>660</v>
      </c>
      <c r="K111" s="142">
        <v>466.66669999999999</v>
      </c>
      <c r="L111" s="142">
        <v>100</v>
      </c>
      <c r="M111" s="142">
        <v>0</v>
      </c>
      <c r="N111" s="142"/>
      <c r="O111" s="142">
        <v>0</v>
      </c>
      <c r="P111" s="142">
        <v>1226.6667</v>
      </c>
      <c r="Q111" s="232"/>
    </row>
    <row r="112" spans="4:17">
      <c r="D112" s="2">
        <v>87</v>
      </c>
      <c r="E112" s="2" t="s">
        <v>414</v>
      </c>
      <c r="F112" s="2">
        <v>1</v>
      </c>
      <c r="G112" s="39">
        <v>44724</v>
      </c>
      <c r="H112" s="2" t="s">
        <v>90</v>
      </c>
      <c r="I112" s="2" t="s">
        <v>52</v>
      </c>
      <c r="J112" s="142">
        <v>760</v>
      </c>
      <c r="K112" s="142">
        <v>466.66669999999999</v>
      </c>
      <c r="L112" s="142">
        <v>0</v>
      </c>
      <c r="M112" s="142">
        <v>425</v>
      </c>
      <c r="N112" s="142"/>
      <c r="O112" s="142">
        <v>0</v>
      </c>
      <c r="P112" s="142">
        <v>1651.6667</v>
      </c>
      <c r="Q112" s="232"/>
    </row>
    <row r="113" spans="4:17">
      <c r="D113" s="2">
        <v>88</v>
      </c>
      <c r="E113" s="2" t="s">
        <v>415</v>
      </c>
      <c r="F113" s="2">
        <v>1</v>
      </c>
      <c r="G113" s="39">
        <v>44725</v>
      </c>
      <c r="H113" s="2" t="s">
        <v>289</v>
      </c>
      <c r="I113" s="2" t="s">
        <v>52</v>
      </c>
      <c r="J113" s="142">
        <v>945</v>
      </c>
      <c r="K113" s="142">
        <v>466.66669999999999</v>
      </c>
      <c r="L113" s="142">
        <v>0</v>
      </c>
      <c r="M113" s="142">
        <v>0</v>
      </c>
      <c r="N113" s="142"/>
      <c r="O113" s="142">
        <v>0</v>
      </c>
      <c r="P113" s="142">
        <v>1411.6667</v>
      </c>
      <c r="Q113" s="232"/>
    </row>
    <row r="114" spans="4:17">
      <c r="D114" s="2">
        <v>89</v>
      </c>
      <c r="E114" s="2" t="s">
        <v>416</v>
      </c>
      <c r="F114" s="2">
        <v>1</v>
      </c>
      <c r="G114" s="39">
        <v>44726</v>
      </c>
      <c r="H114" s="2" t="s">
        <v>85</v>
      </c>
      <c r="I114" s="2" t="s">
        <v>52</v>
      </c>
      <c r="J114" s="142">
        <v>580</v>
      </c>
      <c r="K114" s="142">
        <v>437.5</v>
      </c>
      <c r="L114" s="142">
        <v>0</v>
      </c>
      <c r="M114" s="142">
        <v>365</v>
      </c>
      <c r="N114" s="142"/>
      <c r="O114" s="142">
        <v>0</v>
      </c>
      <c r="P114" s="142">
        <v>1382.5</v>
      </c>
      <c r="Q114" s="232"/>
    </row>
    <row r="115" spans="4:17">
      <c r="D115" s="2">
        <v>90</v>
      </c>
      <c r="E115" s="2" t="s">
        <v>417</v>
      </c>
      <c r="F115" s="2">
        <v>1</v>
      </c>
      <c r="G115" s="39">
        <v>44727</v>
      </c>
      <c r="H115" s="2" t="s">
        <v>86</v>
      </c>
      <c r="I115" s="2" t="s">
        <v>52</v>
      </c>
      <c r="J115" s="142">
        <v>955</v>
      </c>
      <c r="K115" s="142">
        <v>437.5</v>
      </c>
      <c r="L115" s="142">
        <v>0</v>
      </c>
      <c r="M115" s="142">
        <v>0</v>
      </c>
      <c r="N115" s="142"/>
      <c r="O115" s="142">
        <v>0</v>
      </c>
      <c r="P115" s="142">
        <v>1392.5</v>
      </c>
      <c r="Q115" s="232"/>
    </row>
    <row r="116" spans="4:17">
      <c r="D116" s="2">
        <v>91</v>
      </c>
      <c r="E116" s="2" t="s">
        <v>418</v>
      </c>
      <c r="F116" s="2">
        <v>1</v>
      </c>
      <c r="G116" s="39">
        <v>44728</v>
      </c>
      <c r="H116" s="2" t="s">
        <v>87</v>
      </c>
      <c r="I116" s="2" t="s">
        <v>52</v>
      </c>
      <c r="J116" s="142">
        <v>500</v>
      </c>
      <c r="K116" s="142">
        <v>437.5</v>
      </c>
      <c r="L116" s="142">
        <v>400</v>
      </c>
      <c r="M116" s="142">
        <v>0</v>
      </c>
      <c r="N116" s="142"/>
      <c r="O116" s="142">
        <v>0</v>
      </c>
      <c r="P116" s="142">
        <v>1337.5</v>
      </c>
      <c r="Q116" s="232"/>
    </row>
    <row r="117" spans="4:17">
      <c r="D117" s="2">
        <v>92</v>
      </c>
      <c r="E117" s="2" t="s">
        <v>419</v>
      </c>
      <c r="F117" s="2">
        <v>1</v>
      </c>
      <c r="G117" s="39">
        <v>44729</v>
      </c>
      <c r="H117" s="2" t="s">
        <v>88</v>
      </c>
      <c r="I117" s="2" t="s">
        <v>52</v>
      </c>
      <c r="J117" s="142">
        <v>455</v>
      </c>
      <c r="K117" s="142">
        <v>437.5</v>
      </c>
      <c r="L117" s="142">
        <v>0</v>
      </c>
      <c r="M117" s="142">
        <v>0</v>
      </c>
      <c r="N117" s="142"/>
      <c r="O117" s="142">
        <v>0</v>
      </c>
      <c r="P117" s="142">
        <v>892.5</v>
      </c>
      <c r="Q117" s="232"/>
    </row>
    <row r="118" spans="4:17">
      <c r="D118" s="2">
        <v>93</v>
      </c>
      <c r="E118" s="2" t="s">
        <v>420</v>
      </c>
      <c r="F118" s="2">
        <v>1</v>
      </c>
      <c r="G118" s="39">
        <v>44730</v>
      </c>
      <c r="H118" s="2" t="s">
        <v>89</v>
      </c>
      <c r="I118" s="2" t="s">
        <v>52</v>
      </c>
      <c r="J118" s="142">
        <v>550</v>
      </c>
      <c r="K118" s="142">
        <v>437.5</v>
      </c>
      <c r="L118" s="142">
        <v>0</v>
      </c>
      <c r="M118" s="142">
        <v>0</v>
      </c>
      <c r="N118" s="142"/>
      <c r="O118" s="142">
        <v>0</v>
      </c>
      <c r="P118" s="142">
        <v>987.5</v>
      </c>
      <c r="Q118" s="232"/>
    </row>
    <row r="119" spans="4:17">
      <c r="D119" s="2">
        <v>94</v>
      </c>
      <c r="E119" s="2" t="s">
        <v>310</v>
      </c>
      <c r="F119" s="2">
        <v>1</v>
      </c>
      <c r="G119" s="39">
        <v>44731</v>
      </c>
      <c r="H119" s="2" t="s">
        <v>90</v>
      </c>
      <c r="I119" s="2" t="s">
        <v>52</v>
      </c>
      <c r="J119" s="142">
        <v>1420</v>
      </c>
      <c r="K119" s="142">
        <v>437.5</v>
      </c>
      <c r="L119" s="142">
        <v>0</v>
      </c>
      <c r="M119" s="142">
        <v>0</v>
      </c>
      <c r="N119" s="142"/>
      <c r="O119" s="142">
        <v>0</v>
      </c>
      <c r="P119" s="142">
        <v>1857.5</v>
      </c>
      <c r="Q119" s="232"/>
    </row>
    <row r="120" spans="4:17">
      <c r="D120" s="2">
        <v>95</v>
      </c>
      <c r="E120" s="2" t="s">
        <v>311</v>
      </c>
      <c r="F120" s="2">
        <v>1</v>
      </c>
      <c r="G120" s="39">
        <v>44732</v>
      </c>
      <c r="H120" s="2" t="s">
        <v>289</v>
      </c>
      <c r="I120" s="2" t="s">
        <v>52</v>
      </c>
      <c r="J120" s="142">
        <v>440</v>
      </c>
      <c r="K120" s="142">
        <v>437.5</v>
      </c>
      <c r="L120" s="142">
        <v>0</v>
      </c>
      <c r="M120" s="142">
        <v>0</v>
      </c>
      <c r="N120" s="142"/>
      <c r="O120" s="142">
        <v>0</v>
      </c>
      <c r="P120" s="142">
        <v>877.5</v>
      </c>
      <c r="Q120" s="232"/>
    </row>
    <row r="121" spans="4:17">
      <c r="D121" s="2">
        <v>96</v>
      </c>
      <c r="E121" s="2" t="s">
        <v>421</v>
      </c>
      <c r="F121" s="2">
        <v>1</v>
      </c>
      <c r="G121" s="39">
        <v>44733</v>
      </c>
      <c r="H121" s="2" t="s">
        <v>85</v>
      </c>
      <c r="I121" s="2" t="s">
        <v>52</v>
      </c>
      <c r="J121" s="142">
        <v>675</v>
      </c>
      <c r="K121" s="142">
        <v>437.5</v>
      </c>
      <c r="L121" s="142">
        <v>200</v>
      </c>
      <c r="M121" s="142">
        <v>0</v>
      </c>
      <c r="N121" s="142"/>
      <c r="O121" s="142">
        <v>0</v>
      </c>
      <c r="P121" s="142">
        <v>1312.5</v>
      </c>
      <c r="Q121" s="232"/>
    </row>
    <row r="122" spans="4:17">
      <c r="D122" s="2">
        <v>97</v>
      </c>
      <c r="E122" s="2" t="s">
        <v>422</v>
      </c>
      <c r="F122" s="2">
        <v>1</v>
      </c>
      <c r="G122" s="39">
        <v>44734</v>
      </c>
      <c r="H122" s="2" t="s">
        <v>86</v>
      </c>
      <c r="I122" s="2" t="s">
        <v>52</v>
      </c>
      <c r="J122" s="142">
        <v>335</v>
      </c>
      <c r="K122" s="142">
        <v>437.5</v>
      </c>
      <c r="L122" s="142">
        <v>0</v>
      </c>
      <c r="M122" s="142">
        <v>0</v>
      </c>
      <c r="N122" s="142"/>
      <c r="O122" s="142">
        <v>0</v>
      </c>
      <c r="P122" s="142">
        <v>772.5</v>
      </c>
      <c r="Q122" s="232"/>
    </row>
    <row r="123" spans="4:17">
      <c r="D123" s="2">
        <v>98</v>
      </c>
      <c r="E123" s="2" t="s">
        <v>423</v>
      </c>
      <c r="F123" s="2">
        <v>1</v>
      </c>
      <c r="G123" s="39">
        <v>44735</v>
      </c>
      <c r="H123" s="2" t="s">
        <v>87</v>
      </c>
      <c r="I123" s="2" t="s">
        <v>52</v>
      </c>
      <c r="J123" s="142">
        <v>1295</v>
      </c>
      <c r="K123" s="142">
        <v>437.5</v>
      </c>
      <c r="L123" s="142">
        <v>0</v>
      </c>
      <c r="M123" s="142">
        <v>0</v>
      </c>
      <c r="N123" s="142"/>
      <c r="O123" s="142">
        <v>0</v>
      </c>
      <c r="P123" s="142">
        <v>1732.5</v>
      </c>
      <c r="Q123" s="232"/>
    </row>
    <row r="124" spans="4:17">
      <c r="D124" s="2">
        <v>99</v>
      </c>
      <c r="E124" s="2" t="s">
        <v>424</v>
      </c>
      <c r="F124" s="2">
        <v>1</v>
      </c>
      <c r="G124" s="39">
        <v>44736</v>
      </c>
      <c r="H124" s="2" t="s">
        <v>88</v>
      </c>
      <c r="I124" s="2" t="s">
        <v>52</v>
      </c>
      <c r="J124" s="142">
        <v>755</v>
      </c>
      <c r="K124" s="142">
        <v>437.5</v>
      </c>
      <c r="L124" s="142">
        <v>200</v>
      </c>
      <c r="M124" s="142">
        <v>0</v>
      </c>
      <c r="N124" s="142"/>
      <c r="O124" s="142">
        <v>0</v>
      </c>
      <c r="P124" s="142">
        <v>1392.5</v>
      </c>
      <c r="Q124" s="232"/>
    </row>
    <row r="125" spans="4:17">
      <c r="D125" s="2">
        <v>100</v>
      </c>
      <c r="E125" s="2" t="s">
        <v>425</v>
      </c>
      <c r="F125" s="2">
        <v>1</v>
      </c>
      <c r="G125" s="39">
        <v>44737</v>
      </c>
      <c r="H125" s="2" t="s">
        <v>89</v>
      </c>
      <c r="I125" s="2" t="s">
        <v>211</v>
      </c>
      <c r="J125" s="142">
        <v>1090</v>
      </c>
      <c r="K125" s="142">
        <v>437.5</v>
      </c>
      <c r="L125" s="142">
        <v>0</v>
      </c>
      <c r="M125" s="142">
        <v>0</v>
      </c>
      <c r="N125" s="142"/>
      <c r="O125" s="142">
        <v>0</v>
      </c>
      <c r="P125" s="142">
        <v>1527.5</v>
      </c>
      <c r="Q125" s="232"/>
    </row>
    <row r="126" spans="4:17">
      <c r="D126" s="2">
        <v>101</v>
      </c>
      <c r="E126" s="2" t="s">
        <v>426</v>
      </c>
      <c r="F126" s="2">
        <v>1</v>
      </c>
      <c r="G126" s="39">
        <v>44738</v>
      </c>
      <c r="H126" s="2" t="s">
        <v>90</v>
      </c>
      <c r="I126" s="2" t="s">
        <v>52</v>
      </c>
      <c r="J126" s="142">
        <v>1030</v>
      </c>
      <c r="K126" s="142">
        <v>437.5</v>
      </c>
      <c r="L126" s="142">
        <v>0</v>
      </c>
      <c r="M126" s="142">
        <v>0</v>
      </c>
      <c r="N126" s="142"/>
      <c r="O126" s="142">
        <v>0</v>
      </c>
      <c r="P126" s="142">
        <v>1467.5</v>
      </c>
      <c r="Q126" s="232"/>
    </row>
    <row r="127" spans="4:17">
      <c r="D127" s="2">
        <v>102</v>
      </c>
      <c r="E127" s="2" t="s">
        <v>427</v>
      </c>
      <c r="F127" s="2">
        <v>1</v>
      </c>
      <c r="G127" s="39">
        <v>44739</v>
      </c>
      <c r="H127" s="2" t="s">
        <v>289</v>
      </c>
      <c r="I127" s="2" t="s">
        <v>52</v>
      </c>
      <c r="J127" s="142">
        <v>585</v>
      </c>
      <c r="K127" s="142">
        <v>437.5</v>
      </c>
      <c r="L127" s="142">
        <v>200</v>
      </c>
      <c r="M127" s="142">
        <v>0</v>
      </c>
      <c r="N127" s="142"/>
      <c r="O127" s="142">
        <v>0</v>
      </c>
      <c r="P127" s="142">
        <v>1222.5</v>
      </c>
      <c r="Q127" s="232"/>
    </row>
    <row r="128" spans="4:17">
      <c r="D128" s="2">
        <v>103</v>
      </c>
      <c r="E128" s="2" t="s">
        <v>428</v>
      </c>
      <c r="F128" s="2">
        <v>1</v>
      </c>
      <c r="G128" s="39">
        <v>44740</v>
      </c>
      <c r="H128" s="2" t="s">
        <v>85</v>
      </c>
      <c r="I128" s="2" t="s">
        <v>52</v>
      </c>
      <c r="J128" s="142">
        <v>665</v>
      </c>
      <c r="K128" s="142">
        <v>437.5</v>
      </c>
      <c r="L128" s="142">
        <v>0</v>
      </c>
      <c r="M128" s="142">
        <v>0</v>
      </c>
      <c r="N128" s="142"/>
      <c r="O128" s="142">
        <v>0</v>
      </c>
      <c r="P128" s="142">
        <v>1102.5</v>
      </c>
      <c r="Q128" s="232"/>
    </row>
    <row r="129" spans="4:17">
      <c r="D129" s="2">
        <v>104</v>
      </c>
      <c r="E129" s="2" t="s">
        <v>429</v>
      </c>
      <c r="F129" s="2">
        <v>1</v>
      </c>
      <c r="G129" s="39">
        <v>44741</v>
      </c>
      <c r="H129" s="2" t="s">
        <v>86</v>
      </c>
      <c r="I129" s="2" t="s">
        <v>52</v>
      </c>
      <c r="J129" s="142">
        <v>885</v>
      </c>
      <c r="K129" s="142">
        <v>437.5</v>
      </c>
      <c r="L129" s="142">
        <v>0</v>
      </c>
      <c r="M129" s="142">
        <v>0</v>
      </c>
      <c r="N129" s="142"/>
      <c r="O129" s="142">
        <v>600</v>
      </c>
      <c r="P129" s="142">
        <v>1922.5</v>
      </c>
      <c r="Q129" s="232"/>
    </row>
    <row r="130" spans="4:17">
      <c r="D130" s="2">
        <v>105</v>
      </c>
      <c r="E130" s="2" t="s">
        <v>430</v>
      </c>
      <c r="F130" s="2">
        <v>1</v>
      </c>
      <c r="G130" s="39">
        <v>44742</v>
      </c>
      <c r="H130" s="2" t="s">
        <v>87</v>
      </c>
      <c r="I130" s="2" t="s">
        <v>52</v>
      </c>
      <c r="J130" s="142">
        <v>245</v>
      </c>
      <c r="K130" s="142">
        <v>466.66669999999999</v>
      </c>
      <c r="L130" s="142">
        <v>0</v>
      </c>
      <c r="M130" s="142">
        <v>0</v>
      </c>
      <c r="N130" s="142"/>
      <c r="O130" s="142">
        <v>0</v>
      </c>
      <c r="P130" s="142">
        <v>711.66669999999999</v>
      </c>
      <c r="Q130" s="232"/>
    </row>
    <row r="131" spans="4:17">
      <c r="D131" s="2">
        <v>106</v>
      </c>
      <c r="E131" s="2" t="s">
        <v>16</v>
      </c>
      <c r="F131" s="2">
        <v>1</v>
      </c>
      <c r="G131" s="39">
        <v>44743</v>
      </c>
      <c r="H131" s="2" t="s">
        <v>88</v>
      </c>
      <c r="I131" s="2" t="s">
        <v>82</v>
      </c>
      <c r="J131" s="142">
        <v>300</v>
      </c>
      <c r="K131" s="142">
        <v>466.66669999999999</v>
      </c>
      <c r="L131" s="142">
        <v>619</v>
      </c>
      <c r="M131" s="142">
        <v>270</v>
      </c>
      <c r="N131" s="142"/>
      <c r="O131" s="142">
        <v>0</v>
      </c>
      <c r="P131" s="142">
        <v>1655.6667</v>
      </c>
      <c r="Q131" s="232"/>
    </row>
    <row r="132" spans="4:17">
      <c r="D132" s="2">
        <v>107</v>
      </c>
      <c r="E132" s="2" t="s">
        <v>431</v>
      </c>
      <c r="F132" s="2">
        <v>1</v>
      </c>
      <c r="G132" s="39">
        <v>44744</v>
      </c>
      <c r="H132" s="2" t="s">
        <v>89</v>
      </c>
      <c r="I132" s="2" t="s">
        <v>82</v>
      </c>
      <c r="J132" s="142">
        <v>285</v>
      </c>
      <c r="K132" s="142">
        <v>466.66669999999999</v>
      </c>
      <c r="L132" s="142">
        <v>719</v>
      </c>
      <c r="M132" s="142">
        <v>0</v>
      </c>
      <c r="N132" s="142"/>
      <c r="O132" s="142">
        <v>0</v>
      </c>
      <c r="P132" s="142">
        <v>1470.6667</v>
      </c>
      <c r="Q132" s="232"/>
    </row>
    <row r="133" spans="4:17">
      <c r="D133" s="2">
        <v>108</v>
      </c>
      <c r="E133" s="2" t="s">
        <v>432</v>
      </c>
      <c r="F133" s="2">
        <v>1</v>
      </c>
      <c r="G133" s="39">
        <v>44745</v>
      </c>
      <c r="H133" s="2" t="s">
        <v>90</v>
      </c>
      <c r="I133" s="2" t="s">
        <v>82</v>
      </c>
      <c r="J133" s="142">
        <v>360</v>
      </c>
      <c r="K133" s="142">
        <v>466.66669999999999</v>
      </c>
      <c r="L133" s="142">
        <v>919</v>
      </c>
      <c r="M133" s="142">
        <v>130</v>
      </c>
      <c r="N133" s="142"/>
      <c r="O133" s="142">
        <v>0</v>
      </c>
      <c r="P133" s="142">
        <v>1875.6667</v>
      </c>
      <c r="Q133" s="232"/>
    </row>
    <row r="134" spans="4:17">
      <c r="D134" s="2">
        <v>109</v>
      </c>
      <c r="E134" s="2" t="s">
        <v>433</v>
      </c>
      <c r="F134" s="2">
        <v>1</v>
      </c>
      <c r="G134" s="39">
        <v>44746</v>
      </c>
      <c r="H134" s="2" t="s">
        <v>289</v>
      </c>
      <c r="I134" s="2" t="s">
        <v>52</v>
      </c>
      <c r="J134" s="142">
        <v>425</v>
      </c>
      <c r="K134" s="142">
        <v>466.66669999999999</v>
      </c>
      <c r="L134" s="142">
        <v>0</v>
      </c>
      <c r="M134" s="142">
        <v>270</v>
      </c>
      <c r="N134" s="142"/>
      <c r="O134" s="142">
        <v>0</v>
      </c>
      <c r="P134" s="142">
        <v>1161.6667</v>
      </c>
      <c r="Q134" s="232"/>
    </row>
    <row r="135" spans="4:17">
      <c r="D135" s="2">
        <v>110</v>
      </c>
      <c r="E135" s="2" t="s">
        <v>434</v>
      </c>
      <c r="F135" s="2">
        <v>1</v>
      </c>
      <c r="G135" s="39">
        <v>44747</v>
      </c>
      <c r="H135" s="2" t="s">
        <v>85</v>
      </c>
      <c r="I135" s="2" t="s">
        <v>52</v>
      </c>
      <c r="J135" s="142">
        <v>400</v>
      </c>
      <c r="K135" s="142">
        <v>466.66669999999999</v>
      </c>
      <c r="L135" s="142">
        <v>80</v>
      </c>
      <c r="M135" s="142">
        <v>0</v>
      </c>
      <c r="N135" s="142"/>
      <c r="O135" s="142">
        <v>0</v>
      </c>
      <c r="P135" s="142">
        <v>946.66669999999999</v>
      </c>
      <c r="Q135" s="232"/>
    </row>
    <row r="136" spans="4:17">
      <c r="D136" s="2">
        <v>111</v>
      </c>
      <c r="E136" s="2" t="s">
        <v>435</v>
      </c>
      <c r="F136" s="2">
        <v>1</v>
      </c>
      <c r="G136" s="39">
        <v>44748</v>
      </c>
      <c r="H136" s="2" t="s">
        <v>86</v>
      </c>
      <c r="I136" s="2" t="s">
        <v>52</v>
      </c>
      <c r="J136" s="142">
        <v>530</v>
      </c>
      <c r="K136" s="142">
        <v>466.66669999999999</v>
      </c>
      <c r="L136" s="142">
        <v>0</v>
      </c>
      <c r="M136" s="142">
        <v>0</v>
      </c>
      <c r="N136" s="142"/>
      <c r="O136" s="142">
        <v>0</v>
      </c>
      <c r="P136" s="142">
        <v>996.66669999999999</v>
      </c>
      <c r="Q136" s="232"/>
    </row>
    <row r="137" spans="4:17">
      <c r="D137" s="2">
        <v>112</v>
      </c>
      <c r="E137" s="2" t="s">
        <v>436</v>
      </c>
      <c r="F137" s="2">
        <v>1</v>
      </c>
      <c r="G137" s="39">
        <v>44749</v>
      </c>
      <c r="H137" s="2" t="s">
        <v>87</v>
      </c>
      <c r="I137" s="2" t="s">
        <v>288</v>
      </c>
      <c r="J137" s="142">
        <v>1609.9999999999998</v>
      </c>
      <c r="K137" s="142">
        <v>466.66669999999999</v>
      </c>
      <c r="L137" s="142">
        <v>0</v>
      </c>
      <c r="M137" s="142">
        <v>740</v>
      </c>
      <c r="N137" s="142"/>
      <c r="O137" s="142">
        <v>0</v>
      </c>
      <c r="P137" s="142">
        <v>2816.6666999999998</v>
      </c>
      <c r="Q137" s="232"/>
    </row>
    <row r="138" spans="4:17">
      <c r="D138" s="2">
        <v>113</v>
      </c>
      <c r="E138" s="2" t="s">
        <v>437</v>
      </c>
      <c r="F138" s="2">
        <v>1</v>
      </c>
      <c r="G138" s="39">
        <v>44750</v>
      </c>
      <c r="H138" s="2" t="s">
        <v>88</v>
      </c>
      <c r="I138" s="2" t="s">
        <v>52</v>
      </c>
      <c r="J138" s="142">
        <v>465</v>
      </c>
      <c r="K138" s="142">
        <v>466.66669999999999</v>
      </c>
      <c r="L138" s="142">
        <v>0</v>
      </c>
      <c r="M138" s="142">
        <v>0</v>
      </c>
      <c r="N138" s="142"/>
      <c r="O138" s="142">
        <v>650</v>
      </c>
      <c r="P138" s="142">
        <v>1581.6667</v>
      </c>
      <c r="Q138" s="232"/>
    </row>
    <row r="139" spans="4:17">
      <c r="D139" s="2">
        <v>114</v>
      </c>
      <c r="E139" s="2" t="s">
        <v>438</v>
      </c>
      <c r="F139" s="2">
        <v>1</v>
      </c>
      <c r="G139" s="39">
        <v>44751</v>
      </c>
      <c r="H139" s="2" t="s">
        <v>89</v>
      </c>
      <c r="I139" s="2" t="s">
        <v>52</v>
      </c>
      <c r="J139" s="142">
        <v>370</v>
      </c>
      <c r="K139" s="142">
        <v>466.66669999999999</v>
      </c>
      <c r="L139" s="142">
        <v>300</v>
      </c>
      <c r="M139" s="142">
        <v>0</v>
      </c>
      <c r="N139" s="142"/>
      <c r="O139" s="142">
        <v>0</v>
      </c>
      <c r="P139" s="142">
        <v>1136.6667</v>
      </c>
      <c r="Q139" s="232"/>
    </row>
    <row r="140" spans="4:17">
      <c r="D140" s="2">
        <v>115</v>
      </c>
      <c r="E140" s="2" t="s">
        <v>439</v>
      </c>
      <c r="F140" s="2">
        <v>1</v>
      </c>
      <c r="G140" s="39">
        <v>44752</v>
      </c>
      <c r="H140" s="2" t="s">
        <v>90</v>
      </c>
      <c r="I140" s="2" t="s">
        <v>52</v>
      </c>
      <c r="J140" s="142">
        <v>840</v>
      </c>
      <c r="K140" s="142">
        <v>466.66669999999999</v>
      </c>
      <c r="L140" s="142">
        <v>0</v>
      </c>
      <c r="M140" s="142">
        <v>0</v>
      </c>
      <c r="N140" s="142"/>
      <c r="O140" s="142">
        <v>0</v>
      </c>
      <c r="P140" s="142">
        <v>1306.6667</v>
      </c>
      <c r="Q140" s="232"/>
    </row>
    <row r="141" spans="4:17">
      <c r="D141" s="2">
        <v>116</v>
      </c>
      <c r="E141" s="2" t="s">
        <v>440</v>
      </c>
      <c r="F141" s="2">
        <v>1</v>
      </c>
      <c r="G141" s="39">
        <v>44753</v>
      </c>
      <c r="H141" s="2" t="s">
        <v>289</v>
      </c>
      <c r="I141" s="2" t="s">
        <v>52</v>
      </c>
      <c r="J141" s="142">
        <v>615</v>
      </c>
      <c r="K141" s="142">
        <v>466.66669999999999</v>
      </c>
      <c r="L141" s="142">
        <v>0</v>
      </c>
      <c r="M141" s="142">
        <v>0</v>
      </c>
      <c r="N141" s="142"/>
      <c r="O141" s="142">
        <v>0</v>
      </c>
      <c r="P141" s="142">
        <v>1081.6667</v>
      </c>
      <c r="Q141" s="232"/>
    </row>
    <row r="142" spans="4:17">
      <c r="D142" s="2">
        <v>117</v>
      </c>
      <c r="E142" s="2" t="s">
        <v>441</v>
      </c>
      <c r="F142" s="2">
        <v>1</v>
      </c>
      <c r="G142" s="39">
        <v>44754</v>
      </c>
      <c r="H142" s="2" t="s">
        <v>85</v>
      </c>
      <c r="I142" s="2" t="s">
        <v>52</v>
      </c>
      <c r="J142" s="142">
        <v>450</v>
      </c>
      <c r="K142" s="142">
        <v>466.66669999999999</v>
      </c>
      <c r="L142" s="142">
        <v>0</v>
      </c>
      <c r="M142" s="142">
        <v>0</v>
      </c>
      <c r="N142" s="142"/>
      <c r="O142" s="142">
        <v>0</v>
      </c>
      <c r="P142" s="142">
        <v>916.66669999999999</v>
      </c>
      <c r="Q142" s="232"/>
    </row>
    <row r="143" spans="4:17">
      <c r="D143" s="2">
        <v>118</v>
      </c>
      <c r="E143" s="2" t="s">
        <v>442</v>
      </c>
      <c r="F143" s="2">
        <v>1</v>
      </c>
      <c r="G143" s="39">
        <v>44755</v>
      </c>
      <c r="H143" s="2" t="s">
        <v>86</v>
      </c>
      <c r="I143" s="2" t="s">
        <v>315</v>
      </c>
      <c r="J143" s="142">
        <v>40</v>
      </c>
      <c r="K143" s="142">
        <v>466.66669999999999</v>
      </c>
      <c r="L143" s="142">
        <v>5300</v>
      </c>
      <c r="M143" s="142">
        <v>50</v>
      </c>
      <c r="N143" s="142"/>
      <c r="O143" s="142">
        <v>0</v>
      </c>
      <c r="P143" s="142">
        <v>5856.6666999999998</v>
      </c>
      <c r="Q143" s="232"/>
    </row>
    <row r="144" spans="4:17">
      <c r="D144" s="2">
        <v>119</v>
      </c>
      <c r="E144" s="2" t="s">
        <v>443</v>
      </c>
      <c r="F144" s="2">
        <v>1</v>
      </c>
      <c r="G144" s="39">
        <v>44756</v>
      </c>
      <c r="H144" s="2" t="s">
        <v>87</v>
      </c>
      <c r="I144" s="2" t="s">
        <v>52</v>
      </c>
      <c r="J144" s="142">
        <v>765</v>
      </c>
      <c r="K144" s="142">
        <v>466.66669999999999</v>
      </c>
      <c r="L144" s="142">
        <v>0</v>
      </c>
      <c r="M144" s="142">
        <v>50</v>
      </c>
      <c r="N144" s="142"/>
      <c r="O144" s="142">
        <v>0</v>
      </c>
      <c r="P144" s="142">
        <v>1281.6667</v>
      </c>
      <c r="Q144" s="232"/>
    </row>
    <row r="145" spans="4:17">
      <c r="D145" s="2">
        <v>120</v>
      </c>
      <c r="E145" s="2" t="s">
        <v>444</v>
      </c>
      <c r="F145" s="2">
        <v>1</v>
      </c>
      <c r="G145" s="39">
        <v>44757</v>
      </c>
      <c r="H145" s="2" t="s">
        <v>88</v>
      </c>
      <c r="I145" s="2" t="s">
        <v>52</v>
      </c>
      <c r="J145" s="142">
        <v>210</v>
      </c>
      <c r="K145" s="142">
        <v>466.66669999999999</v>
      </c>
      <c r="L145" s="142">
        <v>0</v>
      </c>
      <c r="M145" s="142">
        <v>0</v>
      </c>
      <c r="N145" s="142"/>
      <c r="O145" s="142">
        <v>0</v>
      </c>
      <c r="P145" s="142">
        <v>676.66669999999999</v>
      </c>
      <c r="Q145" s="232"/>
    </row>
    <row r="146" spans="4:17">
      <c r="D146" s="2">
        <v>121</v>
      </c>
      <c r="E146" s="2" t="s">
        <v>445</v>
      </c>
      <c r="F146" s="2">
        <v>1</v>
      </c>
      <c r="G146" s="39">
        <v>44758</v>
      </c>
      <c r="H146" s="2" t="s">
        <v>89</v>
      </c>
      <c r="I146" s="2" t="s">
        <v>52</v>
      </c>
      <c r="J146" s="142">
        <v>880</v>
      </c>
      <c r="K146" s="142">
        <v>466.66669999999999</v>
      </c>
      <c r="L146" s="142">
        <v>0</v>
      </c>
      <c r="M146" s="142">
        <v>0</v>
      </c>
      <c r="N146" s="142"/>
      <c r="O146" s="142">
        <v>0</v>
      </c>
      <c r="P146" s="142">
        <v>1346.6667</v>
      </c>
      <c r="Q146" s="232"/>
    </row>
    <row r="147" spans="4:17">
      <c r="D147" s="2">
        <v>122</v>
      </c>
      <c r="E147" s="2" t="s">
        <v>446</v>
      </c>
      <c r="F147" s="2">
        <v>1</v>
      </c>
      <c r="G147" s="39">
        <v>44759</v>
      </c>
      <c r="H147" s="2" t="s">
        <v>90</v>
      </c>
      <c r="I147" s="2" t="s">
        <v>52</v>
      </c>
      <c r="J147" s="142">
        <v>515</v>
      </c>
      <c r="K147" s="142">
        <v>466.66669999999999</v>
      </c>
      <c r="L147" s="142">
        <v>0</v>
      </c>
      <c r="M147" s="142">
        <v>0</v>
      </c>
      <c r="N147" s="142"/>
      <c r="O147" s="142">
        <v>300</v>
      </c>
      <c r="P147" s="142">
        <v>1281.6667</v>
      </c>
      <c r="Q147" s="232"/>
    </row>
    <row r="148" spans="4:17">
      <c r="D148" s="2">
        <v>123</v>
      </c>
      <c r="E148" s="2" t="s">
        <v>447</v>
      </c>
      <c r="F148" s="2">
        <v>1</v>
      </c>
      <c r="G148" s="39">
        <v>44760</v>
      </c>
      <c r="H148" s="2" t="s">
        <v>289</v>
      </c>
      <c r="I148" s="2" t="s">
        <v>52</v>
      </c>
      <c r="J148" s="142">
        <v>460</v>
      </c>
      <c r="K148" s="142">
        <v>466.66669999999999</v>
      </c>
      <c r="L148" s="142">
        <v>0</v>
      </c>
      <c r="M148" s="142">
        <v>0</v>
      </c>
      <c r="N148" s="142"/>
      <c r="O148" s="142">
        <v>0</v>
      </c>
      <c r="P148" s="142">
        <v>926.66669999999999</v>
      </c>
      <c r="Q148" s="232"/>
    </row>
    <row r="149" spans="4:17">
      <c r="D149" s="2">
        <v>124</v>
      </c>
      <c r="E149" s="2" t="s">
        <v>448</v>
      </c>
      <c r="F149" s="2">
        <v>1</v>
      </c>
      <c r="G149" s="39">
        <v>44761</v>
      </c>
      <c r="H149" s="2" t="s">
        <v>85</v>
      </c>
      <c r="I149" s="2" t="s">
        <v>316</v>
      </c>
      <c r="J149" s="142">
        <v>750</v>
      </c>
      <c r="K149" s="142">
        <v>466.66669999999999</v>
      </c>
      <c r="L149" s="142">
        <v>850</v>
      </c>
      <c r="M149" s="142">
        <v>600</v>
      </c>
      <c r="N149" s="142"/>
      <c r="O149" s="142">
        <v>0</v>
      </c>
      <c r="P149" s="142">
        <v>2666.6666999999998</v>
      </c>
      <c r="Q149" s="232"/>
    </row>
    <row r="150" spans="4:17">
      <c r="D150" s="2">
        <v>125</v>
      </c>
      <c r="E150" s="2" t="s">
        <v>327</v>
      </c>
      <c r="F150" s="2">
        <v>1</v>
      </c>
      <c r="G150" s="39">
        <v>44762</v>
      </c>
      <c r="H150" s="2" t="s">
        <v>86</v>
      </c>
      <c r="I150" s="2" t="s">
        <v>316</v>
      </c>
      <c r="J150" s="142">
        <v>570</v>
      </c>
      <c r="K150" s="142">
        <v>466.66669999999999</v>
      </c>
      <c r="L150" s="142">
        <v>400</v>
      </c>
      <c r="M150" s="142">
        <v>150</v>
      </c>
      <c r="N150" s="142"/>
      <c r="O150" s="142">
        <v>0</v>
      </c>
      <c r="P150" s="142">
        <v>1586.6667</v>
      </c>
      <c r="Q150" s="232"/>
    </row>
    <row r="151" spans="4:17">
      <c r="D151" s="2">
        <v>126</v>
      </c>
      <c r="E151" s="2" t="s">
        <v>449</v>
      </c>
      <c r="F151" s="2">
        <v>1</v>
      </c>
      <c r="G151" s="39">
        <v>44763</v>
      </c>
      <c r="H151" s="2" t="s">
        <v>87</v>
      </c>
      <c r="I151" s="2" t="s">
        <v>316</v>
      </c>
      <c r="J151" s="142">
        <v>390</v>
      </c>
      <c r="K151" s="142">
        <v>466.66669999999999</v>
      </c>
      <c r="L151" s="142">
        <v>0</v>
      </c>
      <c r="M151" s="142">
        <v>240</v>
      </c>
      <c r="N151" s="142"/>
      <c r="O151" s="142">
        <v>0</v>
      </c>
      <c r="P151" s="142">
        <v>1096.6667</v>
      </c>
      <c r="Q151" s="232"/>
    </row>
    <row r="152" spans="4:17">
      <c r="D152" s="2">
        <v>127</v>
      </c>
      <c r="E152" s="2" t="s">
        <v>450</v>
      </c>
      <c r="F152" s="2">
        <v>1</v>
      </c>
      <c r="G152" s="39">
        <v>44764</v>
      </c>
      <c r="H152" s="2" t="s">
        <v>88</v>
      </c>
      <c r="I152" s="2" t="s">
        <v>52</v>
      </c>
      <c r="J152" s="142">
        <v>782</v>
      </c>
      <c r="K152" s="142">
        <v>466.66669999999999</v>
      </c>
      <c r="L152" s="142">
        <v>0</v>
      </c>
      <c r="M152" s="142">
        <v>0</v>
      </c>
      <c r="N152" s="142"/>
      <c r="O152" s="142">
        <v>0</v>
      </c>
      <c r="P152" s="142">
        <v>1248.6667</v>
      </c>
      <c r="Q152" s="232"/>
    </row>
    <row r="153" spans="4:17">
      <c r="D153" s="2">
        <v>128</v>
      </c>
      <c r="E153" s="2" t="s">
        <v>451</v>
      </c>
      <c r="F153" s="2">
        <v>1</v>
      </c>
      <c r="G153" s="39">
        <v>44765</v>
      </c>
      <c r="H153" s="2" t="s">
        <v>89</v>
      </c>
      <c r="I153" s="2" t="s">
        <v>52</v>
      </c>
      <c r="J153" s="142">
        <v>615</v>
      </c>
      <c r="K153" s="142">
        <v>466.66669999999999</v>
      </c>
      <c r="L153" s="142">
        <v>0</v>
      </c>
      <c r="M153" s="142">
        <v>0</v>
      </c>
      <c r="N153" s="142"/>
      <c r="O153" s="142">
        <v>0</v>
      </c>
      <c r="P153" s="142">
        <v>1081.6667</v>
      </c>
      <c r="Q153" s="232"/>
    </row>
    <row r="154" spans="4:17">
      <c r="D154" s="2">
        <v>129</v>
      </c>
      <c r="E154" s="2" t="s">
        <v>452</v>
      </c>
      <c r="F154" s="2">
        <v>1</v>
      </c>
      <c r="G154" s="39">
        <v>44766</v>
      </c>
      <c r="H154" s="2" t="s">
        <v>90</v>
      </c>
      <c r="I154" s="2" t="s">
        <v>52</v>
      </c>
      <c r="J154" s="142">
        <v>565</v>
      </c>
      <c r="K154" s="142">
        <v>466.66669999999999</v>
      </c>
      <c r="L154" s="142">
        <v>0</v>
      </c>
      <c r="M154" s="142">
        <v>0</v>
      </c>
      <c r="N154" s="142"/>
      <c r="O154" s="142">
        <v>0</v>
      </c>
      <c r="P154" s="142">
        <v>1031.6667</v>
      </c>
      <c r="Q154" s="232"/>
    </row>
    <row r="155" spans="4:17">
      <c r="D155" s="2">
        <v>130</v>
      </c>
      <c r="E155" s="2" t="s">
        <v>453</v>
      </c>
      <c r="F155" s="2">
        <v>1</v>
      </c>
      <c r="G155" s="39">
        <v>44767</v>
      </c>
      <c r="H155" s="2" t="s">
        <v>289</v>
      </c>
      <c r="I155" s="2" t="s">
        <v>52</v>
      </c>
      <c r="J155" s="142">
        <v>640</v>
      </c>
      <c r="K155" s="142">
        <v>466.66669999999999</v>
      </c>
      <c r="L155" s="142">
        <v>0</v>
      </c>
      <c r="M155" s="142">
        <v>0</v>
      </c>
      <c r="N155" s="142"/>
      <c r="O155" s="142">
        <v>0</v>
      </c>
      <c r="P155" s="142">
        <v>1106.6667</v>
      </c>
      <c r="Q155" s="232"/>
    </row>
    <row r="156" spans="4:17">
      <c r="D156" s="2">
        <v>131</v>
      </c>
      <c r="E156" s="2" t="s">
        <v>454</v>
      </c>
      <c r="F156" s="2">
        <v>1</v>
      </c>
      <c r="G156" s="39">
        <v>44768</v>
      </c>
      <c r="H156" s="2" t="s">
        <v>85</v>
      </c>
      <c r="I156" s="2" t="s">
        <v>52</v>
      </c>
      <c r="J156" s="142">
        <v>915</v>
      </c>
      <c r="K156" s="142">
        <v>466.66669999999999</v>
      </c>
      <c r="L156" s="142">
        <v>240</v>
      </c>
      <c r="M156" s="142">
        <v>0</v>
      </c>
      <c r="N156" s="142"/>
      <c r="O156" s="142">
        <v>0</v>
      </c>
      <c r="P156" s="142">
        <v>1621.6667</v>
      </c>
      <c r="Q156" s="232"/>
    </row>
    <row r="157" spans="4:17">
      <c r="D157" s="2">
        <v>132</v>
      </c>
      <c r="E157" s="2" t="s">
        <v>455</v>
      </c>
      <c r="F157" s="2">
        <v>1</v>
      </c>
      <c r="G157" s="39">
        <v>44769</v>
      </c>
      <c r="H157" s="2" t="s">
        <v>86</v>
      </c>
      <c r="I157" s="2" t="s">
        <v>52</v>
      </c>
      <c r="J157" s="142">
        <v>525</v>
      </c>
      <c r="K157" s="142">
        <v>466.66669999999999</v>
      </c>
      <c r="L157" s="142">
        <v>0</v>
      </c>
      <c r="M157" s="142">
        <v>0</v>
      </c>
      <c r="N157" s="142"/>
      <c r="O157" s="142">
        <v>0</v>
      </c>
      <c r="P157" s="142">
        <v>991.66669999999999</v>
      </c>
      <c r="Q157" s="232"/>
    </row>
    <row r="158" spans="4:17">
      <c r="D158" s="2">
        <v>133</v>
      </c>
      <c r="E158" s="2" t="s">
        <v>456</v>
      </c>
      <c r="F158" s="2">
        <v>1</v>
      </c>
      <c r="G158" s="39">
        <v>44770</v>
      </c>
      <c r="H158" s="2" t="s">
        <v>87</v>
      </c>
      <c r="I158" s="2" t="s">
        <v>52</v>
      </c>
      <c r="J158" s="142">
        <v>280</v>
      </c>
      <c r="K158" s="142">
        <v>466.66669999999999</v>
      </c>
      <c r="L158" s="142">
        <v>0</v>
      </c>
      <c r="M158" s="142">
        <v>0</v>
      </c>
      <c r="N158" s="142"/>
      <c r="O158" s="142">
        <v>0</v>
      </c>
      <c r="P158" s="142">
        <v>746.66669999999999</v>
      </c>
      <c r="Q158" s="232"/>
    </row>
    <row r="159" spans="4:17">
      <c r="D159" s="2">
        <v>134</v>
      </c>
      <c r="E159" s="2" t="s">
        <v>457</v>
      </c>
      <c r="F159" s="2">
        <v>1</v>
      </c>
      <c r="G159" s="39">
        <v>44771</v>
      </c>
      <c r="H159" s="2" t="s">
        <v>88</v>
      </c>
      <c r="I159" s="2" t="s">
        <v>52</v>
      </c>
      <c r="J159" s="142">
        <v>403</v>
      </c>
      <c r="K159" s="142">
        <v>466.66669999999999</v>
      </c>
      <c r="L159" s="142">
        <v>0</v>
      </c>
      <c r="M159" s="142">
        <v>0</v>
      </c>
      <c r="N159" s="142"/>
      <c r="O159" s="142">
        <v>0</v>
      </c>
      <c r="P159" s="142">
        <v>869.66669999999999</v>
      </c>
      <c r="Q159" s="232"/>
    </row>
    <row r="160" spans="4:17">
      <c r="D160" s="2">
        <v>135</v>
      </c>
      <c r="E160" s="2" t="s">
        <v>458</v>
      </c>
      <c r="F160" s="2">
        <v>1</v>
      </c>
      <c r="G160" s="39">
        <v>44772</v>
      </c>
      <c r="H160" s="2" t="s">
        <v>89</v>
      </c>
      <c r="I160" s="2" t="s">
        <v>52</v>
      </c>
      <c r="J160" s="142">
        <v>490.00000000000006</v>
      </c>
      <c r="K160" s="142">
        <v>451.61290000000002</v>
      </c>
      <c r="L160" s="142">
        <v>0</v>
      </c>
      <c r="M160" s="142">
        <v>0</v>
      </c>
      <c r="N160" s="142"/>
      <c r="O160" s="142">
        <v>0</v>
      </c>
      <c r="P160" s="142">
        <v>941.61290000000008</v>
      </c>
      <c r="Q160" s="232"/>
    </row>
    <row r="161" spans="4:17">
      <c r="D161" s="2">
        <v>136</v>
      </c>
      <c r="E161" s="2" t="s">
        <v>459</v>
      </c>
      <c r="F161" s="2">
        <v>1</v>
      </c>
      <c r="G161" s="39">
        <v>44773</v>
      </c>
      <c r="H161" s="2" t="s">
        <v>90</v>
      </c>
      <c r="I161" s="2" t="s">
        <v>52</v>
      </c>
      <c r="J161" s="142">
        <v>346.00000000000006</v>
      </c>
      <c r="K161" s="142">
        <v>451.61290000000002</v>
      </c>
      <c r="L161" s="142">
        <v>200</v>
      </c>
      <c r="M161" s="142">
        <v>0</v>
      </c>
      <c r="N161" s="142"/>
      <c r="O161" s="142">
        <v>0</v>
      </c>
      <c r="P161" s="142">
        <v>997.61290000000008</v>
      </c>
      <c r="Q161" s="232"/>
    </row>
    <row r="162" spans="4:17">
      <c r="D162" s="2">
        <v>137</v>
      </c>
      <c r="E162" s="2" t="s">
        <v>460</v>
      </c>
      <c r="F162" s="2">
        <v>1</v>
      </c>
      <c r="G162" s="39">
        <v>44774</v>
      </c>
      <c r="H162" s="2" t="s">
        <v>289</v>
      </c>
      <c r="I162" s="2" t="s">
        <v>20</v>
      </c>
      <c r="J162" s="142">
        <v>790</v>
      </c>
      <c r="K162" s="142">
        <v>451.61290000000002</v>
      </c>
      <c r="L162" s="142">
        <v>550</v>
      </c>
      <c r="M162" s="142">
        <v>2780</v>
      </c>
      <c r="N162" s="142"/>
      <c r="O162" s="142">
        <v>0</v>
      </c>
      <c r="P162" s="142">
        <v>4571.6129000000001</v>
      </c>
      <c r="Q162" s="232"/>
    </row>
    <row r="163" spans="4:17">
      <c r="D163" s="2">
        <v>138</v>
      </c>
      <c r="E163" s="2" t="s">
        <v>461</v>
      </c>
      <c r="F163" s="2">
        <v>1</v>
      </c>
      <c r="G163" s="39">
        <v>44775</v>
      </c>
      <c r="H163" s="2" t="s">
        <v>85</v>
      </c>
      <c r="I163" s="2" t="s">
        <v>20</v>
      </c>
      <c r="J163" s="142">
        <v>590</v>
      </c>
      <c r="K163" s="142">
        <v>451.61290000000002</v>
      </c>
      <c r="L163" s="142">
        <v>660</v>
      </c>
      <c r="M163" s="142">
        <v>0</v>
      </c>
      <c r="N163" s="142"/>
      <c r="O163" s="142">
        <v>0</v>
      </c>
      <c r="P163" s="142">
        <v>1701.6129000000001</v>
      </c>
      <c r="Q163" s="232"/>
    </row>
    <row r="164" spans="4:17">
      <c r="D164" s="2">
        <v>139</v>
      </c>
      <c r="E164" s="2" t="s">
        <v>462</v>
      </c>
      <c r="F164" s="2">
        <v>1</v>
      </c>
      <c r="G164" s="39">
        <v>44776</v>
      </c>
      <c r="H164" s="2" t="s">
        <v>86</v>
      </c>
      <c r="I164" s="2" t="s">
        <v>20</v>
      </c>
      <c r="J164" s="142">
        <v>1985</v>
      </c>
      <c r="K164" s="142">
        <v>451.61290000000002</v>
      </c>
      <c r="L164" s="142">
        <v>360</v>
      </c>
      <c r="M164" s="142">
        <v>0</v>
      </c>
      <c r="N164" s="142"/>
      <c r="O164" s="142">
        <v>0</v>
      </c>
      <c r="P164" s="142">
        <v>2796.6129000000001</v>
      </c>
      <c r="Q164" s="232"/>
    </row>
    <row r="165" spans="4:17">
      <c r="D165" s="2">
        <v>140</v>
      </c>
      <c r="E165" s="2" t="s">
        <v>463</v>
      </c>
      <c r="F165" s="2">
        <v>1</v>
      </c>
      <c r="G165" s="39">
        <v>44777</v>
      </c>
      <c r="H165" s="2" t="s">
        <v>87</v>
      </c>
      <c r="I165" s="2" t="s">
        <v>52</v>
      </c>
      <c r="J165" s="142">
        <v>340.00000000000006</v>
      </c>
      <c r="K165" s="142">
        <v>451.61290000000002</v>
      </c>
      <c r="L165" s="142">
        <v>0</v>
      </c>
      <c r="M165" s="142">
        <v>425</v>
      </c>
      <c r="N165" s="142"/>
      <c r="O165" s="142">
        <v>0</v>
      </c>
      <c r="P165" s="142">
        <v>1216.6129000000001</v>
      </c>
      <c r="Q165" s="232"/>
    </row>
    <row r="166" spans="4:17">
      <c r="D166" s="2">
        <v>141</v>
      </c>
      <c r="E166" s="2" t="s">
        <v>464</v>
      </c>
      <c r="F166" s="2">
        <v>1</v>
      </c>
      <c r="G166" s="39">
        <v>44778</v>
      </c>
      <c r="H166" s="2" t="s">
        <v>88</v>
      </c>
      <c r="I166" s="2" t="s">
        <v>52</v>
      </c>
      <c r="J166" s="142">
        <v>680</v>
      </c>
      <c r="K166" s="142">
        <v>451.61290000000002</v>
      </c>
      <c r="L166" s="142">
        <v>0</v>
      </c>
      <c r="M166" s="142">
        <v>0</v>
      </c>
      <c r="N166" s="142"/>
      <c r="O166" s="142">
        <v>0</v>
      </c>
      <c r="P166" s="142">
        <v>1131.6129000000001</v>
      </c>
      <c r="Q166" s="232"/>
    </row>
    <row r="167" spans="4:17">
      <c r="D167" s="2">
        <v>142</v>
      </c>
      <c r="E167" s="2" t="s">
        <v>465</v>
      </c>
      <c r="F167" s="2">
        <v>1</v>
      </c>
      <c r="G167" s="39">
        <v>44779</v>
      </c>
      <c r="H167" s="2" t="s">
        <v>89</v>
      </c>
      <c r="I167" s="2" t="s">
        <v>52</v>
      </c>
      <c r="J167" s="142">
        <v>1400</v>
      </c>
      <c r="K167" s="142">
        <v>451.61290000000002</v>
      </c>
      <c r="L167" s="142">
        <v>150</v>
      </c>
      <c r="M167" s="142">
        <v>0</v>
      </c>
      <c r="N167" s="142"/>
      <c r="O167" s="142">
        <v>0</v>
      </c>
      <c r="P167" s="142">
        <v>2001.6129000000001</v>
      </c>
      <c r="Q167" s="232"/>
    </row>
    <row r="168" spans="4:17">
      <c r="D168" s="2">
        <v>143</v>
      </c>
      <c r="E168" s="2" t="s">
        <v>466</v>
      </c>
      <c r="F168" s="2">
        <v>1</v>
      </c>
      <c r="G168" s="39">
        <v>44780</v>
      </c>
      <c r="H168" s="2" t="s">
        <v>90</v>
      </c>
      <c r="I168" s="2" t="s">
        <v>52</v>
      </c>
      <c r="J168" s="142">
        <v>785</v>
      </c>
      <c r="K168" s="142">
        <v>451.61290000000002</v>
      </c>
      <c r="L168" s="142">
        <v>0</v>
      </c>
      <c r="M168" s="142">
        <v>0</v>
      </c>
      <c r="N168" s="142"/>
      <c r="O168" s="142">
        <v>0</v>
      </c>
      <c r="P168" s="142">
        <v>1236.6129000000001</v>
      </c>
      <c r="Q168" s="232"/>
    </row>
    <row r="169" spans="4:17">
      <c r="D169" s="2">
        <v>144</v>
      </c>
      <c r="E169" s="2" t="s">
        <v>467</v>
      </c>
      <c r="F169" s="2">
        <v>1</v>
      </c>
      <c r="G169" s="39">
        <v>44781</v>
      </c>
      <c r="H169" s="2" t="s">
        <v>289</v>
      </c>
      <c r="I169" s="2" t="s">
        <v>52</v>
      </c>
      <c r="J169" s="142">
        <v>585</v>
      </c>
      <c r="K169" s="142">
        <v>451.61290000000002</v>
      </c>
      <c r="L169" s="142">
        <v>0</v>
      </c>
      <c r="M169" s="142">
        <v>0</v>
      </c>
      <c r="N169" s="142"/>
      <c r="O169" s="142">
        <v>0</v>
      </c>
      <c r="P169" s="142">
        <v>1036.6129000000001</v>
      </c>
      <c r="Q169" s="232"/>
    </row>
    <row r="170" spans="4:17">
      <c r="D170" s="2">
        <v>145</v>
      </c>
      <c r="E170" s="2" t="s">
        <v>468</v>
      </c>
      <c r="F170" s="2">
        <v>1</v>
      </c>
      <c r="G170" s="39">
        <v>44782</v>
      </c>
      <c r="H170" s="2" t="s">
        <v>85</v>
      </c>
      <c r="I170" s="2" t="s">
        <v>52</v>
      </c>
      <c r="J170" s="142">
        <v>495.00000000000006</v>
      </c>
      <c r="K170" s="142">
        <v>451.61290000000002</v>
      </c>
      <c r="L170" s="142">
        <v>0</v>
      </c>
      <c r="M170" s="142">
        <v>0</v>
      </c>
      <c r="N170" s="142"/>
      <c r="O170" s="142">
        <v>2800</v>
      </c>
      <c r="P170" s="142">
        <v>3746.6129000000001</v>
      </c>
      <c r="Q170" s="232"/>
    </row>
    <row r="171" spans="4:17">
      <c r="D171" s="2">
        <v>146</v>
      </c>
      <c r="E171" s="2" t="s">
        <v>469</v>
      </c>
      <c r="F171" s="2">
        <v>1</v>
      </c>
      <c r="G171" s="39">
        <v>44783</v>
      </c>
      <c r="H171" s="2" t="s">
        <v>86</v>
      </c>
      <c r="I171" s="2" t="s">
        <v>52</v>
      </c>
      <c r="J171" s="142">
        <v>445.00000000000006</v>
      </c>
      <c r="K171" s="142">
        <v>451.61290000000002</v>
      </c>
      <c r="L171" s="142">
        <v>200</v>
      </c>
      <c r="M171" s="142">
        <v>0</v>
      </c>
      <c r="N171" s="142"/>
      <c r="O171" s="142">
        <v>0</v>
      </c>
      <c r="P171" s="142">
        <v>1096.6129000000001</v>
      </c>
      <c r="Q171" s="232"/>
    </row>
    <row r="172" spans="4:17">
      <c r="D172" s="2">
        <v>147</v>
      </c>
      <c r="E172" s="2" t="s">
        <v>470</v>
      </c>
      <c r="F172" s="2">
        <v>1</v>
      </c>
      <c r="G172" s="39">
        <v>44784</v>
      </c>
      <c r="H172" s="2" t="s">
        <v>87</v>
      </c>
      <c r="I172" s="2" t="s">
        <v>52</v>
      </c>
      <c r="J172" s="142">
        <v>540</v>
      </c>
      <c r="K172" s="142">
        <v>451.61290000000002</v>
      </c>
      <c r="L172" s="142">
        <v>0</v>
      </c>
      <c r="M172" s="142">
        <v>0</v>
      </c>
      <c r="N172" s="142"/>
      <c r="O172" s="142">
        <v>0</v>
      </c>
      <c r="P172" s="142">
        <v>991.61290000000008</v>
      </c>
      <c r="Q172" s="232"/>
    </row>
    <row r="173" spans="4:17">
      <c r="D173" s="2">
        <v>148</v>
      </c>
      <c r="E173" s="2" t="s">
        <v>471</v>
      </c>
      <c r="F173" s="2">
        <v>1</v>
      </c>
      <c r="G173" s="39">
        <v>44785</v>
      </c>
      <c r="H173" s="2" t="s">
        <v>88</v>
      </c>
      <c r="I173" s="2" t="s">
        <v>52</v>
      </c>
      <c r="J173" s="142">
        <v>490.00000000000006</v>
      </c>
      <c r="K173" s="142">
        <v>451.61290000000002</v>
      </c>
      <c r="L173" s="142">
        <v>0</v>
      </c>
      <c r="M173" s="142">
        <v>0</v>
      </c>
      <c r="N173" s="142"/>
      <c r="O173" s="142">
        <v>850</v>
      </c>
      <c r="P173" s="142">
        <v>1791.6129000000001</v>
      </c>
      <c r="Q173" s="232"/>
    </row>
    <row r="174" spans="4:17">
      <c r="D174" s="2">
        <v>149</v>
      </c>
      <c r="E174" s="2" t="s">
        <v>472</v>
      </c>
      <c r="F174" s="2">
        <v>1</v>
      </c>
      <c r="G174" s="39">
        <v>44786</v>
      </c>
      <c r="H174" s="2" t="s">
        <v>89</v>
      </c>
      <c r="I174" s="2" t="s">
        <v>52</v>
      </c>
      <c r="J174" s="142">
        <v>499.00000000000006</v>
      </c>
      <c r="K174" s="142">
        <v>451.61290000000002</v>
      </c>
      <c r="L174" s="142">
        <v>0</v>
      </c>
      <c r="M174" s="142">
        <v>0</v>
      </c>
      <c r="N174" s="142"/>
      <c r="O174" s="142">
        <v>0</v>
      </c>
      <c r="P174" s="142">
        <v>950.61290000000008</v>
      </c>
      <c r="Q174" s="232"/>
    </row>
    <row r="175" spans="4:17">
      <c r="D175" s="2">
        <v>150</v>
      </c>
      <c r="E175" s="2" t="s">
        <v>473</v>
      </c>
      <c r="F175" s="2">
        <v>1</v>
      </c>
      <c r="G175" s="39">
        <v>44787</v>
      </c>
      <c r="H175" s="2" t="s">
        <v>90</v>
      </c>
      <c r="I175" s="2" t="s">
        <v>52</v>
      </c>
      <c r="J175" s="142">
        <v>415.00000000000006</v>
      </c>
      <c r="K175" s="142">
        <v>451.61290000000002</v>
      </c>
      <c r="L175" s="142">
        <v>200</v>
      </c>
      <c r="M175" s="142">
        <v>0</v>
      </c>
      <c r="N175" s="142"/>
      <c r="O175" s="142">
        <v>0</v>
      </c>
      <c r="P175" s="142">
        <v>1066.6129000000001</v>
      </c>
      <c r="Q175" s="232"/>
    </row>
    <row r="176" spans="4:17">
      <c r="D176" s="2">
        <v>151</v>
      </c>
      <c r="E176" s="2" t="s">
        <v>474</v>
      </c>
      <c r="F176" s="2">
        <v>1</v>
      </c>
      <c r="G176" s="39">
        <v>44788</v>
      </c>
      <c r="H176" s="2" t="s">
        <v>289</v>
      </c>
      <c r="I176" s="2" t="s">
        <v>52</v>
      </c>
      <c r="J176" s="142">
        <v>485.00000000000006</v>
      </c>
      <c r="K176" s="142">
        <v>451.61290000000002</v>
      </c>
      <c r="L176" s="142">
        <v>0</v>
      </c>
      <c r="M176" s="142">
        <v>0</v>
      </c>
      <c r="N176" s="142"/>
      <c r="O176" s="142">
        <v>0</v>
      </c>
      <c r="P176" s="142">
        <v>936.61290000000008</v>
      </c>
      <c r="Q176" s="232"/>
    </row>
    <row r="177" spans="4:17">
      <c r="D177" s="2">
        <v>152</v>
      </c>
      <c r="E177" s="2" t="s">
        <v>475</v>
      </c>
      <c r="F177" s="2">
        <v>1</v>
      </c>
      <c r="G177" s="39">
        <v>44789</v>
      </c>
      <c r="H177" s="2" t="s">
        <v>85</v>
      </c>
      <c r="I177" s="4" t="s">
        <v>321</v>
      </c>
      <c r="J177" s="142">
        <v>1250</v>
      </c>
      <c r="K177" s="142">
        <v>451.61290000000002</v>
      </c>
      <c r="L177" s="142">
        <v>1100</v>
      </c>
      <c r="M177" s="142">
        <v>940</v>
      </c>
      <c r="N177" s="142"/>
      <c r="O177" s="142">
        <v>0</v>
      </c>
      <c r="P177" s="142">
        <v>3741.6129000000001</v>
      </c>
      <c r="Q177" s="232"/>
    </row>
    <row r="178" spans="4:17">
      <c r="D178" s="2">
        <v>153</v>
      </c>
      <c r="E178" s="2" t="s">
        <v>476</v>
      </c>
      <c r="F178" s="2">
        <v>1</v>
      </c>
      <c r="G178" s="39">
        <v>44790</v>
      </c>
      <c r="H178" s="2" t="s">
        <v>86</v>
      </c>
      <c r="I178" s="4" t="s">
        <v>321</v>
      </c>
      <c r="J178" s="142">
        <v>780</v>
      </c>
      <c r="K178" s="142">
        <v>451.61290000000002</v>
      </c>
      <c r="L178" s="142">
        <v>1100</v>
      </c>
      <c r="M178" s="142">
        <v>520</v>
      </c>
      <c r="N178" s="142"/>
      <c r="O178" s="142">
        <v>0</v>
      </c>
      <c r="P178" s="142">
        <v>2851.6129000000001</v>
      </c>
      <c r="Q178" s="232"/>
    </row>
    <row r="179" spans="4:17">
      <c r="D179" s="2">
        <v>154</v>
      </c>
      <c r="E179" s="2" t="s">
        <v>477</v>
      </c>
      <c r="F179" s="2">
        <v>1</v>
      </c>
      <c r="G179" s="39">
        <v>44791</v>
      </c>
      <c r="H179" s="2" t="s">
        <v>87</v>
      </c>
      <c r="I179" s="4" t="s">
        <v>321</v>
      </c>
      <c r="J179" s="142">
        <v>825</v>
      </c>
      <c r="K179" s="142">
        <v>451.61290000000002</v>
      </c>
      <c r="L179" s="142">
        <v>80</v>
      </c>
      <c r="M179" s="142">
        <v>940</v>
      </c>
      <c r="N179" s="142"/>
      <c r="O179" s="142">
        <v>0</v>
      </c>
      <c r="P179" s="142">
        <v>2296.6129000000001</v>
      </c>
      <c r="Q179" s="232"/>
    </row>
    <row r="180" spans="4:17">
      <c r="D180" s="2">
        <v>155</v>
      </c>
      <c r="E180" s="2" t="s">
        <v>478</v>
      </c>
      <c r="F180" s="2">
        <v>1</v>
      </c>
      <c r="G180" s="39">
        <v>44792</v>
      </c>
      <c r="H180" s="2" t="s">
        <v>88</v>
      </c>
      <c r="I180" s="2" t="s">
        <v>52</v>
      </c>
      <c r="J180" s="142">
        <v>370.00000000000006</v>
      </c>
      <c r="K180" s="142">
        <v>451.61290000000002</v>
      </c>
      <c r="L180" s="142">
        <v>0</v>
      </c>
      <c r="M180" s="142">
        <v>0</v>
      </c>
      <c r="N180" s="142"/>
      <c r="O180" s="142">
        <v>0</v>
      </c>
      <c r="P180" s="142">
        <v>821.61290000000008</v>
      </c>
      <c r="Q180" s="232"/>
    </row>
    <row r="181" spans="4:17">
      <c r="D181" s="2">
        <v>156</v>
      </c>
      <c r="E181" s="2" t="s">
        <v>324</v>
      </c>
      <c r="F181" s="2">
        <v>1</v>
      </c>
      <c r="G181" s="39">
        <v>44793</v>
      </c>
      <c r="H181" s="2" t="s">
        <v>89</v>
      </c>
      <c r="I181" s="2" t="s">
        <v>52</v>
      </c>
      <c r="J181" s="142">
        <v>965</v>
      </c>
      <c r="K181" s="142">
        <v>451.61290000000002</v>
      </c>
      <c r="L181" s="142">
        <v>0</v>
      </c>
      <c r="M181" s="142">
        <v>0</v>
      </c>
      <c r="N181" s="142"/>
      <c r="O181" s="142">
        <v>1800</v>
      </c>
      <c r="P181" s="142">
        <v>3216.6129000000001</v>
      </c>
      <c r="Q181" s="232"/>
    </row>
    <row r="182" spans="4:17">
      <c r="D182" s="2">
        <v>157</v>
      </c>
      <c r="E182" s="2" t="s">
        <v>325</v>
      </c>
      <c r="F182" s="2">
        <v>1</v>
      </c>
      <c r="G182" s="39">
        <v>44794</v>
      </c>
      <c r="H182" s="2" t="s">
        <v>90</v>
      </c>
      <c r="I182" s="2" t="s">
        <v>52</v>
      </c>
      <c r="J182" s="142">
        <v>430.00000000000006</v>
      </c>
      <c r="K182" s="142">
        <v>451.61290000000002</v>
      </c>
      <c r="L182" s="142">
        <v>0</v>
      </c>
      <c r="M182" s="142">
        <v>0</v>
      </c>
      <c r="N182" s="142"/>
      <c r="O182" s="142">
        <v>0</v>
      </c>
      <c r="P182" s="142">
        <v>881.61290000000008</v>
      </c>
      <c r="Q182" s="232"/>
    </row>
    <row r="183" spans="4:17">
      <c r="D183" s="2">
        <v>158</v>
      </c>
      <c r="E183" s="2" t="s">
        <v>326</v>
      </c>
      <c r="F183" s="2">
        <v>1</v>
      </c>
      <c r="G183" s="39">
        <v>44795</v>
      </c>
      <c r="H183" s="2" t="s">
        <v>289</v>
      </c>
      <c r="I183" s="2" t="s">
        <v>52</v>
      </c>
      <c r="J183" s="142">
        <v>830</v>
      </c>
      <c r="K183" s="142">
        <v>451.61290000000002</v>
      </c>
      <c r="L183" s="142">
        <v>0</v>
      </c>
      <c r="M183" s="142">
        <v>0</v>
      </c>
      <c r="N183" s="142"/>
      <c r="O183" s="142">
        <v>0</v>
      </c>
      <c r="P183" s="142">
        <v>1281.6129000000001</v>
      </c>
      <c r="Q183" s="232"/>
    </row>
    <row r="184" spans="4:17">
      <c r="D184" s="2">
        <v>159</v>
      </c>
      <c r="E184" s="2" t="s">
        <v>479</v>
      </c>
      <c r="F184" s="2">
        <v>1</v>
      </c>
      <c r="G184" s="39">
        <v>44796</v>
      </c>
      <c r="H184" s="2" t="s">
        <v>85</v>
      </c>
      <c r="I184" s="2" t="s">
        <v>52</v>
      </c>
      <c r="J184" s="142">
        <v>1050</v>
      </c>
      <c r="K184" s="142">
        <v>451.61290000000002</v>
      </c>
      <c r="L184" s="142">
        <v>0</v>
      </c>
      <c r="M184" s="142">
        <v>0</v>
      </c>
      <c r="N184" s="142"/>
      <c r="O184" s="142">
        <v>0</v>
      </c>
      <c r="P184" s="142">
        <v>1501.6129000000001</v>
      </c>
      <c r="Q184" s="232"/>
    </row>
    <row r="185" spans="4:17">
      <c r="D185" s="2">
        <v>160</v>
      </c>
      <c r="E185" s="2" t="s">
        <v>480</v>
      </c>
      <c r="F185" s="2">
        <v>1</v>
      </c>
      <c r="G185" s="39">
        <v>44797</v>
      </c>
      <c r="H185" s="2" t="s">
        <v>86</v>
      </c>
      <c r="I185" s="2" t="s">
        <v>52</v>
      </c>
      <c r="J185" s="142">
        <v>625</v>
      </c>
      <c r="K185" s="142">
        <v>451.61290000000002</v>
      </c>
      <c r="L185" s="142">
        <v>0</v>
      </c>
      <c r="M185" s="142">
        <v>1350</v>
      </c>
      <c r="N185" s="142"/>
      <c r="O185" s="142">
        <v>0</v>
      </c>
      <c r="P185" s="142">
        <v>2426.6129000000001</v>
      </c>
      <c r="Q185" s="232"/>
    </row>
    <row r="186" spans="4:17">
      <c r="D186" s="2">
        <v>161</v>
      </c>
      <c r="E186" s="2" t="s">
        <v>481</v>
      </c>
      <c r="F186" s="2">
        <v>1</v>
      </c>
      <c r="G186" s="39">
        <v>44798</v>
      </c>
      <c r="H186" s="2" t="s">
        <v>87</v>
      </c>
      <c r="I186" s="2" t="s">
        <v>52</v>
      </c>
      <c r="J186" s="142">
        <v>320.00000000000006</v>
      </c>
      <c r="K186" s="142">
        <v>451.61290000000002</v>
      </c>
      <c r="L186" s="142">
        <v>0</v>
      </c>
      <c r="M186" s="142">
        <v>0</v>
      </c>
      <c r="N186" s="142"/>
      <c r="O186" s="142">
        <v>0</v>
      </c>
      <c r="P186" s="142">
        <v>771.61290000000008</v>
      </c>
      <c r="Q186" s="232"/>
    </row>
    <row r="187" spans="4:17">
      <c r="D187" s="2">
        <v>162</v>
      </c>
      <c r="E187" s="2" t="s">
        <v>482</v>
      </c>
      <c r="F187" s="2">
        <v>1</v>
      </c>
      <c r="G187" s="39">
        <v>44799</v>
      </c>
      <c r="H187" s="2" t="s">
        <v>88</v>
      </c>
      <c r="I187" s="2" t="s">
        <v>52</v>
      </c>
      <c r="J187" s="142">
        <v>502.00000000000006</v>
      </c>
      <c r="K187" s="142">
        <v>451.61290000000002</v>
      </c>
      <c r="L187" s="142">
        <v>0</v>
      </c>
      <c r="M187" s="142">
        <v>0</v>
      </c>
      <c r="N187" s="142"/>
      <c r="O187" s="142">
        <v>685</v>
      </c>
      <c r="P187" s="142">
        <v>1638.6129000000001</v>
      </c>
      <c r="Q187" s="232"/>
    </row>
    <row r="188" spans="4:17">
      <c r="D188" s="2">
        <v>163</v>
      </c>
      <c r="E188" s="2" t="s">
        <v>483</v>
      </c>
      <c r="F188" s="2">
        <v>1</v>
      </c>
      <c r="G188" s="39">
        <v>44800</v>
      </c>
      <c r="H188" s="2" t="s">
        <v>89</v>
      </c>
      <c r="I188" s="2" t="s">
        <v>52</v>
      </c>
      <c r="J188" s="142">
        <v>931</v>
      </c>
      <c r="K188" s="142">
        <v>451.61290000000002</v>
      </c>
      <c r="L188" s="142">
        <v>0</v>
      </c>
      <c r="M188" s="142">
        <v>0</v>
      </c>
      <c r="N188" s="142"/>
      <c r="O188" s="142">
        <v>0</v>
      </c>
      <c r="P188" s="142">
        <v>1382.6129000000001</v>
      </c>
      <c r="Q188" s="232"/>
    </row>
    <row r="189" spans="4:17">
      <c r="D189" s="2">
        <v>164</v>
      </c>
      <c r="E189" s="2" t="s">
        <v>484</v>
      </c>
      <c r="F189" s="2">
        <v>1</v>
      </c>
      <c r="G189" s="39">
        <v>44801</v>
      </c>
      <c r="H189" s="2" t="s">
        <v>90</v>
      </c>
      <c r="I189" s="2" t="s">
        <v>52</v>
      </c>
      <c r="J189" s="142">
        <v>1015</v>
      </c>
      <c r="K189" s="142">
        <v>451.61290000000002</v>
      </c>
      <c r="L189" s="142">
        <v>700</v>
      </c>
      <c r="M189" s="142">
        <v>0</v>
      </c>
      <c r="N189" s="142"/>
      <c r="O189" s="142">
        <v>990</v>
      </c>
      <c r="P189" s="142">
        <v>3156.6129000000001</v>
      </c>
      <c r="Q189" s="232"/>
    </row>
    <row r="190" spans="4:17">
      <c r="D190" s="2">
        <v>165</v>
      </c>
      <c r="E190" s="2" t="s">
        <v>485</v>
      </c>
      <c r="F190" s="2">
        <v>1</v>
      </c>
      <c r="G190" s="39">
        <v>44802</v>
      </c>
      <c r="H190" s="2" t="s">
        <v>289</v>
      </c>
      <c r="I190" s="2" t="s">
        <v>52</v>
      </c>
      <c r="J190" s="142">
        <v>415.00000000000006</v>
      </c>
      <c r="K190" s="142">
        <v>451.61290000000002</v>
      </c>
      <c r="L190" s="142">
        <v>120</v>
      </c>
      <c r="M190" s="142">
        <v>0</v>
      </c>
      <c r="N190" s="142"/>
      <c r="O190" s="142">
        <v>0</v>
      </c>
      <c r="P190" s="142">
        <v>986.61290000000008</v>
      </c>
      <c r="Q190" s="232"/>
    </row>
    <row r="191" spans="4:17">
      <c r="D191" s="2">
        <v>166</v>
      </c>
      <c r="E191" s="2" t="s">
        <v>486</v>
      </c>
      <c r="F191" s="2">
        <v>1</v>
      </c>
      <c r="G191" s="39">
        <v>44803</v>
      </c>
      <c r="H191" s="2" t="s">
        <v>85</v>
      </c>
      <c r="I191" s="2" t="s">
        <v>52</v>
      </c>
      <c r="J191" s="142">
        <v>457</v>
      </c>
      <c r="K191" s="142">
        <v>387.09676999999999</v>
      </c>
      <c r="L191" s="142">
        <v>0</v>
      </c>
      <c r="M191" s="142">
        <v>0</v>
      </c>
      <c r="N191" s="142"/>
      <c r="O191" s="142">
        <v>600</v>
      </c>
      <c r="P191" s="142">
        <v>1444.0967700000001</v>
      </c>
      <c r="Q191" s="232"/>
    </row>
    <row r="192" spans="4:17">
      <c r="D192" s="2">
        <v>167</v>
      </c>
      <c r="E192" s="2" t="s">
        <v>487</v>
      </c>
      <c r="F192" s="2">
        <v>1</v>
      </c>
      <c r="G192" s="39">
        <v>44804</v>
      </c>
      <c r="H192" s="2" t="s">
        <v>86</v>
      </c>
      <c r="I192" s="2" t="s">
        <v>52</v>
      </c>
      <c r="J192" s="142">
        <v>605</v>
      </c>
      <c r="K192" s="142">
        <v>387.09676999999999</v>
      </c>
      <c r="L192" s="142">
        <v>0</v>
      </c>
      <c r="M192" s="142">
        <v>0</v>
      </c>
      <c r="N192" s="142"/>
      <c r="O192" s="142">
        <v>0</v>
      </c>
      <c r="P192" s="142">
        <v>992.09676999999999</v>
      </c>
      <c r="Q192" s="232"/>
    </row>
    <row r="193" spans="4:18">
      <c r="D193" s="2">
        <v>168</v>
      </c>
      <c r="E193" s="2" t="s">
        <v>488</v>
      </c>
      <c r="F193" s="2">
        <v>1</v>
      </c>
      <c r="G193" s="39">
        <v>44805</v>
      </c>
      <c r="H193" s="2" t="s">
        <v>87</v>
      </c>
      <c r="I193" s="2" t="s">
        <v>52</v>
      </c>
      <c r="J193" s="142">
        <v>920.00000000000011</v>
      </c>
      <c r="K193" s="142">
        <v>387.09676999999999</v>
      </c>
      <c r="L193" s="142">
        <v>0</v>
      </c>
      <c r="M193" s="142">
        <v>0</v>
      </c>
      <c r="N193" s="142"/>
      <c r="O193" s="142">
        <v>0</v>
      </c>
      <c r="P193" s="142">
        <v>1307.0967700000001</v>
      </c>
      <c r="Q193" s="232"/>
    </row>
    <row r="194" spans="4:18">
      <c r="D194" s="2">
        <v>169</v>
      </c>
      <c r="E194" s="2" t="s">
        <v>489</v>
      </c>
      <c r="F194" s="2">
        <v>1</v>
      </c>
      <c r="G194" s="39">
        <v>44806</v>
      </c>
      <c r="H194" s="2" t="s">
        <v>88</v>
      </c>
      <c r="I194" s="2" t="s">
        <v>52</v>
      </c>
      <c r="J194" s="142">
        <v>440</v>
      </c>
      <c r="K194" s="142">
        <v>387.09676999999999</v>
      </c>
      <c r="L194" s="142">
        <v>0</v>
      </c>
      <c r="M194" s="142">
        <v>0</v>
      </c>
      <c r="N194" s="142"/>
      <c r="O194" s="142">
        <v>0</v>
      </c>
      <c r="P194" s="142">
        <v>827.09676999999999</v>
      </c>
      <c r="Q194" s="232"/>
    </row>
    <row r="195" spans="4:18">
      <c r="D195" s="2">
        <v>170</v>
      </c>
      <c r="E195" s="2" t="s">
        <v>490</v>
      </c>
      <c r="F195" s="2">
        <v>1</v>
      </c>
      <c r="G195" s="39">
        <v>44807</v>
      </c>
      <c r="H195" s="2" t="s">
        <v>89</v>
      </c>
      <c r="I195" s="2" t="s">
        <v>52</v>
      </c>
      <c r="J195" s="142">
        <v>620</v>
      </c>
      <c r="K195" s="142">
        <v>387.09676999999999</v>
      </c>
      <c r="L195" s="142">
        <v>0</v>
      </c>
      <c r="M195" s="142">
        <v>0</v>
      </c>
      <c r="N195" s="142"/>
      <c r="O195" s="142">
        <v>0</v>
      </c>
      <c r="P195" s="142">
        <v>1007.09677</v>
      </c>
      <c r="Q195" s="232"/>
    </row>
    <row r="196" spans="4:18">
      <c r="D196" s="2">
        <v>171</v>
      </c>
      <c r="E196" s="2" t="s">
        <v>491</v>
      </c>
      <c r="F196" s="2">
        <v>1</v>
      </c>
      <c r="G196" s="39">
        <v>44808</v>
      </c>
      <c r="H196" s="2" t="s">
        <v>90</v>
      </c>
      <c r="I196" s="2" t="s">
        <v>52</v>
      </c>
      <c r="J196" s="142">
        <v>578</v>
      </c>
      <c r="K196" s="142">
        <v>387.09676999999999</v>
      </c>
      <c r="L196" s="142">
        <v>0</v>
      </c>
      <c r="M196" s="142">
        <v>0</v>
      </c>
      <c r="N196" s="142"/>
      <c r="O196" s="142">
        <v>0</v>
      </c>
      <c r="P196" s="142">
        <v>965.09676999999999</v>
      </c>
      <c r="Q196" s="232"/>
    </row>
    <row r="197" spans="4:18">
      <c r="D197" s="2">
        <v>172</v>
      </c>
      <c r="E197" s="2" t="s">
        <v>492</v>
      </c>
      <c r="F197" s="2">
        <v>1</v>
      </c>
      <c r="G197" s="39">
        <v>44809</v>
      </c>
      <c r="H197" s="2" t="s">
        <v>289</v>
      </c>
      <c r="I197" s="2" t="s">
        <v>52</v>
      </c>
      <c r="J197" s="142">
        <v>745.00000000000011</v>
      </c>
      <c r="K197" s="142">
        <v>387.09676999999999</v>
      </c>
      <c r="L197" s="142">
        <v>0</v>
      </c>
      <c r="M197" s="142">
        <v>0</v>
      </c>
      <c r="N197" s="142"/>
      <c r="O197" s="142">
        <v>0</v>
      </c>
      <c r="P197" s="142">
        <v>1132.0967700000001</v>
      </c>
      <c r="Q197" s="232"/>
    </row>
    <row r="198" spans="4:18">
      <c r="D198" s="2">
        <v>173</v>
      </c>
      <c r="E198" s="2" t="s">
        <v>493</v>
      </c>
      <c r="F198" s="2">
        <v>1</v>
      </c>
      <c r="G198" s="39">
        <v>44810</v>
      </c>
      <c r="H198" s="2" t="s">
        <v>85</v>
      </c>
      <c r="I198" s="2" t="s">
        <v>52</v>
      </c>
      <c r="J198" s="142">
        <v>560</v>
      </c>
      <c r="K198" s="142">
        <v>387.09676999999999</v>
      </c>
      <c r="L198" s="142">
        <v>0</v>
      </c>
      <c r="M198" s="142">
        <v>0</v>
      </c>
      <c r="N198" s="142"/>
      <c r="O198" s="142">
        <v>0</v>
      </c>
      <c r="P198" s="142">
        <v>947.09676999999999</v>
      </c>
      <c r="Q198" s="232"/>
    </row>
    <row r="199" spans="4:18">
      <c r="D199" s="2">
        <v>174</v>
      </c>
      <c r="E199" s="2" t="s">
        <v>494</v>
      </c>
      <c r="F199" s="2">
        <v>1</v>
      </c>
      <c r="G199" s="39">
        <v>44811</v>
      </c>
      <c r="H199" s="2" t="s">
        <v>86</v>
      </c>
      <c r="I199" s="2" t="s">
        <v>52</v>
      </c>
      <c r="J199" s="142">
        <v>575</v>
      </c>
      <c r="K199" s="142">
        <v>387.09676999999999</v>
      </c>
      <c r="L199" s="142">
        <v>0</v>
      </c>
      <c r="M199" s="142">
        <v>0</v>
      </c>
      <c r="N199" s="142"/>
      <c r="O199" s="142">
        <v>0</v>
      </c>
      <c r="P199" s="142">
        <v>962.09676999999999</v>
      </c>
      <c r="Q199" s="232"/>
    </row>
    <row r="200" spans="4:18">
      <c r="D200" s="2">
        <v>175</v>
      </c>
      <c r="E200" s="2" t="s">
        <v>495</v>
      </c>
      <c r="F200" s="2">
        <v>1</v>
      </c>
      <c r="G200" s="39">
        <v>44812</v>
      </c>
      <c r="H200" s="2" t="s">
        <v>87</v>
      </c>
      <c r="I200" s="2" t="s">
        <v>52</v>
      </c>
      <c r="J200" s="142">
        <v>750.00000000000011</v>
      </c>
      <c r="K200" s="142">
        <v>387.09676999999999</v>
      </c>
      <c r="L200" s="142">
        <v>0</v>
      </c>
      <c r="M200" s="142">
        <v>0</v>
      </c>
      <c r="N200" s="142"/>
      <c r="O200" s="142">
        <v>0</v>
      </c>
      <c r="P200" s="142">
        <v>1137.0967700000001</v>
      </c>
      <c r="Q200" s="232"/>
      <c r="R200" s="232"/>
    </row>
    <row r="201" spans="4:18">
      <c r="D201" s="2">
        <v>176</v>
      </c>
      <c r="E201" s="2" t="s">
        <v>496</v>
      </c>
      <c r="F201" s="2">
        <v>1</v>
      </c>
      <c r="G201" s="39">
        <v>44813</v>
      </c>
      <c r="H201" s="2" t="s">
        <v>88</v>
      </c>
      <c r="I201" s="2" t="s">
        <v>52</v>
      </c>
      <c r="J201" s="142">
        <v>319</v>
      </c>
      <c r="K201" s="142">
        <v>387.09676999999999</v>
      </c>
      <c r="L201" s="142">
        <v>0</v>
      </c>
      <c r="M201" s="142">
        <v>0</v>
      </c>
      <c r="N201" s="142"/>
      <c r="O201" s="142">
        <v>0</v>
      </c>
      <c r="P201" s="142">
        <v>706.09676999999999</v>
      </c>
      <c r="Q201" s="232"/>
      <c r="R201" s="232"/>
    </row>
    <row r="202" spans="4:18">
      <c r="D202" s="2">
        <v>177</v>
      </c>
      <c r="E202" s="2" t="s">
        <v>497</v>
      </c>
      <c r="F202" s="2">
        <v>1</v>
      </c>
      <c r="G202" s="39">
        <v>44814</v>
      </c>
      <c r="H202" s="2" t="s">
        <v>89</v>
      </c>
      <c r="I202" s="2" t="s">
        <v>52</v>
      </c>
      <c r="J202" s="142">
        <v>565</v>
      </c>
      <c r="K202" s="142">
        <v>387.09676999999999</v>
      </c>
      <c r="L202" s="142">
        <v>0</v>
      </c>
      <c r="M202" s="142">
        <v>0</v>
      </c>
      <c r="N202" s="142"/>
      <c r="O202" s="142">
        <v>500</v>
      </c>
      <c r="P202" s="142">
        <v>1452.0967700000001</v>
      </c>
      <c r="Q202" s="232"/>
      <c r="R202" s="232"/>
    </row>
    <row r="203" spans="4:18">
      <c r="D203" s="2">
        <v>178</v>
      </c>
      <c r="E203" s="2" t="s">
        <v>498</v>
      </c>
      <c r="F203" s="2">
        <v>1</v>
      </c>
      <c r="G203" s="39">
        <v>44815</v>
      </c>
      <c r="H203" s="2" t="s">
        <v>90</v>
      </c>
      <c r="I203" s="2" t="s">
        <v>52</v>
      </c>
      <c r="J203" s="142">
        <v>515</v>
      </c>
      <c r="K203" s="142">
        <v>387.09676999999999</v>
      </c>
      <c r="L203" s="142">
        <v>0</v>
      </c>
      <c r="M203" s="142">
        <v>0</v>
      </c>
      <c r="N203" s="142"/>
      <c r="O203" s="142">
        <v>0</v>
      </c>
      <c r="P203" s="142">
        <v>902.09676999999999</v>
      </c>
      <c r="Q203" s="232"/>
      <c r="R203" s="232"/>
    </row>
    <row r="204" spans="4:18">
      <c r="D204" s="2">
        <v>179</v>
      </c>
      <c r="E204" s="2" t="s">
        <v>499</v>
      </c>
      <c r="F204" s="2">
        <v>1</v>
      </c>
      <c r="G204" s="39">
        <v>44816</v>
      </c>
      <c r="H204" s="2" t="s">
        <v>289</v>
      </c>
      <c r="I204" s="2" t="s">
        <v>52</v>
      </c>
      <c r="J204" s="142">
        <v>315</v>
      </c>
      <c r="K204" s="142">
        <v>387.09676999999999</v>
      </c>
      <c r="L204" s="142">
        <v>0</v>
      </c>
      <c r="M204" s="142">
        <v>0</v>
      </c>
      <c r="N204" s="142"/>
      <c r="O204" s="142">
        <v>0</v>
      </c>
      <c r="P204" s="142">
        <v>702.09676999999999</v>
      </c>
      <c r="Q204" s="232"/>
      <c r="R204" s="232"/>
    </row>
    <row r="205" spans="4:18">
      <c r="D205" s="2">
        <v>180</v>
      </c>
      <c r="E205" s="2" t="s">
        <v>500</v>
      </c>
      <c r="F205" s="2">
        <v>1</v>
      </c>
      <c r="G205" s="39">
        <v>44817</v>
      </c>
      <c r="H205" s="2" t="s">
        <v>85</v>
      </c>
      <c r="I205" s="4" t="s">
        <v>519</v>
      </c>
      <c r="J205" s="142">
        <v>965.00000000000011</v>
      </c>
      <c r="K205" s="142">
        <v>387.09676999999999</v>
      </c>
      <c r="L205" s="142">
        <v>1300</v>
      </c>
      <c r="M205" s="142">
        <v>1150</v>
      </c>
      <c r="N205" s="142"/>
      <c r="O205" s="142">
        <v>0</v>
      </c>
      <c r="P205" s="142">
        <v>3802.0967700000001</v>
      </c>
      <c r="Q205" s="232"/>
      <c r="R205" s="232"/>
    </row>
    <row r="206" spans="4:18">
      <c r="D206" s="2">
        <v>181</v>
      </c>
      <c r="E206" s="2" t="s">
        <v>501</v>
      </c>
      <c r="F206" s="2">
        <v>1</v>
      </c>
      <c r="G206" s="39">
        <v>44818</v>
      </c>
      <c r="H206" s="2" t="s">
        <v>86</v>
      </c>
      <c r="I206" s="2" t="s">
        <v>52</v>
      </c>
      <c r="J206" s="142">
        <v>826.00000000000011</v>
      </c>
      <c r="K206" s="142">
        <v>387.09676999999999</v>
      </c>
      <c r="L206" s="142">
        <v>0</v>
      </c>
      <c r="M206" s="142">
        <v>0</v>
      </c>
      <c r="N206" s="142"/>
      <c r="O206" s="142">
        <v>0</v>
      </c>
      <c r="P206" s="142">
        <v>1213.0967700000001</v>
      </c>
      <c r="Q206" s="232"/>
      <c r="R206" s="232"/>
    </row>
    <row r="207" spans="4:18">
      <c r="D207" s="2">
        <v>182</v>
      </c>
      <c r="E207" s="2" t="s">
        <v>502</v>
      </c>
      <c r="F207" s="2">
        <v>1</v>
      </c>
      <c r="G207" s="39">
        <v>44819</v>
      </c>
      <c r="H207" s="2" t="s">
        <v>87</v>
      </c>
      <c r="I207" s="2" t="s">
        <v>52</v>
      </c>
      <c r="J207" s="142">
        <v>235</v>
      </c>
      <c r="K207" s="142">
        <v>387.09676999999999</v>
      </c>
      <c r="L207" s="142">
        <v>300</v>
      </c>
      <c r="M207" s="142">
        <v>0</v>
      </c>
      <c r="N207" s="142"/>
      <c r="O207" s="142">
        <v>0</v>
      </c>
      <c r="P207" s="142">
        <v>922.09676999999999</v>
      </c>
      <c r="Q207" s="232"/>
      <c r="R207" s="232"/>
    </row>
    <row r="208" spans="4:18">
      <c r="D208" s="2">
        <v>183</v>
      </c>
      <c r="E208" s="2" t="s">
        <v>503</v>
      </c>
      <c r="F208" s="2">
        <v>1</v>
      </c>
      <c r="G208" s="39">
        <v>44820</v>
      </c>
      <c r="H208" s="2" t="s">
        <v>88</v>
      </c>
      <c r="I208" s="2" t="s">
        <v>52</v>
      </c>
      <c r="J208" s="142">
        <v>442</v>
      </c>
      <c r="K208" s="142">
        <v>387.09676999999999</v>
      </c>
      <c r="L208" s="142">
        <v>0</v>
      </c>
      <c r="M208" s="142">
        <v>1650</v>
      </c>
      <c r="N208" s="142"/>
      <c r="O208" s="142">
        <v>0</v>
      </c>
      <c r="P208" s="142">
        <v>2479.0967700000001</v>
      </c>
      <c r="Q208" s="232"/>
      <c r="R208" s="232"/>
    </row>
    <row r="209" spans="4:18">
      <c r="D209" s="2">
        <v>184</v>
      </c>
      <c r="E209" s="2" t="s">
        <v>504</v>
      </c>
      <c r="F209" s="2">
        <v>1</v>
      </c>
      <c r="G209" s="39">
        <v>44821</v>
      </c>
      <c r="H209" s="2" t="s">
        <v>89</v>
      </c>
      <c r="I209" s="2" t="s">
        <v>52</v>
      </c>
      <c r="J209" s="142">
        <v>370</v>
      </c>
      <c r="K209" s="142">
        <v>387.09676999999999</v>
      </c>
      <c r="L209" s="142">
        <v>0</v>
      </c>
      <c r="M209" s="142">
        <v>0</v>
      </c>
      <c r="N209" s="142"/>
      <c r="O209" s="142">
        <v>0</v>
      </c>
      <c r="P209" s="142">
        <v>757.09676999999999</v>
      </c>
      <c r="Q209" s="232"/>
      <c r="R209" s="232"/>
    </row>
    <row r="210" spans="4:18">
      <c r="D210" s="2">
        <v>185</v>
      </c>
      <c r="E210" s="2" t="s">
        <v>505</v>
      </c>
      <c r="F210" s="2">
        <v>1</v>
      </c>
      <c r="G210" s="39">
        <v>44822</v>
      </c>
      <c r="H210" s="2" t="s">
        <v>90</v>
      </c>
      <c r="I210" s="2" t="s">
        <v>52</v>
      </c>
      <c r="J210" s="142">
        <v>574</v>
      </c>
      <c r="K210" s="142">
        <v>387.09676999999999</v>
      </c>
      <c r="L210" s="142">
        <v>0</v>
      </c>
      <c r="M210" s="142">
        <v>0</v>
      </c>
      <c r="N210" s="142"/>
      <c r="O210" s="142">
        <v>0</v>
      </c>
      <c r="P210" s="142">
        <v>961.09676999999999</v>
      </c>
      <c r="Q210" s="232"/>
      <c r="R210" s="232"/>
    </row>
    <row r="211" spans="4:18">
      <c r="D211" s="2">
        <v>186</v>
      </c>
      <c r="E211" s="2" t="s">
        <v>506</v>
      </c>
      <c r="F211" s="2">
        <v>1</v>
      </c>
      <c r="G211" s="39">
        <v>44823</v>
      </c>
      <c r="H211" s="2" t="s">
        <v>289</v>
      </c>
      <c r="I211" s="2" t="s">
        <v>52</v>
      </c>
      <c r="J211" s="142">
        <v>984.00000000000011</v>
      </c>
      <c r="K211" s="142">
        <v>387.09676999999999</v>
      </c>
      <c r="L211" s="142">
        <v>0</v>
      </c>
      <c r="M211" s="142">
        <v>0</v>
      </c>
      <c r="N211" s="142"/>
      <c r="O211" s="142">
        <v>0</v>
      </c>
      <c r="P211" s="142">
        <v>1371.0967700000001</v>
      </c>
      <c r="Q211" s="232"/>
      <c r="R211" s="232"/>
    </row>
    <row r="212" spans="4:18">
      <c r="D212" s="2">
        <v>187</v>
      </c>
      <c r="E212" s="2" t="s">
        <v>507</v>
      </c>
      <c r="F212" s="2">
        <v>1</v>
      </c>
      <c r="G212" s="39">
        <v>44824</v>
      </c>
      <c r="H212" s="2" t="s">
        <v>85</v>
      </c>
      <c r="I212" s="2" t="s">
        <v>52</v>
      </c>
      <c r="J212" s="142">
        <v>520</v>
      </c>
      <c r="K212" s="142">
        <v>387.09676999999999</v>
      </c>
      <c r="L212" s="142">
        <v>0</v>
      </c>
      <c r="M212" s="142">
        <v>0</v>
      </c>
      <c r="N212" s="142"/>
      <c r="O212" s="142">
        <v>0</v>
      </c>
      <c r="P212" s="142">
        <v>907.09676999999999</v>
      </c>
      <c r="Q212" s="232"/>
      <c r="R212" s="232"/>
    </row>
    <row r="213" spans="4:18">
      <c r="D213" s="2">
        <v>188</v>
      </c>
      <c r="E213" s="2" t="s">
        <v>508</v>
      </c>
      <c r="F213" s="2">
        <v>1</v>
      </c>
      <c r="G213" s="39">
        <v>44825</v>
      </c>
      <c r="H213" s="2" t="s">
        <v>86</v>
      </c>
      <c r="I213" s="2" t="s">
        <v>52</v>
      </c>
      <c r="J213" s="142">
        <v>458</v>
      </c>
      <c r="K213" s="142">
        <v>387.09676999999999</v>
      </c>
      <c r="L213" s="142">
        <v>0</v>
      </c>
      <c r="M213" s="142">
        <v>0</v>
      </c>
      <c r="N213" s="142"/>
      <c r="O213" s="142">
        <v>0</v>
      </c>
      <c r="P213" s="142">
        <v>845.09676999999999</v>
      </c>
      <c r="Q213" s="232"/>
      <c r="R213" s="232"/>
    </row>
    <row r="214" spans="4:18">
      <c r="D214" s="2">
        <v>189</v>
      </c>
      <c r="E214" s="2" t="s">
        <v>524</v>
      </c>
      <c r="F214" s="2">
        <v>1</v>
      </c>
      <c r="G214" s="39">
        <v>44826</v>
      </c>
      <c r="H214" s="2" t="s">
        <v>87</v>
      </c>
      <c r="I214" s="2" t="s">
        <v>52</v>
      </c>
      <c r="J214" s="142">
        <v>940.00000000000011</v>
      </c>
      <c r="K214" s="142">
        <v>387.09676999999999</v>
      </c>
      <c r="L214" s="142">
        <v>0</v>
      </c>
      <c r="M214" s="142">
        <v>0</v>
      </c>
      <c r="N214" s="142"/>
      <c r="O214" s="142">
        <v>0</v>
      </c>
      <c r="P214" s="142">
        <v>1327.0967700000001</v>
      </c>
    </row>
    <row r="215" spans="4:18">
      <c r="D215" s="2">
        <v>190</v>
      </c>
      <c r="E215" s="2" t="s">
        <v>525</v>
      </c>
      <c r="F215" s="2">
        <v>1</v>
      </c>
      <c r="G215" s="39">
        <v>44827</v>
      </c>
      <c r="H215" s="2" t="s">
        <v>88</v>
      </c>
      <c r="I215" s="2" t="s">
        <v>52</v>
      </c>
      <c r="J215" s="142">
        <v>455</v>
      </c>
      <c r="K215" s="142">
        <v>387.09676999999999</v>
      </c>
      <c r="L215" s="142">
        <v>0</v>
      </c>
      <c r="M215" s="142">
        <v>0</v>
      </c>
      <c r="N215" s="142"/>
      <c r="O215" s="142">
        <v>0</v>
      </c>
      <c r="P215" s="142">
        <v>842.09676999999999</v>
      </c>
    </row>
    <row r="216" spans="4:18">
      <c r="D216" s="2">
        <v>191</v>
      </c>
      <c r="E216" s="2" t="s">
        <v>526</v>
      </c>
      <c r="F216" s="2">
        <v>1</v>
      </c>
      <c r="G216" s="39">
        <v>44828</v>
      </c>
      <c r="H216" s="2" t="s">
        <v>89</v>
      </c>
      <c r="I216" s="2" t="s">
        <v>52</v>
      </c>
      <c r="J216" s="142">
        <v>390</v>
      </c>
      <c r="K216" s="142">
        <v>387.09676999999999</v>
      </c>
      <c r="L216" s="142">
        <v>0</v>
      </c>
      <c r="M216" s="142">
        <v>0</v>
      </c>
      <c r="N216" s="142"/>
      <c r="O216" s="142">
        <v>2500</v>
      </c>
      <c r="P216" s="142">
        <v>3277.0967700000001</v>
      </c>
    </row>
    <row r="217" spans="4:18">
      <c r="D217" s="2">
        <v>192</v>
      </c>
      <c r="E217" s="2" t="s">
        <v>527</v>
      </c>
      <c r="F217" s="2">
        <v>1</v>
      </c>
      <c r="G217" s="39">
        <v>44829</v>
      </c>
      <c r="H217" s="2" t="s">
        <v>90</v>
      </c>
      <c r="I217" s="2" t="s">
        <v>52</v>
      </c>
      <c r="J217" s="142">
        <v>665.00000000000011</v>
      </c>
      <c r="K217" s="142">
        <v>387.09676999999999</v>
      </c>
      <c r="L217" s="142">
        <v>0</v>
      </c>
      <c r="M217" s="142">
        <v>0</v>
      </c>
      <c r="N217" s="142"/>
      <c r="O217" s="142">
        <v>0</v>
      </c>
      <c r="P217" s="142">
        <v>1052.0967700000001</v>
      </c>
    </row>
    <row r="218" spans="4:18">
      <c r="D218" s="2">
        <v>193</v>
      </c>
      <c r="E218" s="2" t="s">
        <v>528</v>
      </c>
      <c r="F218" s="2">
        <v>1</v>
      </c>
      <c r="G218" s="39">
        <v>44830</v>
      </c>
      <c r="H218" s="2" t="s">
        <v>289</v>
      </c>
      <c r="I218" s="2" t="s">
        <v>52</v>
      </c>
      <c r="J218" s="142">
        <v>405</v>
      </c>
      <c r="K218" s="142">
        <v>387.09676999999999</v>
      </c>
      <c r="L218" s="142">
        <v>150</v>
      </c>
      <c r="M218" s="142">
        <v>0</v>
      </c>
      <c r="N218" s="142"/>
      <c r="O218" s="142">
        <v>0</v>
      </c>
      <c r="P218" s="142">
        <v>942.09676999999999</v>
      </c>
    </row>
    <row r="219" spans="4:18">
      <c r="D219" s="2">
        <v>194</v>
      </c>
      <c r="E219" s="2" t="s">
        <v>529</v>
      </c>
      <c r="F219" s="2">
        <v>1</v>
      </c>
      <c r="G219" s="39">
        <v>44831</v>
      </c>
      <c r="H219" s="2" t="s">
        <v>85</v>
      </c>
      <c r="I219" s="2" t="s">
        <v>52</v>
      </c>
      <c r="J219" s="142">
        <v>585</v>
      </c>
      <c r="K219" s="142">
        <v>387.09676999999999</v>
      </c>
      <c r="L219" s="142">
        <v>0</v>
      </c>
      <c r="M219" s="142">
        <v>0</v>
      </c>
      <c r="N219" s="142"/>
      <c r="O219" s="142">
        <v>0</v>
      </c>
      <c r="P219" s="142">
        <v>972.09676999999999</v>
      </c>
    </row>
    <row r="220" spans="4:18">
      <c r="D220" s="2">
        <v>195</v>
      </c>
      <c r="E220" s="2" t="s">
        <v>530</v>
      </c>
      <c r="F220" s="2">
        <v>1</v>
      </c>
      <c r="G220" s="39">
        <v>44832</v>
      </c>
      <c r="H220" s="2" t="s">
        <v>86</v>
      </c>
      <c r="I220" s="2" t="s">
        <v>52</v>
      </c>
      <c r="J220" s="142">
        <v>533</v>
      </c>
      <c r="K220" s="142">
        <v>387.09676999999999</v>
      </c>
      <c r="L220" s="142">
        <v>0</v>
      </c>
      <c r="M220" s="142">
        <v>0</v>
      </c>
      <c r="N220" s="142"/>
      <c r="O220" s="142">
        <v>0</v>
      </c>
      <c r="P220" s="142">
        <v>920.09676999999999</v>
      </c>
    </row>
    <row r="221" spans="4:18">
      <c r="D221" s="2">
        <v>196</v>
      </c>
      <c r="E221" s="2" t="s">
        <v>531</v>
      </c>
      <c r="F221" s="2">
        <v>1</v>
      </c>
      <c r="G221" s="39">
        <v>44833</v>
      </c>
      <c r="H221" s="2" t="s">
        <v>87</v>
      </c>
      <c r="I221" s="2" t="s">
        <v>52</v>
      </c>
      <c r="J221" s="142">
        <v>640.00000000000011</v>
      </c>
      <c r="K221" s="142">
        <v>387.09676999999999</v>
      </c>
      <c r="L221" s="142">
        <v>0</v>
      </c>
      <c r="M221" s="142">
        <v>0</v>
      </c>
      <c r="N221" s="142"/>
      <c r="O221" s="142">
        <v>0</v>
      </c>
      <c r="P221" s="142">
        <v>1027.0967700000001</v>
      </c>
    </row>
    <row r="222" spans="4:18">
      <c r="D222" s="2">
        <v>197</v>
      </c>
      <c r="E222" s="2" t="s">
        <v>532</v>
      </c>
      <c r="F222" s="2">
        <v>1</v>
      </c>
      <c r="G222" s="39">
        <v>44834</v>
      </c>
      <c r="H222" s="2" t="s">
        <v>88</v>
      </c>
      <c r="I222" s="2" t="s">
        <v>52</v>
      </c>
      <c r="J222" s="142">
        <v>1010</v>
      </c>
      <c r="K222" s="142">
        <v>400</v>
      </c>
      <c r="L222" s="142">
        <v>0</v>
      </c>
      <c r="M222" s="142">
        <v>0</v>
      </c>
      <c r="N222" s="142"/>
      <c r="O222" s="142">
        <v>0</v>
      </c>
      <c r="P222" s="142">
        <v>1410</v>
      </c>
    </row>
    <row r="223" spans="4:18">
      <c r="D223" s="2">
        <v>198</v>
      </c>
      <c r="E223" s="2" t="s">
        <v>548</v>
      </c>
      <c r="F223" s="2">
        <v>1</v>
      </c>
      <c r="G223" s="39">
        <v>44835</v>
      </c>
      <c r="H223" s="2" t="s">
        <v>89</v>
      </c>
      <c r="I223" s="2" t="s">
        <v>52</v>
      </c>
      <c r="J223" s="142">
        <v>870</v>
      </c>
      <c r="K223" s="142">
        <v>400</v>
      </c>
      <c r="L223" s="142">
        <v>0</v>
      </c>
      <c r="M223" s="142">
        <v>0</v>
      </c>
      <c r="N223" s="142"/>
      <c r="O223" s="142">
        <v>0</v>
      </c>
      <c r="P223" s="142">
        <v>1270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BS167"/>
  <sheetViews>
    <sheetView showZeros="0" topLeftCell="C1" zoomScale="85" zoomScaleNormal="85" workbookViewId="0">
      <selection activeCell="F24" sqref="F24"/>
    </sheetView>
  </sheetViews>
  <sheetFormatPr baseColWidth="10" defaultRowHeight="14.4" outlineLevelRow="2" outlineLevelCol="1"/>
  <cols>
    <col min="1" max="1" width="16.5546875" bestFit="1" customWidth="1"/>
    <col min="3" max="3" width="17.6640625" bestFit="1" customWidth="1"/>
    <col min="4" max="4" width="1.5546875" customWidth="1"/>
    <col min="5" max="5" width="9.44140625" style="2" bestFit="1" customWidth="1"/>
    <col min="6" max="6" width="9" style="2" customWidth="1" outlineLevel="1"/>
    <col min="7" max="11" width="8" style="2" customWidth="1" outlineLevel="1"/>
    <col min="12" max="12" width="9.109375" style="2" customWidth="1" outlineLevel="1"/>
    <col min="13" max="13" width="8.109375" style="2" customWidth="1" outlineLevel="1"/>
    <col min="14" max="14" width="9.6640625" style="2" customWidth="1" outlineLevel="1"/>
    <col min="15" max="15" width="9.109375" style="2" customWidth="1" outlineLevel="1" collapsed="1"/>
    <col min="16" max="17" width="8" style="2" customWidth="1" outlineLevel="1"/>
    <col min="18" max="18" width="8.6640625" style="2" customWidth="1" outlineLevel="1"/>
    <col min="19" max="19" width="8.6640625" style="2" customWidth="1" outlineLevel="1" collapsed="1"/>
    <col min="20" max="22" width="8.6640625" style="2" customWidth="1"/>
    <col min="23" max="23" width="8.6640625" style="2" customWidth="1" collapsed="1"/>
    <col min="24" max="24" width="8.109375" style="2" customWidth="1" collapsed="1"/>
    <col min="25" max="25" width="8.109375" style="2" customWidth="1"/>
    <col min="26" max="26" width="8.109375" style="2" customWidth="1" collapsed="1"/>
    <col min="27" max="28" width="8.109375" style="2" customWidth="1"/>
    <col min="29" max="29" width="8.109375" style="2" customWidth="1" collapsed="1"/>
    <col min="30" max="44" width="8.109375" style="2" customWidth="1"/>
    <col min="45" max="45" width="6.88671875" style="2" customWidth="1"/>
    <col min="46" max="46" width="11.44140625" style="4"/>
    <col min="47" max="47" width="6.88671875" style="2" customWidth="1"/>
    <col min="48" max="48" width="7.6640625" customWidth="1"/>
    <col min="49" max="49" width="5.5546875" style="2" bestFit="1" customWidth="1"/>
    <col min="50" max="55" width="0.33203125" style="2" customWidth="1"/>
    <col min="57" max="57" width="16.33203125" bestFit="1" customWidth="1"/>
    <col min="63" max="63" width="13" bestFit="1" customWidth="1"/>
  </cols>
  <sheetData>
    <row r="1" spans="1:71">
      <c r="AW1" s="2">
        <v>1</v>
      </c>
      <c r="AX1" s="2">
        <v>2</v>
      </c>
      <c r="AY1" s="2">
        <v>3</v>
      </c>
      <c r="AZ1" s="2">
        <v>4</v>
      </c>
      <c r="BA1" s="2">
        <v>5</v>
      </c>
      <c r="BB1" s="2">
        <v>6</v>
      </c>
      <c r="BC1" s="2">
        <v>7</v>
      </c>
    </row>
    <row r="2" spans="1:71">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v>23</v>
      </c>
      <c r="AC2" s="2">
        <v>24</v>
      </c>
      <c r="AD2" s="2">
        <v>25</v>
      </c>
      <c r="AE2" s="2">
        <v>26</v>
      </c>
      <c r="AF2" s="2">
        <v>27</v>
      </c>
      <c r="AG2" s="2">
        <v>28</v>
      </c>
      <c r="AH2" s="2">
        <v>29</v>
      </c>
      <c r="AI2" s="2">
        <v>30</v>
      </c>
      <c r="AJ2" s="2">
        <v>31</v>
      </c>
      <c r="AK2" s="2">
        <v>32</v>
      </c>
      <c r="AL2" s="2">
        <v>33</v>
      </c>
      <c r="AM2" s="2">
        <v>34</v>
      </c>
      <c r="AN2" s="2">
        <v>35</v>
      </c>
      <c r="AO2" s="2">
        <v>36</v>
      </c>
      <c r="AP2" s="2">
        <v>37</v>
      </c>
      <c r="AQ2" s="2">
        <v>38</v>
      </c>
      <c r="AR2" s="2">
        <v>39</v>
      </c>
      <c r="AS2" s="2">
        <v>40</v>
      </c>
      <c r="AT2" s="2"/>
      <c r="AW2" s="2" t="s">
        <v>84</v>
      </c>
      <c r="AX2" s="2" t="s">
        <v>85</v>
      </c>
      <c r="AY2" s="2" t="s">
        <v>86</v>
      </c>
      <c r="AZ2" s="2" t="s">
        <v>87</v>
      </c>
      <c r="BA2" s="2" t="s">
        <v>88</v>
      </c>
      <c r="BB2" s="2" t="s">
        <v>89</v>
      </c>
      <c r="BC2" s="2" t="s">
        <v>90</v>
      </c>
    </row>
    <row r="3" spans="1:71">
      <c r="E3" s="2" t="s">
        <v>89</v>
      </c>
      <c r="F3" s="2" t="s">
        <v>90</v>
      </c>
      <c r="G3" s="2" t="s">
        <v>84</v>
      </c>
      <c r="H3" s="2" t="s">
        <v>85</v>
      </c>
      <c r="I3" s="2" t="s">
        <v>86</v>
      </c>
      <c r="J3" s="2" t="s">
        <v>87</v>
      </c>
      <c r="K3" s="2" t="s">
        <v>88</v>
      </c>
      <c r="L3" s="2" t="s">
        <v>89</v>
      </c>
      <c r="M3" s="2" t="s">
        <v>90</v>
      </c>
      <c r="N3" s="2" t="s">
        <v>84</v>
      </c>
      <c r="O3" s="2" t="s">
        <v>85</v>
      </c>
      <c r="P3" s="2" t="s">
        <v>86</v>
      </c>
      <c r="Q3" s="2" t="s">
        <v>87</v>
      </c>
      <c r="R3" s="2" t="s">
        <v>88</v>
      </c>
      <c r="S3" s="2" t="s">
        <v>89</v>
      </c>
      <c r="T3" s="2" t="s">
        <v>90</v>
      </c>
      <c r="U3" s="2" t="s">
        <v>84</v>
      </c>
      <c r="V3" s="2" t="s">
        <v>85</v>
      </c>
      <c r="W3" s="2" t="s">
        <v>86</v>
      </c>
      <c r="X3" s="2" t="s">
        <v>87</v>
      </c>
      <c r="Y3" s="2" t="s">
        <v>88</v>
      </c>
      <c r="Z3" s="2" t="s">
        <v>89</v>
      </c>
      <c r="AA3" s="2" t="s">
        <v>90</v>
      </c>
      <c r="AB3" s="2" t="s">
        <v>84</v>
      </c>
      <c r="AC3" s="2" t="s">
        <v>85</v>
      </c>
      <c r="AD3" s="2" t="s">
        <v>86</v>
      </c>
      <c r="AE3" s="2" t="s">
        <v>87</v>
      </c>
      <c r="AF3" s="2" t="s">
        <v>88</v>
      </c>
      <c r="AG3" s="2" t="s">
        <v>89</v>
      </c>
      <c r="AH3" s="2" t="s">
        <v>90</v>
      </c>
      <c r="AI3" s="2" t="s">
        <v>84</v>
      </c>
      <c r="AJ3" s="2" t="s">
        <v>85</v>
      </c>
      <c r="AK3" s="2" t="s">
        <v>86</v>
      </c>
      <c r="AL3" s="2" t="s">
        <v>87</v>
      </c>
      <c r="AM3" s="2" t="s">
        <v>88</v>
      </c>
      <c r="AN3" s="2" t="s">
        <v>89</v>
      </c>
      <c r="AO3" s="2" t="s">
        <v>90</v>
      </c>
      <c r="AP3" s="2" t="s">
        <v>84</v>
      </c>
      <c r="AQ3" s="2" t="s">
        <v>85</v>
      </c>
      <c r="AR3" s="2" t="s">
        <v>86</v>
      </c>
      <c r="AS3" s="2" t="s">
        <v>87</v>
      </c>
      <c r="AT3" s="2"/>
      <c r="BE3" t="s">
        <v>244</v>
      </c>
    </row>
    <row r="4" spans="1:71" s="10" customFormat="1">
      <c r="E4" s="34">
        <v>43764</v>
      </c>
      <c r="F4" s="34">
        <v>43765</v>
      </c>
      <c r="G4" s="34">
        <v>43766</v>
      </c>
      <c r="H4" s="34">
        <v>43767</v>
      </c>
      <c r="I4" s="34">
        <v>43768</v>
      </c>
      <c r="J4" s="34">
        <v>43769</v>
      </c>
      <c r="K4" s="34">
        <v>43770</v>
      </c>
      <c r="L4" s="34">
        <v>43771</v>
      </c>
      <c r="M4" s="34">
        <v>43772</v>
      </c>
      <c r="N4" s="34">
        <v>43773</v>
      </c>
      <c r="O4" s="34">
        <v>43774</v>
      </c>
      <c r="P4" s="34">
        <v>43775</v>
      </c>
      <c r="Q4" s="34">
        <v>43776</v>
      </c>
      <c r="R4" s="34">
        <v>43777</v>
      </c>
      <c r="S4" s="34">
        <v>43778</v>
      </c>
      <c r="T4" s="34">
        <v>43779</v>
      </c>
      <c r="U4" s="34">
        <v>43780</v>
      </c>
      <c r="V4" s="34">
        <v>43781</v>
      </c>
      <c r="W4" s="34">
        <v>43782</v>
      </c>
      <c r="X4" s="34">
        <v>43783</v>
      </c>
      <c r="Y4" s="34">
        <v>43784</v>
      </c>
      <c r="Z4" s="34">
        <v>43785</v>
      </c>
      <c r="AA4" s="34">
        <v>43786</v>
      </c>
      <c r="AB4" s="34">
        <v>43787</v>
      </c>
      <c r="AC4" s="34">
        <v>43788</v>
      </c>
      <c r="AD4" s="34">
        <v>43789</v>
      </c>
      <c r="AE4" s="34">
        <v>43790</v>
      </c>
      <c r="AF4" s="34">
        <v>43791</v>
      </c>
      <c r="AG4" s="34">
        <v>43792</v>
      </c>
      <c r="AH4" s="34">
        <v>43793</v>
      </c>
      <c r="AI4" s="34">
        <v>43794</v>
      </c>
      <c r="AJ4" s="34">
        <v>43795</v>
      </c>
      <c r="AK4" s="34">
        <v>43796</v>
      </c>
      <c r="AL4" s="34">
        <v>43797</v>
      </c>
      <c r="AM4" s="34">
        <v>43798</v>
      </c>
      <c r="AN4" s="34">
        <v>43799</v>
      </c>
      <c r="AO4" s="34">
        <v>43800</v>
      </c>
      <c r="AP4" s="34">
        <v>43801</v>
      </c>
      <c r="AQ4" s="34">
        <v>43802</v>
      </c>
      <c r="AR4" s="34">
        <v>43803</v>
      </c>
      <c r="AS4" s="34">
        <v>43804</v>
      </c>
      <c r="AT4" s="12"/>
      <c r="AU4" s="1"/>
      <c r="AW4" s="1"/>
      <c r="AX4" s="1"/>
      <c r="AY4" s="1"/>
      <c r="AZ4" s="1"/>
      <c r="BA4" s="1"/>
      <c r="BB4" s="1"/>
      <c r="BC4" s="1"/>
      <c r="BE4" s="10" t="s">
        <v>245</v>
      </c>
    </row>
    <row r="5" spans="1:71">
      <c r="C5" s="75" t="s">
        <v>158</v>
      </c>
      <c r="D5" s="2" t="s">
        <v>12</v>
      </c>
      <c r="E5" s="2" t="s">
        <v>207</v>
      </c>
      <c r="F5" s="2" t="s">
        <v>52</v>
      </c>
      <c r="G5" s="2" t="s">
        <v>52</v>
      </c>
      <c r="H5" s="2" t="s">
        <v>52</v>
      </c>
      <c r="I5" s="2" t="s">
        <v>52</v>
      </c>
      <c r="J5" s="2" t="s">
        <v>52</v>
      </c>
      <c r="K5" s="2" t="s">
        <v>52</v>
      </c>
      <c r="L5" s="2" t="s">
        <v>52</v>
      </c>
      <c r="M5" s="2" t="s">
        <v>52</v>
      </c>
      <c r="N5" s="2" t="s">
        <v>52</v>
      </c>
      <c r="O5" s="2" t="s">
        <v>236</v>
      </c>
      <c r="P5" s="2" t="s">
        <v>52</v>
      </c>
      <c r="Q5" s="2" t="s">
        <v>52</v>
      </c>
      <c r="R5" s="2" t="s">
        <v>52</v>
      </c>
      <c r="S5" s="2" t="s">
        <v>52</v>
      </c>
      <c r="T5" s="2" t="s">
        <v>52</v>
      </c>
      <c r="U5" s="99" t="s">
        <v>237</v>
      </c>
      <c r="V5" s="140" t="s">
        <v>238</v>
      </c>
      <c r="W5" s="141" t="s">
        <v>53</v>
      </c>
      <c r="X5" s="2" t="s">
        <v>52</v>
      </c>
      <c r="Y5" s="2" t="s">
        <v>52</v>
      </c>
      <c r="Z5" s="2" t="s">
        <v>52</v>
      </c>
      <c r="AA5" s="2" t="s">
        <v>243</v>
      </c>
      <c r="AB5" s="2" t="s">
        <v>52</v>
      </c>
      <c r="AC5" s="99" t="s">
        <v>242</v>
      </c>
      <c r="AD5" s="140" t="s">
        <v>20</v>
      </c>
      <c r="AE5" s="141" t="s">
        <v>20</v>
      </c>
      <c r="AF5" s="2" t="s">
        <v>52</v>
      </c>
      <c r="AG5" s="2" t="s">
        <v>52</v>
      </c>
      <c r="AH5" s="2" t="s">
        <v>52</v>
      </c>
      <c r="AL5" s="97" t="s">
        <v>246</v>
      </c>
      <c r="AT5" s="4" t="s">
        <v>13</v>
      </c>
      <c r="BO5" t="s">
        <v>210</v>
      </c>
    </row>
    <row r="6" spans="1:71" ht="15" outlineLevel="1" thickBot="1">
      <c r="D6" s="11" t="s">
        <v>17</v>
      </c>
      <c r="E6" s="2" t="s">
        <v>16</v>
      </c>
      <c r="F6" s="2" t="s">
        <v>16</v>
      </c>
      <c r="G6" s="2" t="s">
        <v>16</v>
      </c>
      <c r="BF6" s="4" t="s">
        <v>135</v>
      </c>
      <c r="BG6" s="4" t="s">
        <v>9</v>
      </c>
      <c r="BL6" s="4" t="s">
        <v>135</v>
      </c>
      <c r="BM6" s="4" t="s">
        <v>9</v>
      </c>
      <c r="BP6" s="4" t="s">
        <v>135</v>
      </c>
      <c r="BQ6" s="4" t="s">
        <v>9</v>
      </c>
    </row>
    <row r="7" spans="1:71" outlineLevel="1">
      <c r="A7" t="s">
        <v>70</v>
      </c>
      <c r="B7" t="s">
        <v>21</v>
      </c>
      <c r="C7" s="72" t="s">
        <v>142</v>
      </c>
      <c r="D7" s="11"/>
      <c r="E7"/>
      <c r="L7" s="2">
        <v>60</v>
      </c>
      <c r="U7" s="2">
        <v>35</v>
      </c>
      <c r="V7" s="2">
        <v>50</v>
      </c>
      <c r="W7" s="2">
        <v>60</v>
      </c>
      <c r="Y7"/>
      <c r="Z7"/>
      <c r="AA7"/>
      <c r="AB7"/>
      <c r="AC7"/>
      <c r="AD7">
        <v>160</v>
      </c>
      <c r="AE7" s="2">
        <v>110</v>
      </c>
      <c r="AF7">
        <v>145</v>
      </c>
      <c r="AG7"/>
      <c r="AH7"/>
      <c r="AI7"/>
      <c r="AJ7"/>
      <c r="AK7"/>
      <c r="AL7"/>
      <c r="AM7"/>
      <c r="AN7"/>
      <c r="AO7"/>
      <c r="AP7"/>
      <c r="AQ7"/>
      <c r="AS7" s="27"/>
      <c r="AT7" s="29">
        <v>620</v>
      </c>
      <c r="AU7" s="6">
        <v>24.259803490001911</v>
      </c>
      <c r="AV7" s="203">
        <f>+AT7/AU7</f>
        <v>25.556678571428574</v>
      </c>
      <c r="AW7" s="27"/>
      <c r="BE7" s="4" t="s">
        <v>138</v>
      </c>
      <c r="BF7" s="2"/>
      <c r="BG7" s="6">
        <v>811.24</v>
      </c>
      <c r="BH7" s="65">
        <v>811.24</v>
      </c>
      <c r="BM7" s="22">
        <v>811.24</v>
      </c>
      <c r="BO7" s="4" t="s">
        <v>138</v>
      </c>
      <c r="BP7" s="2"/>
      <c r="BQ7" s="98">
        <v>800</v>
      </c>
      <c r="BR7" s="65">
        <v>800</v>
      </c>
    </row>
    <row r="8" spans="1:71" outlineLevel="1">
      <c r="A8" t="s">
        <v>70</v>
      </c>
      <c r="B8" t="s">
        <v>21</v>
      </c>
      <c r="C8" s="73" t="s">
        <v>203</v>
      </c>
      <c r="D8" s="11"/>
      <c r="E8"/>
      <c r="I8" s="2">
        <v>620</v>
      </c>
      <c r="L8" s="2">
        <v>435</v>
      </c>
      <c r="N8" s="2">
        <v>240</v>
      </c>
      <c r="P8" s="2">
        <v>350</v>
      </c>
      <c r="U8" s="2">
        <v>35</v>
      </c>
      <c r="V8" s="2">
        <v>80</v>
      </c>
      <c r="W8" s="2">
        <v>60</v>
      </c>
      <c r="Z8"/>
      <c r="AA8"/>
      <c r="AB8"/>
      <c r="AC8" s="2">
        <v>255</v>
      </c>
      <c r="AD8" s="2">
        <v>340</v>
      </c>
      <c r="AE8" s="2">
        <v>262</v>
      </c>
      <c r="AF8" s="2">
        <v>100</v>
      </c>
      <c r="AH8" s="2">
        <v>1950</v>
      </c>
      <c r="AJ8"/>
      <c r="AK8">
        <v>180</v>
      </c>
      <c r="AL8"/>
      <c r="AM8" s="2">
        <v>110</v>
      </c>
      <c r="AN8">
        <v>280</v>
      </c>
      <c r="AO8"/>
      <c r="AP8">
        <v>265</v>
      </c>
      <c r="AQ8"/>
      <c r="AR8" s="2">
        <v>625</v>
      </c>
      <c r="AS8" s="27"/>
      <c r="AT8" s="29">
        <v>6187</v>
      </c>
      <c r="AU8" s="6">
        <v>242.08936160103522</v>
      </c>
      <c r="AV8" s="27"/>
      <c r="AW8" s="27"/>
      <c r="BE8" s="4" t="s">
        <v>61</v>
      </c>
      <c r="BF8" s="6">
        <v>2396.3530248593106</v>
      </c>
      <c r="BG8" s="6">
        <v>50</v>
      </c>
      <c r="BH8" s="95">
        <v>2446.3530248593106</v>
      </c>
      <c r="BI8" s="6">
        <v>3527.0171130554345</v>
      </c>
      <c r="BJ8" s="2" t="s">
        <v>61</v>
      </c>
      <c r="BL8" s="22">
        <v>2396.3530248593106</v>
      </c>
      <c r="BM8" s="22">
        <v>50</v>
      </c>
      <c r="BO8" s="4" t="s">
        <v>61</v>
      </c>
      <c r="BP8" s="6">
        <v>2600</v>
      </c>
      <c r="BQ8" s="6"/>
      <c r="BR8" s="95">
        <v>2600</v>
      </c>
      <c r="BS8" s="28">
        <v>3650</v>
      </c>
    </row>
    <row r="9" spans="1:71" outlineLevel="1">
      <c r="B9" t="s">
        <v>21</v>
      </c>
      <c r="C9" s="73" t="s">
        <v>204</v>
      </c>
      <c r="D9" s="11"/>
      <c r="E9"/>
      <c r="H9" s="2">
        <v>85</v>
      </c>
      <c r="I9" s="2">
        <v>25</v>
      </c>
      <c r="J9" s="2">
        <v>120</v>
      </c>
      <c r="K9" s="2">
        <v>300</v>
      </c>
      <c r="L9" s="2">
        <v>135</v>
      </c>
      <c r="M9" s="2">
        <v>265</v>
      </c>
      <c r="N9" s="2">
        <v>100</v>
      </c>
      <c r="O9" s="2">
        <v>290</v>
      </c>
      <c r="P9" s="2">
        <v>230</v>
      </c>
      <c r="R9" s="2">
        <v>80</v>
      </c>
      <c r="S9" s="2">
        <v>235</v>
      </c>
      <c r="U9" s="2">
        <v>165</v>
      </c>
      <c r="V9" s="2">
        <v>60</v>
      </c>
      <c r="W9" s="2">
        <v>60</v>
      </c>
      <c r="Z9" s="2">
        <v>135</v>
      </c>
      <c r="AA9" s="2">
        <v>60</v>
      </c>
      <c r="AB9" s="2">
        <v>20</v>
      </c>
      <c r="AC9" s="2">
        <v>437</v>
      </c>
      <c r="AD9" s="2">
        <v>200</v>
      </c>
      <c r="AE9" s="2">
        <v>145</v>
      </c>
      <c r="AF9" s="2">
        <v>440</v>
      </c>
      <c r="AH9" s="2">
        <v>80</v>
      </c>
      <c r="AI9" s="2">
        <v>100</v>
      </c>
      <c r="AJ9" s="2">
        <v>50</v>
      </c>
      <c r="AK9" s="2">
        <v>180</v>
      </c>
      <c r="AM9" s="2">
        <v>289</v>
      </c>
      <c r="AN9" s="2">
        <v>400</v>
      </c>
      <c r="AO9" s="2">
        <v>400</v>
      </c>
      <c r="AP9" s="2">
        <v>265</v>
      </c>
      <c r="AQ9" s="2">
        <v>145</v>
      </c>
      <c r="AR9" s="2">
        <v>260</v>
      </c>
      <c r="AS9" s="27"/>
      <c r="AT9" s="29">
        <v>5756</v>
      </c>
      <c r="AU9" s="6">
        <v>225.22488530395324</v>
      </c>
      <c r="AV9" s="27"/>
      <c r="AW9" s="27"/>
      <c r="BE9" s="4" t="s">
        <v>209</v>
      </c>
      <c r="BF9" s="6"/>
      <c r="BG9" s="6">
        <v>0</v>
      </c>
      <c r="BH9" s="95">
        <v>0</v>
      </c>
      <c r="BI9" s="28">
        <v>0</v>
      </c>
      <c r="BJ9" s="2" t="s">
        <v>212</v>
      </c>
      <c r="BL9" s="22">
        <v>0</v>
      </c>
      <c r="BM9" s="22">
        <v>0</v>
      </c>
      <c r="BO9" s="4" t="s">
        <v>201</v>
      </c>
      <c r="BP9" s="6">
        <v>100</v>
      </c>
      <c r="BQ9" s="98"/>
      <c r="BR9" s="95">
        <v>100</v>
      </c>
      <c r="BS9" s="28"/>
    </row>
    <row r="10" spans="1:71" outlineLevel="1">
      <c r="A10" t="s">
        <v>70</v>
      </c>
      <c r="B10" t="s">
        <v>21</v>
      </c>
      <c r="C10" s="73" t="s">
        <v>147</v>
      </c>
      <c r="D10" s="11"/>
      <c r="E10"/>
      <c r="G10" s="2">
        <v>155</v>
      </c>
      <c r="J10" s="2">
        <v>115</v>
      </c>
      <c r="M10" s="2">
        <v>60</v>
      </c>
      <c r="N10" s="2">
        <v>30</v>
      </c>
      <c r="Q10" s="2">
        <v>240</v>
      </c>
      <c r="Z10"/>
      <c r="AA10"/>
      <c r="AB10"/>
      <c r="AJ10"/>
      <c r="AK10"/>
      <c r="AL10"/>
      <c r="AM10"/>
      <c r="AN10"/>
      <c r="AO10"/>
      <c r="AP10"/>
      <c r="AQ10"/>
      <c r="AR10" s="143">
        <v>400</v>
      </c>
      <c r="AS10" s="27"/>
      <c r="AT10" s="29">
        <v>1000</v>
      </c>
      <c r="AU10" s="6">
        <v>39.128715306454694</v>
      </c>
      <c r="AV10" s="27"/>
      <c r="AW10" s="27"/>
      <c r="BE10" s="4" t="s">
        <v>136</v>
      </c>
      <c r="BF10" s="6">
        <v>144.4240881961243</v>
      </c>
      <c r="BG10" s="6">
        <v>125</v>
      </c>
      <c r="BH10" s="96">
        <v>269.42408819612433</v>
      </c>
      <c r="BI10" s="109">
        <v>3527.0171130554345</v>
      </c>
      <c r="BJ10" s="2" t="s">
        <v>213</v>
      </c>
      <c r="BL10" s="22">
        <v>144.4240881961243</v>
      </c>
      <c r="BM10" s="22">
        <v>125</v>
      </c>
      <c r="BO10" s="4" t="s">
        <v>136</v>
      </c>
      <c r="BP10" s="6">
        <v>150</v>
      </c>
      <c r="BQ10" s="6">
        <v>0</v>
      </c>
      <c r="BR10" s="96">
        <v>150</v>
      </c>
    </row>
    <row r="11" spans="1:71" outlineLevel="1">
      <c r="B11" t="s">
        <v>21</v>
      </c>
      <c r="C11" s="73" t="s">
        <v>205</v>
      </c>
      <c r="D11" s="11"/>
      <c r="E11"/>
      <c r="F11">
        <v>675</v>
      </c>
      <c r="G11" s="2">
        <v>112</v>
      </c>
      <c r="H11" s="2">
        <v>34</v>
      </c>
      <c r="I11" s="2">
        <v>20</v>
      </c>
      <c r="M11" s="2">
        <v>70</v>
      </c>
      <c r="R11" s="2">
        <v>60</v>
      </c>
      <c r="S11" s="2">
        <v>37</v>
      </c>
      <c r="T11" s="2">
        <v>240</v>
      </c>
      <c r="X11" s="2">
        <v>1100</v>
      </c>
      <c r="Y11" s="2">
        <v>150</v>
      </c>
      <c r="Z11">
        <v>530</v>
      </c>
      <c r="AA11" s="2">
        <v>30</v>
      </c>
      <c r="AB11" s="2">
        <v>335</v>
      </c>
      <c r="AG11" s="2">
        <v>640</v>
      </c>
      <c r="AH11" s="2">
        <v>180</v>
      </c>
      <c r="AI11" s="2">
        <v>300</v>
      </c>
      <c r="AK11" s="2">
        <v>20</v>
      </c>
      <c r="AM11" s="2">
        <v>310</v>
      </c>
      <c r="AN11" s="2">
        <v>50</v>
      </c>
      <c r="AO11" s="2">
        <v>145</v>
      </c>
      <c r="AQ11" s="2">
        <v>50</v>
      </c>
      <c r="AS11" s="27"/>
      <c r="AT11" s="29">
        <v>5088</v>
      </c>
      <c r="AU11" s="6">
        <v>199.0869034792415</v>
      </c>
      <c r="AV11" s="27"/>
      <c r="AW11" s="27"/>
      <c r="BE11" s="9"/>
      <c r="BF11" s="6"/>
      <c r="BG11" s="6"/>
      <c r="BH11" s="6"/>
      <c r="BL11" s="132">
        <v>2540.7771130554347</v>
      </c>
      <c r="BO11" s="9"/>
      <c r="BP11" s="6"/>
      <c r="BQ11" s="6"/>
      <c r="BR11" s="6"/>
    </row>
    <row r="12" spans="1:71" outlineLevel="1">
      <c r="A12" t="s">
        <v>70</v>
      </c>
      <c r="B12" t="s">
        <v>21</v>
      </c>
      <c r="C12" s="73" t="s">
        <v>146</v>
      </c>
      <c r="D12" s="11"/>
      <c r="E12"/>
      <c r="F12">
        <v>75</v>
      </c>
      <c r="G12" s="2">
        <v>20</v>
      </c>
      <c r="H12" s="2">
        <v>20</v>
      </c>
      <c r="I12" s="2">
        <v>95</v>
      </c>
      <c r="L12" s="2">
        <v>80</v>
      </c>
      <c r="M12" s="2">
        <v>25</v>
      </c>
      <c r="N12" s="2">
        <v>100</v>
      </c>
      <c r="P12" s="2">
        <v>20</v>
      </c>
      <c r="Q12" s="2">
        <v>35</v>
      </c>
      <c r="R12" s="2">
        <v>35</v>
      </c>
      <c r="U12" s="2">
        <v>40</v>
      </c>
      <c r="V12" s="2">
        <v>100</v>
      </c>
      <c r="W12" s="2">
        <v>80</v>
      </c>
      <c r="Z12" s="2">
        <v>30</v>
      </c>
      <c r="AA12" s="2">
        <v>65</v>
      </c>
      <c r="AB12" s="2">
        <v>30</v>
      </c>
      <c r="AC12" s="2">
        <v>25</v>
      </c>
      <c r="AD12" s="2">
        <v>55</v>
      </c>
      <c r="AE12" s="2">
        <v>80</v>
      </c>
      <c r="AG12" s="2">
        <v>20</v>
      </c>
      <c r="AH12" s="2">
        <v>40</v>
      </c>
      <c r="AJ12" s="2">
        <v>30</v>
      </c>
      <c r="AK12" s="2">
        <v>50</v>
      </c>
      <c r="AM12" s="2">
        <v>40</v>
      </c>
      <c r="AN12" s="2">
        <v>20</v>
      </c>
      <c r="AO12" s="2">
        <v>35</v>
      </c>
      <c r="AP12" s="2">
        <v>30</v>
      </c>
      <c r="AQ12" s="2">
        <v>25</v>
      </c>
      <c r="AR12" s="2">
        <v>60</v>
      </c>
      <c r="AS12" s="27"/>
      <c r="AT12" s="29">
        <v>1360</v>
      </c>
      <c r="AU12" s="6">
        <v>53.215052816778389</v>
      </c>
      <c r="AV12" s="27"/>
      <c r="AW12" s="27"/>
    </row>
    <row r="13" spans="1:71" ht="15" outlineLevel="1" thickBot="1">
      <c r="A13" t="s">
        <v>70</v>
      </c>
      <c r="B13" t="s">
        <v>21</v>
      </c>
      <c r="C13" s="74" t="s">
        <v>148</v>
      </c>
      <c r="D13" s="11"/>
      <c r="E13"/>
      <c r="F13"/>
      <c r="G13" s="2">
        <v>145</v>
      </c>
      <c r="H13" s="2">
        <v>100</v>
      </c>
      <c r="K13" s="2">
        <v>165</v>
      </c>
      <c r="N13" s="2">
        <v>280</v>
      </c>
      <c r="O13" s="2">
        <v>110</v>
      </c>
      <c r="Q13" s="2">
        <v>620</v>
      </c>
      <c r="U13" s="2">
        <v>85</v>
      </c>
      <c r="V13" s="2">
        <v>125</v>
      </c>
      <c r="X13" s="2">
        <v>110</v>
      </c>
      <c r="Z13" s="2">
        <v>180</v>
      </c>
      <c r="AD13" s="2">
        <v>330</v>
      </c>
      <c r="AE13" s="143">
        <v>100</v>
      </c>
      <c r="AF13" s="2">
        <v>230</v>
      </c>
      <c r="AG13" s="2">
        <v>200</v>
      </c>
      <c r="AJ13" s="2">
        <v>200</v>
      </c>
      <c r="AK13" s="2">
        <v>110</v>
      </c>
      <c r="AN13" s="2">
        <v>110</v>
      </c>
      <c r="AP13" s="2">
        <v>220</v>
      </c>
      <c r="AQ13" s="2">
        <v>210</v>
      </c>
      <c r="AS13" s="27"/>
      <c r="AT13" s="29">
        <v>3630</v>
      </c>
      <c r="AU13" s="6">
        <v>142.03723656243056</v>
      </c>
      <c r="AV13" s="27"/>
      <c r="AW13" s="27"/>
      <c r="BE13" s="4" t="s">
        <v>145</v>
      </c>
      <c r="BF13" s="6">
        <v>177.05743676170749</v>
      </c>
      <c r="BG13" s="6"/>
      <c r="BH13" s="7">
        <v>177.05743676170749</v>
      </c>
      <c r="BI13" s="2" t="s">
        <v>145</v>
      </c>
      <c r="BL13" s="133">
        <v>177.05743676170749</v>
      </c>
      <c r="BO13" s="4" t="s">
        <v>145</v>
      </c>
      <c r="BP13" s="6">
        <v>0</v>
      </c>
      <c r="BQ13" s="6"/>
      <c r="BR13" s="6">
        <v>0</v>
      </c>
    </row>
    <row r="14" spans="1:71" outlineLevel="1">
      <c r="A14" t="s">
        <v>70</v>
      </c>
      <c r="B14" t="s">
        <v>21</v>
      </c>
      <c r="C14" s="72" t="s">
        <v>153</v>
      </c>
      <c r="D14" s="11"/>
      <c r="E14"/>
      <c r="F14">
        <v>211</v>
      </c>
      <c r="H14" s="2">
        <v>200</v>
      </c>
      <c r="I14" s="2">
        <v>15</v>
      </c>
      <c r="K14" s="2">
        <v>10</v>
      </c>
      <c r="M14" s="2">
        <v>70</v>
      </c>
      <c r="N14" s="2">
        <v>10</v>
      </c>
      <c r="P14" s="2">
        <v>110</v>
      </c>
      <c r="Q14" s="2">
        <v>45</v>
      </c>
      <c r="R14" s="2">
        <v>45</v>
      </c>
      <c r="S14" s="2">
        <v>10</v>
      </c>
      <c r="U14" s="2">
        <v>80</v>
      </c>
      <c r="V14" s="2">
        <v>130</v>
      </c>
      <c r="W14" s="2">
        <v>130</v>
      </c>
      <c r="X14" s="2">
        <v>10</v>
      </c>
      <c r="Y14" s="2">
        <v>10</v>
      </c>
      <c r="AA14" s="2">
        <v>10</v>
      </c>
      <c r="AD14" s="2">
        <v>20</v>
      </c>
      <c r="AE14" s="2">
        <v>50</v>
      </c>
      <c r="AH14" s="2">
        <v>10</v>
      </c>
      <c r="AI14">
        <v>145</v>
      </c>
      <c r="AJ14" s="2">
        <v>10</v>
      </c>
      <c r="AK14" s="2">
        <v>35</v>
      </c>
      <c r="AL14" s="2">
        <v>40</v>
      </c>
      <c r="AM14" s="2">
        <v>20</v>
      </c>
      <c r="AN14" s="2">
        <v>10</v>
      </c>
      <c r="AO14" s="2">
        <v>30</v>
      </c>
      <c r="AP14"/>
      <c r="AQ14"/>
      <c r="AS14" s="27"/>
      <c r="AT14" s="29">
        <v>1466</v>
      </c>
      <c r="AU14" s="6">
        <v>57.362696639262587</v>
      </c>
      <c r="AV14" s="27"/>
      <c r="AW14" s="27"/>
      <c r="BE14" s="4" t="s">
        <v>137</v>
      </c>
      <c r="BF14" s="6">
        <v>187.81783347098255</v>
      </c>
      <c r="BG14" s="6"/>
      <c r="BH14" s="7">
        <v>187.81783347098255</v>
      </c>
      <c r="BI14" s="2" t="s">
        <v>137</v>
      </c>
      <c r="BL14" s="133">
        <v>187.81783347098255</v>
      </c>
      <c r="BO14" s="4" t="s">
        <v>137</v>
      </c>
      <c r="BP14" s="6">
        <v>0</v>
      </c>
      <c r="BQ14" s="6"/>
      <c r="BR14" s="6">
        <v>0</v>
      </c>
    </row>
    <row r="15" spans="1:71" outlineLevel="1">
      <c r="A15" t="s">
        <v>70</v>
      </c>
      <c r="B15" t="s">
        <v>21</v>
      </c>
      <c r="C15" s="73" t="s">
        <v>233</v>
      </c>
      <c r="D15" s="11"/>
      <c r="E15"/>
      <c r="F15" s="144">
        <v>471.81599999999997</v>
      </c>
      <c r="G15" s="144">
        <v>471.81599999999997</v>
      </c>
      <c r="H15" s="144">
        <v>471.81599999999997</v>
      </c>
      <c r="I15" s="144">
        <v>471.81599999999997</v>
      </c>
      <c r="J15" s="144">
        <v>471.81599999999997</v>
      </c>
      <c r="K15" s="144">
        <v>471.81599999999997</v>
      </c>
      <c r="L15" s="144">
        <v>471.81599999999997</v>
      </c>
      <c r="M15" s="144">
        <v>471.81599999999997</v>
      </c>
      <c r="N15" s="144">
        <v>471.81599999999997</v>
      </c>
      <c r="O15" s="144">
        <v>471.81599999999997</v>
      </c>
      <c r="P15" s="144">
        <v>471.81599999999997</v>
      </c>
      <c r="Q15" s="144">
        <v>471.81599999999997</v>
      </c>
      <c r="R15" s="144">
        <v>471.81599999999997</v>
      </c>
      <c r="S15" s="144">
        <v>471.81599999999997</v>
      </c>
      <c r="T15" s="144">
        <v>471.81599999999997</v>
      </c>
      <c r="U15" s="144">
        <v>471.81599999999997</v>
      </c>
      <c r="V15" s="144">
        <v>471.81599999999997</v>
      </c>
      <c r="W15" s="144">
        <v>471.81599999999997</v>
      </c>
      <c r="X15" s="144">
        <v>471.81599999999997</v>
      </c>
      <c r="Y15" s="144">
        <v>471.81599999999997</v>
      </c>
      <c r="Z15" s="144">
        <v>471.81599999999997</v>
      </c>
      <c r="AA15" s="144">
        <v>471.81599999999997</v>
      </c>
      <c r="AB15" s="144">
        <v>471.81599999999997</v>
      </c>
      <c r="AC15" s="144">
        <v>471.81599999999997</v>
      </c>
      <c r="AD15" s="144">
        <v>471.81599999999997</v>
      </c>
      <c r="AE15" s="144">
        <v>471.81599999999997</v>
      </c>
      <c r="AF15" s="144">
        <v>471.81599999999997</v>
      </c>
      <c r="AG15" s="144">
        <v>471.81599999999997</v>
      </c>
      <c r="AH15" s="144">
        <v>471.81599999999997</v>
      </c>
      <c r="AI15" s="144">
        <v>471.81599999999997</v>
      </c>
      <c r="AJ15" s="144">
        <v>471.81599999999997</v>
      </c>
      <c r="AK15" s="144">
        <v>471.81599999999997</v>
      </c>
      <c r="AL15" s="144">
        <v>471.81599999999997</v>
      </c>
      <c r="AM15" s="144">
        <v>471.81599999999997</v>
      </c>
      <c r="AN15" s="144">
        <v>471.81599999999997</v>
      </c>
      <c r="AO15" s="144">
        <v>471.81599999999997</v>
      </c>
      <c r="AP15" s="144">
        <v>471.81599999999997</v>
      </c>
      <c r="AQ15" s="144">
        <v>471.81599999999997</v>
      </c>
      <c r="AR15" s="144">
        <v>471.81599999999997</v>
      </c>
      <c r="AS15" s="27"/>
      <c r="AT15" s="29">
        <v>18400.824000000004</v>
      </c>
      <c r="AU15" s="6">
        <v>720.00060370017911</v>
      </c>
      <c r="AV15" s="27"/>
      <c r="AW15" s="27"/>
      <c r="BE15" s="4" t="s">
        <v>14</v>
      </c>
      <c r="BF15" s="28">
        <v>2905.6523832881248</v>
      </c>
      <c r="BG15" s="28">
        <v>986.24</v>
      </c>
      <c r="BH15" s="28">
        <v>3891.8923832881246</v>
      </c>
      <c r="BJ15" s="121" t="s">
        <v>229</v>
      </c>
      <c r="BK15" s="124"/>
      <c r="BL15" s="114">
        <v>2905.6523832881244</v>
      </c>
      <c r="BM15" s="114">
        <v>986.24</v>
      </c>
      <c r="BO15" s="4" t="s">
        <v>14</v>
      </c>
      <c r="BP15" s="28">
        <v>2850</v>
      </c>
      <c r="BQ15" s="28">
        <v>800</v>
      </c>
      <c r="BR15" s="28">
        <v>3650</v>
      </c>
    </row>
    <row r="16" spans="1:71" ht="15" outlineLevel="1" thickBot="1">
      <c r="A16" t="s">
        <v>70</v>
      </c>
      <c r="B16" t="s">
        <v>21</v>
      </c>
      <c r="C16" s="74" t="s">
        <v>149</v>
      </c>
      <c r="D16" s="11"/>
      <c r="E16"/>
      <c r="F16">
        <v>20</v>
      </c>
      <c r="G16" s="2">
        <v>50</v>
      </c>
      <c r="H16" s="2">
        <v>20</v>
      </c>
      <c r="K16" s="2">
        <v>30</v>
      </c>
      <c r="M16" s="2">
        <v>50</v>
      </c>
      <c r="N16" s="2">
        <v>25</v>
      </c>
      <c r="O16" s="2">
        <v>40</v>
      </c>
      <c r="P16" s="2">
        <v>20</v>
      </c>
      <c r="S16" s="2">
        <v>20</v>
      </c>
      <c r="T16" s="2">
        <v>20</v>
      </c>
      <c r="X16" s="2">
        <v>30</v>
      </c>
      <c r="Y16" s="2">
        <v>20</v>
      </c>
      <c r="Z16" s="2">
        <v>25</v>
      </c>
      <c r="AA16" s="2">
        <v>100</v>
      </c>
      <c r="AB16" s="2">
        <v>25</v>
      </c>
      <c r="AF16" s="2">
        <v>55</v>
      </c>
      <c r="AG16" s="2">
        <v>25</v>
      </c>
      <c r="AH16" s="2">
        <v>25</v>
      </c>
      <c r="AI16" s="2">
        <v>50</v>
      </c>
      <c r="AJ16" s="2">
        <v>60</v>
      </c>
      <c r="AK16" s="2">
        <v>25</v>
      </c>
      <c r="AL16" s="2">
        <v>50</v>
      </c>
      <c r="AM16" s="2">
        <v>50</v>
      </c>
      <c r="AN16" s="2">
        <v>30</v>
      </c>
      <c r="AO16" s="2">
        <v>25</v>
      </c>
      <c r="AP16" s="2">
        <v>40</v>
      </c>
      <c r="AQ16" s="2">
        <v>90</v>
      </c>
      <c r="AS16" s="27"/>
      <c r="AT16" s="29">
        <v>1020</v>
      </c>
      <c r="AU16" s="6">
        <v>39.911289612583793</v>
      </c>
      <c r="AV16" s="27"/>
      <c r="AW16" s="27"/>
      <c r="BJ16" s="122">
        <v>4146.24</v>
      </c>
      <c r="BK16" s="125"/>
    </row>
    <row r="17" spans="1:67" outlineLevel="1">
      <c r="A17" t="s">
        <v>70</v>
      </c>
      <c r="B17" t="s">
        <v>23</v>
      </c>
      <c r="C17" s="72" t="s">
        <v>23</v>
      </c>
      <c r="D17" s="11"/>
      <c r="E17"/>
      <c r="F17">
        <v>150</v>
      </c>
      <c r="O17" s="2">
        <v>560</v>
      </c>
      <c r="U17" s="2">
        <v>250</v>
      </c>
      <c r="V17" s="2">
        <v>250</v>
      </c>
      <c r="W17" s="2">
        <v>250</v>
      </c>
      <c r="AC17" s="2">
        <v>4100</v>
      </c>
      <c r="AD17" s="2">
        <v>150</v>
      </c>
      <c r="AE17" s="2">
        <v>225</v>
      </c>
      <c r="AJ17"/>
      <c r="AK17"/>
      <c r="AL17"/>
      <c r="AM17"/>
      <c r="AN17"/>
      <c r="AO17"/>
      <c r="AP17" s="2">
        <v>150</v>
      </c>
      <c r="AQ17"/>
      <c r="AR17" s="143">
        <v>400</v>
      </c>
      <c r="AS17" s="27"/>
      <c r="AT17" s="29">
        <v>6485</v>
      </c>
      <c r="AU17" s="6">
        <v>253.74971876235873</v>
      </c>
      <c r="AV17" s="27"/>
      <c r="AW17" s="27"/>
      <c r="BE17" s="4" t="s">
        <v>202</v>
      </c>
      <c r="BF17" s="113">
        <v>10.173465979678221</v>
      </c>
      <c r="BG17" s="2">
        <v>320</v>
      </c>
      <c r="BH17" s="109">
        <v>330.17346597967821</v>
      </c>
      <c r="BJ17" s="122">
        <v>50</v>
      </c>
      <c r="BK17" s="125" t="s">
        <v>227</v>
      </c>
      <c r="BL17" s="109">
        <v>330.17346597967821</v>
      </c>
      <c r="BM17" s="6"/>
      <c r="BN17" s="2"/>
      <c r="BO17" s="28"/>
    </row>
    <row r="18" spans="1:67" outlineLevel="1">
      <c r="A18" t="s">
        <v>70</v>
      </c>
      <c r="B18" t="s">
        <v>23</v>
      </c>
      <c r="C18" s="73" t="s">
        <v>151</v>
      </c>
      <c r="D18" s="11"/>
      <c r="E18"/>
      <c r="F18"/>
      <c r="L18" s="2">
        <v>250</v>
      </c>
      <c r="U18" s="2">
        <v>100</v>
      </c>
      <c r="AD18" s="2">
        <v>850</v>
      </c>
      <c r="AE18" s="2">
        <v>150</v>
      </c>
      <c r="AJ18"/>
      <c r="AK18"/>
      <c r="AL18"/>
      <c r="AM18"/>
      <c r="AN18"/>
      <c r="AO18"/>
      <c r="AP18"/>
      <c r="AQ18"/>
      <c r="AS18" s="27"/>
      <c r="AT18" s="29">
        <v>1350</v>
      </c>
      <c r="AU18" s="6">
        <v>52.823765663713843</v>
      </c>
      <c r="AV18" s="27"/>
      <c r="AW18" s="27"/>
      <c r="BF18" s="6">
        <v>2915.8258492678033</v>
      </c>
      <c r="BG18" s="6">
        <v>1306.24</v>
      </c>
      <c r="BH18" s="6">
        <v>4222.0658492678031</v>
      </c>
      <c r="BJ18" s="122"/>
      <c r="BK18" s="125" t="s">
        <v>64</v>
      </c>
      <c r="BL18" s="119">
        <v>3235.8258492678024</v>
      </c>
      <c r="BM18" s="62">
        <v>986.24</v>
      </c>
      <c r="BN18" s="6"/>
      <c r="BO18" s="6"/>
    </row>
    <row r="19" spans="1:67" ht="15" outlineLevel="1" thickBot="1">
      <c r="A19" t="s">
        <v>70</v>
      </c>
      <c r="B19" t="s">
        <v>23</v>
      </c>
      <c r="C19" s="74" t="s">
        <v>8</v>
      </c>
      <c r="D19" s="11"/>
      <c r="E19"/>
      <c r="F19"/>
      <c r="O19" s="2">
        <v>1300</v>
      </c>
      <c r="U19" s="2">
        <v>250</v>
      </c>
      <c r="V19" s="2">
        <v>200</v>
      </c>
      <c r="AC19" s="142">
        <v>666.66666666666663</v>
      </c>
      <c r="AD19" s="142">
        <v>666.66666666666663</v>
      </c>
      <c r="AE19" s="142">
        <v>666.66666666666663</v>
      </c>
      <c r="AF19" s="2">
        <v>600</v>
      </c>
      <c r="AJ19"/>
      <c r="AK19"/>
      <c r="AL19"/>
      <c r="AM19"/>
      <c r="AN19"/>
      <c r="AO19"/>
      <c r="AP19"/>
      <c r="AQ19"/>
      <c r="AS19" s="27"/>
      <c r="AT19" s="29">
        <v>4350</v>
      </c>
      <c r="AU19" s="6">
        <v>170.20991158307794</v>
      </c>
      <c r="AV19" s="27"/>
      <c r="AW19" s="27"/>
      <c r="BJ19" s="122">
        <v>4196.24</v>
      </c>
      <c r="BK19" s="126" t="s">
        <v>248</v>
      </c>
      <c r="BL19" s="128">
        <v>25.825849267802369</v>
      </c>
      <c r="BM19" s="119">
        <v>4222.0658492678022</v>
      </c>
    </row>
    <row r="20" spans="1:67" outlineLevel="1">
      <c r="A20" t="s">
        <v>70</v>
      </c>
      <c r="B20" t="s">
        <v>25</v>
      </c>
      <c r="C20" s="72" t="s">
        <v>150</v>
      </c>
      <c r="D20" s="11"/>
      <c r="E20"/>
      <c r="F20">
        <v>300</v>
      </c>
      <c r="K20" s="2">
        <v>105</v>
      </c>
      <c r="O20" s="2">
        <v>450</v>
      </c>
      <c r="U20" s="2">
        <v>400</v>
      </c>
      <c r="W20" s="2">
        <v>350</v>
      </c>
      <c r="AC20" s="2">
        <v>850</v>
      </c>
      <c r="AJ20"/>
      <c r="AK20"/>
      <c r="AL20"/>
      <c r="AM20"/>
      <c r="AN20"/>
      <c r="AO20"/>
      <c r="AP20"/>
      <c r="AQ20"/>
      <c r="AR20" s="2">
        <v>260</v>
      </c>
      <c r="AS20" s="27"/>
      <c r="AT20" s="29">
        <v>2715</v>
      </c>
      <c r="AU20" s="6">
        <v>106.2344620570245</v>
      </c>
      <c r="AV20" s="27"/>
      <c r="AW20" s="27"/>
      <c r="BJ20" s="123"/>
      <c r="BK20" s="127"/>
    </row>
    <row r="21" spans="1:67" ht="15" outlineLevel="1" thickBot="1">
      <c r="A21" t="s">
        <v>70</v>
      </c>
      <c r="B21" t="s">
        <v>25</v>
      </c>
      <c r="C21" s="74" t="s">
        <v>144</v>
      </c>
      <c r="D21" s="11"/>
      <c r="E21"/>
      <c r="F21">
        <v>1815</v>
      </c>
      <c r="AJ21"/>
      <c r="AK21"/>
      <c r="AL21"/>
      <c r="AM21"/>
      <c r="AN21"/>
      <c r="AO21"/>
      <c r="AP21"/>
      <c r="AQ21"/>
      <c r="AS21" s="27"/>
      <c r="AT21" s="29">
        <v>1815</v>
      </c>
      <c r="AU21" s="6">
        <v>71.018618281215282</v>
      </c>
      <c r="AV21" s="27"/>
      <c r="AW21" s="27"/>
      <c r="BK21" s="139" t="s">
        <v>230</v>
      </c>
      <c r="BL21" s="9" t="s">
        <v>247</v>
      </c>
    </row>
    <row r="22" spans="1:67" outlineLevel="1">
      <c r="A22" t="s">
        <v>70</v>
      </c>
      <c r="B22" t="s">
        <v>24</v>
      </c>
      <c r="C22" s="72" t="s">
        <v>145</v>
      </c>
      <c r="D22" s="11"/>
      <c r="E22"/>
      <c r="F22" s="2">
        <v>100</v>
      </c>
      <c r="G22" s="2">
        <v>650</v>
      </c>
      <c r="I22" s="2">
        <v>85</v>
      </c>
      <c r="J22" s="2">
        <v>100</v>
      </c>
      <c r="AM22"/>
      <c r="AO22" s="2">
        <v>960</v>
      </c>
      <c r="AQ22" s="2">
        <v>2330</v>
      </c>
      <c r="AR22" s="2">
        <v>300</v>
      </c>
      <c r="AS22" s="27"/>
      <c r="AT22" s="29">
        <v>4525</v>
      </c>
      <c r="AU22" s="6">
        <v>177.05743676170749</v>
      </c>
      <c r="AV22" s="27"/>
      <c r="AW22" s="27"/>
      <c r="BF22" s="6"/>
      <c r="BG22" s="4"/>
      <c r="BI22" s="117" t="s">
        <v>224</v>
      </c>
      <c r="BL22" s="145">
        <v>3235.8258492678024</v>
      </c>
    </row>
    <row r="23" spans="1:67" outlineLevel="1">
      <c r="A23" t="s">
        <v>70</v>
      </c>
      <c r="B23" t="s">
        <v>24</v>
      </c>
      <c r="C23" s="73" t="s">
        <v>206</v>
      </c>
      <c r="D23" s="11"/>
      <c r="E23"/>
      <c r="H23" s="2">
        <v>430</v>
      </c>
      <c r="L23" s="2">
        <v>400</v>
      </c>
      <c r="O23" s="2">
        <v>150</v>
      </c>
      <c r="AB23" s="2">
        <v>100</v>
      </c>
      <c r="AJ23"/>
      <c r="AK23"/>
      <c r="AL23"/>
      <c r="AN23">
        <v>700</v>
      </c>
      <c r="AO23">
        <v>700</v>
      </c>
      <c r="AP23"/>
      <c r="AQ23">
        <v>1120</v>
      </c>
      <c r="AR23" s="2">
        <v>1200</v>
      </c>
      <c r="AS23" s="27"/>
      <c r="AT23" s="29">
        <v>4800</v>
      </c>
      <c r="AU23" s="6">
        <v>187.81783347098255</v>
      </c>
      <c r="AV23" s="27"/>
      <c r="AW23" s="27"/>
      <c r="BF23" s="6"/>
      <c r="BG23" s="4"/>
      <c r="BI23" s="2" t="s">
        <v>61</v>
      </c>
      <c r="BL23" s="111">
        <v>-2540.7771130554347</v>
      </c>
    </row>
    <row r="24" spans="1:67" ht="15" outlineLevel="1" thickBot="1">
      <c r="A24" t="s">
        <v>70</v>
      </c>
      <c r="B24" t="s">
        <v>24</v>
      </c>
      <c r="C24" s="74" t="s">
        <v>136</v>
      </c>
      <c r="D24" s="11"/>
      <c r="E24" s="27"/>
      <c r="F24" s="27"/>
      <c r="L24" s="27"/>
      <c r="M24" s="27"/>
      <c r="O24" s="27"/>
      <c r="P24" s="27"/>
      <c r="Q24" s="27"/>
      <c r="R24" s="27"/>
      <c r="S24" s="27"/>
      <c r="T24" s="27"/>
      <c r="U24" s="27"/>
      <c r="V24" s="27"/>
      <c r="W24" s="27"/>
      <c r="Y24" s="27"/>
      <c r="Z24" s="27"/>
      <c r="AA24" s="27"/>
      <c r="AB24" s="27"/>
      <c r="AC24" s="27"/>
      <c r="AD24" s="27"/>
      <c r="AE24" s="27"/>
      <c r="AF24" s="27"/>
      <c r="AG24" s="27"/>
      <c r="AH24" s="27"/>
      <c r="AI24" s="27"/>
      <c r="AJ24" s="27"/>
      <c r="AK24" s="27"/>
      <c r="AL24" s="27"/>
      <c r="AN24" s="27"/>
      <c r="AO24" s="27">
        <v>250</v>
      </c>
      <c r="AP24" s="27"/>
      <c r="AQ24" s="143">
        <v>375</v>
      </c>
      <c r="AR24" s="27">
        <v>3066</v>
      </c>
      <c r="AS24" s="27"/>
      <c r="AT24" s="29">
        <v>3691</v>
      </c>
      <c r="AU24" s="6">
        <v>144.4240881961243</v>
      </c>
      <c r="AV24" s="27"/>
      <c r="AW24" s="27"/>
      <c r="BF24" s="6"/>
      <c r="BG24" s="4"/>
      <c r="BI24" s="2" t="s">
        <v>145</v>
      </c>
      <c r="BL24" s="111">
        <v>-177.05743676170749</v>
      </c>
    </row>
    <row r="25" spans="1:67" outlineLevel="1">
      <c r="D25" s="2"/>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9">
        <v>0</v>
      </c>
      <c r="AU25" s="6">
        <v>0</v>
      </c>
      <c r="AV25" s="27"/>
      <c r="BF25" s="6"/>
      <c r="BG25" s="4"/>
      <c r="BI25" s="2" t="s">
        <v>137</v>
      </c>
      <c r="BL25" s="111">
        <v>-187.81783347098255</v>
      </c>
    </row>
    <row r="26" spans="1:67" outlineLevel="1">
      <c r="C26" s="9" t="s">
        <v>14</v>
      </c>
      <c r="E26" s="29">
        <v>0</v>
      </c>
      <c r="F26" s="29">
        <v>3817.8159999999998</v>
      </c>
      <c r="G26" s="29">
        <v>1603.816</v>
      </c>
      <c r="H26" s="29">
        <v>1360.816</v>
      </c>
      <c r="I26" s="29">
        <v>1331.816</v>
      </c>
      <c r="J26" s="29">
        <v>806.81600000000003</v>
      </c>
      <c r="K26" s="29">
        <v>1081.816</v>
      </c>
      <c r="L26" s="29">
        <v>1831.816</v>
      </c>
      <c r="M26" s="29">
        <v>1011.816</v>
      </c>
      <c r="N26" s="29">
        <v>1256.816</v>
      </c>
      <c r="O26" s="29">
        <v>3371.8159999999998</v>
      </c>
      <c r="P26" s="29">
        <v>1201.816</v>
      </c>
      <c r="Q26" s="29">
        <v>1411.816</v>
      </c>
      <c r="R26" s="29">
        <v>691.81600000000003</v>
      </c>
      <c r="S26" s="29">
        <v>773.81600000000003</v>
      </c>
      <c r="T26" s="29">
        <v>731.81600000000003</v>
      </c>
      <c r="U26" s="29">
        <v>1911.816</v>
      </c>
      <c r="V26" s="29">
        <v>1466.816</v>
      </c>
      <c r="W26" s="29">
        <v>1461.816</v>
      </c>
      <c r="X26" s="29">
        <v>1721.816</v>
      </c>
      <c r="Y26" s="29">
        <v>651.81600000000003</v>
      </c>
      <c r="Z26" s="29">
        <v>1371.816</v>
      </c>
      <c r="AA26" s="29">
        <v>736.81600000000003</v>
      </c>
      <c r="AB26" s="29">
        <v>981.81600000000003</v>
      </c>
      <c r="AC26" s="29">
        <v>6805.4826666666668</v>
      </c>
      <c r="AD26" s="29">
        <v>3243.4826666666663</v>
      </c>
      <c r="AE26" s="29">
        <v>2260.4826666666668</v>
      </c>
      <c r="AF26" s="29">
        <v>2041.816</v>
      </c>
      <c r="AG26" s="29">
        <v>1356.816</v>
      </c>
      <c r="AH26" s="29">
        <v>2756.8159999999998</v>
      </c>
      <c r="AI26" s="29">
        <v>1066.816</v>
      </c>
      <c r="AJ26" s="29">
        <v>821.81600000000003</v>
      </c>
      <c r="AK26" s="29">
        <v>1071.816</v>
      </c>
      <c r="AL26" s="29">
        <v>561.81600000000003</v>
      </c>
      <c r="AM26" s="29">
        <v>1290.816</v>
      </c>
      <c r="AN26" s="29">
        <v>2071.8159999999998</v>
      </c>
      <c r="AO26" s="29">
        <v>3016.8159999999998</v>
      </c>
      <c r="AP26" s="29">
        <v>1441.816</v>
      </c>
      <c r="AQ26" s="29">
        <v>4816.8159999999998</v>
      </c>
      <c r="AR26" s="29">
        <v>7042.8159999999998</v>
      </c>
      <c r="AS26" s="29">
        <v>0</v>
      </c>
      <c r="AT26" s="29">
        <v>74258.823999999979</v>
      </c>
      <c r="AU26" s="6">
        <v>2905.6523832881248</v>
      </c>
      <c r="AV26" s="27"/>
      <c r="BF26" s="6"/>
      <c r="BG26" s="4"/>
      <c r="BI26" s="2" t="s">
        <v>225</v>
      </c>
      <c r="BL26" s="112">
        <v>-330.17346597967821</v>
      </c>
    </row>
    <row r="27" spans="1:67">
      <c r="A27" s="44" t="s">
        <v>94</v>
      </c>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v>0</v>
      </c>
      <c r="AU27" s="6">
        <v>0</v>
      </c>
      <c r="AV27" s="27"/>
    </row>
    <row r="28" spans="1:67">
      <c r="A28" s="44"/>
      <c r="C28" s="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6"/>
      <c r="AV28" s="27"/>
    </row>
    <row r="29" spans="1:67" outlineLevel="1"/>
    <row r="30" spans="1:67" outlineLevel="1">
      <c r="A30" t="s">
        <v>70</v>
      </c>
      <c r="C30" t="s">
        <v>21</v>
      </c>
      <c r="E30" s="2">
        <v>0</v>
      </c>
      <c r="F30" s="2">
        <v>1452.816</v>
      </c>
      <c r="G30" s="2">
        <v>953.81600000000003</v>
      </c>
      <c r="H30" s="2">
        <v>930.81600000000003</v>
      </c>
      <c r="I30" s="2">
        <v>1246.816</v>
      </c>
      <c r="J30" s="2">
        <v>706.81600000000003</v>
      </c>
      <c r="K30" s="2">
        <v>976.81600000000003</v>
      </c>
      <c r="L30" s="2">
        <v>1181.816</v>
      </c>
      <c r="M30" s="2">
        <v>1011.816</v>
      </c>
      <c r="N30" s="2">
        <v>1256.816</v>
      </c>
      <c r="O30" s="2">
        <v>911.81600000000003</v>
      </c>
      <c r="P30" s="2">
        <v>1201.816</v>
      </c>
      <c r="Q30" s="2">
        <v>1411.816</v>
      </c>
      <c r="R30" s="2">
        <v>691.81600000000003</v>
      </c>
      <c r="S30" s="2">
        <v>773.81600000000003</v>
      </c>
      <c r="T30" s="2">
        <v>731.81600000000003</v>
      </c>
      <c r="U30" s="2">
        <v>911.81600000000003</v>
      </c>
      <c r="V30" s="2">
        <v>1016.816</v>
      </c>
      <c r="W30" s="2">
        <v>861.81600000000003</v>
      </c>
      <c r="X30" s="2">
        <v>1721.816</v>
      </c>
      <c r="Y30" s="2">
        <v>651.81600000000003</v>
      </c>
      <c r="Z30" s="2">
        <v>1371.816</v>
      </c>
      <c r="AA30" s="2">
        <v>736.81600000000003</v>
      </c>
      <c r="AB30" s="2">
        <v>881.81600000000003</v>
      </c>
      <c r="AC30" s="2">
        <v>1188.816</v>
      </c>
      <c r="AD30" s="2">
        <v>1576.816</v>
      </c>
      <c r="AE30" s="2">
        <v>1218.816</v>
      </c>
      <c r="AF30" s="2">
        <v>1441.816</v>
      </c>
      <c r="AG30" s="2">
        <v>1356.816</v>
      </c>
      <c r="AH30" s="2">
        <v>2756.8159999999998</v>
      </c>
      <c r="AI30" s="2">
        <v>1066.816</v>
      </c>
      <c r="AJ30" s="2">
        <v>821.81600000000003</v>
      </c>
      <c r="AK30" s="2">
        <v>1071.816</v>
      </c>
      <c r="AL30" s="2">
        <v>561.81600000000003</v>
      </c>
      <c r="AM30" s="2">
        <v>1290.816</v>
      </c>
      <c r="AN30" s="2">
        <v>1371.816</v>
      </c>
      <c r="AO30" s="2">
        <v>1106.816</v>
      </c>
      <c r="AP30" s="2">
        <v>1291.816</v>
      </c>
      <c r="AQ30" s="2">
        <v>991.81600000000003</v>
      </c>
      <c r="AR30" s="2">
        <v>1816.816</v>
      </c>
      <c r="AS30" s="2">
        <v>0</v>
      </c>
      <c r="AT30" s="29">
        <v>44527.823999999986</v>
      </c>
      <c r="AU30" s="6">
        <v>1742.3165485119202</v>
      </c>
    </row>
    <row r="31" spans="1:67" outlineLevel="1">
      <c r="A31" t="s">
        <v>70</v>
      </c>
      <c r="C31" t="s">
        <v>23</v>
      </c>
      <c r="E31" s="2">
        <v>0</v>
      </c>
      <c r="F31" s="2">
        <v>150</v>
      </c>
      <c r="G31" s="2">
        <v>0</v>
      </c>
      <c r="H31" s="2">
        <v>0</v>
      </c>
      <c r="I31" s="2">
        <v>0</v>
      </c>
      <c r="J31" s="2">
        <v>0</v>
      </c>
      <c r="K31" s="2">
        <v>0</v>
      </c>
      <c r="L31" s="2">
        <v>250</v>
      </c>
      <c r="M31" s="2">
        <v>0</v>
      </c>
      <c r="N31" s="2">
        <v>0</v>
      </c>
      <c r="O31" s="2">
        <v>1860</v>
      </c>
      <c r="P31" s="2">
        <v>0</v>
      </c>
      <c r="Q31" s="2">
        <v>0</v>
      </c>
      <c r="R31" s="2">
        <v>0</v>
      </c>
      <c r="S31" s="2">
        <v>0</v>
      </c>
      <c r="T31" s="2">
        <v>0</v>
      </c>
      <c r="U31" s="2">
        <v>600</v>
      </c>
      <c r="V31" s="2">
        <v>450</v>
      </c>
      <c r="W31" s="2">
        <v>250</v>
      </c>
      <c r="X31" s="2">
        <v>0</v>
      </c>
      <c r="Y31" s="2">
        <v>0</v>
      </c>
      <c r="Z31" s="2">
        <v>0</v>
      </c>
      <c r="AA31" s="2">
        <v>0</v>
      </c>
      <c r="AB31" s="2">
        <v>0</v>
      </c>
      <c r="AC31" s="2">
        <v>4766.666666666667</v>
      </c>
      <c r="AD31" s="2">
        <v>1666.6666666666665</v>
      </c>
      <c r="AE31" s="2">
        <v>1041.6666666666665</v>
      </c>
      <c r="AF31" s="2">
        <v>600</v>
      </c>
      <c r="AG31" s="2">
        <v>0</v>
      </c>
      <c r="AH31" s="2">
        <v>0</v>
      </c>
      <c r="AI31" s="2">
        <v>0</v>
      </c>
      <c r="AJ31" s="2">
        <v>0</v>
      </c>
      <c r="AK31" s="2">
        <v>0</v>
      </c>
      <c r="AL31" s="2">
        <v>0</v>
      </c>
      <c r="AM31" s="2">
        <v>0</v>
      </c>
      <c r="AN31" s="2">
        <v>0</v>
      </c>
      <c r="AO31" s="2">
        <v>0</v>
      </c>
      <c r="AP31" s="2">
        <v>150</v>
      </c>
      <c r="AQ31" s="2">
        <v>0</v>
      </c>
      <c r="AR31" s="2">
        <v>400</v>
      </c>
      <c r="AS31" s="2">
        <v>0</v>
      </c>
      <c r="AT31" s="29">
        <v>12185</v>
      </c>
      <c r="AU31" s="6">
        <v>476.78339600915047</v>
      </c>
    </row>
    <row r="32" spans="1:67" outlineLevel="1">
      <c r="A32" t="s">
        <v>70</v>
      </c>
      <c r="C32" t="s">
        <v>25</v>
      </c>
      <c r="E32" s="2">
        <v>0</v>
      </c>
      <c r="F32" s="2">
        <v>2115</v>
      </c>
      <c r="G32" s="2">
        <v>0</v>
      </c>
      <c r="H32" s="2">
        <v>0</v>
      </c>
      <c r="I32" s="2">
        <v>0</v>
      </c>
      <c r="J32" s="2">
        <v>0</v>
      </c>
      <c r="K32" s="2">
        <v>105</v>
      </c>
      <c r="L32" s="2">
        <v>0</v>
      </c>
      <c r="M32" s="2">
        <v>0</v>
      </c>
      <c r="N32" s="2">
        <v>0</v>
      </c>
      <c r="O32" s="2">
        <v>450</v>
      </c>
      <c r="P32" s="2">
        <v>0</v>
      </c>
      <c r="Q32" s="2">
        <v>0</v>
      </c>
      <c r="R32" s="2">
        <v>0</v>
      </c>
      <c r="S32" s="2">
        <v>0</v>
      </c>
      <c r="T32" s="2">
        <v>0</v>
      </c>
      <c r="U32" s="2">
        <v>400</v>
      </c>
      <c r="V32" s="2">
        <v>0</v>
      </c>
      <c r="W32" s="2">
        <v>350</v>
      </c>
      <c r="X32" s="2">
        <v>0</v>
      </c>
      <c r="Y32" s="2">
        <v>0</v>
      </c>
      <c r="Z32" s="2">
        <v>0</v>
      </c>
      <c r="AA32" s="2">
        <v>0</v>
      </c>
      <c r="AB32" s="2">
        <v>0</v>
      </c>
      <c r="AC32" s="2">
        <v>850</v>
      </c>
      <c r="AD32" s="2">
        <v>0</v>
      </c>
      <c r="AE32" s="2">
        <v>0</v>
      </c>
      <c r="AF32" s="2">
        <v>0</v>
      </c>
      <c r="AG32" s="2">
        <v>0</v>
      </c>
      <c r="AH32" s="2">
        <v>0</v>
      </c>
      <c r="AI32" s="2">
        <v>0</v>
      </c>
      <c r="AJ32" s="2">
        <v>0</v>
      </c>
      <c r="AK32" s="2">
        <v>0</v>
      </c>
      <c r="AL32" s="2">
        <v>0</v>
      </c>
      <c r="AM32" s="2">
        <v>0</v>
      </c>
      <c r="AN32" s="2">
        <v>0</v>
      </c>
      <c r="AO32" s="2">
        <v>0</v>
      </c>
      <c r="AP32" s="2">
        <v>0</v>
      </c>
      <c r="AQ32" s="2">
        <v>0</v>
      </c>
      <c r="AR32" s="2">
        <v>260</v>
      </c>
      <c r="AS32" s="2">
        <v>0</v>
      </c>
      <c r="AT32" s="29">
        <v>4530</v>
      </c>
      <c r="AU32" s="6">
        <v>177.25308033823978</v>
      </c>
    </row>
    <row r="33" spans="1:67" outlineLevel="1">
      <c r="A33" t="s">
        <v>70</v>
      </c>
      <c r="C33" t="s">
        <v>26</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9">
        <v>0</v>
      </c>
      <c r="AU33" s="6">
        <v>0</v>
      </c>
    </row>
    <row r="34" spans="1:67" outlineLevel="1">
      <c r="A34" t="s">
        <v>70</v>
      </c>
      <c r="C34" t="s">
        <v>24</v>
      </c>
      <c r="E34" s="2">
        <v>0</v>
      </c>
      <c r="F34" s="2">
        <v>100</v>
      </c>
      <c r="G34" s="2">
        <v>650</v>
      </c>
      <c r="H34" s="2">
        <v>430</v>
      </c>
      <c r="I34" s="2">
        <v>85</v>
      </c>
      <c r="J34" s="2">
        <v>100</v>
      </c>
      <c r="K34" s="2">
        <v>0</v>
      </c>
      <c r="L34" s="2">
        <v>400</v>
      </c>
      <c r="M34" s="2">
        <v>0</v>
      </c>
      <c r="N34" s="2">
        <v>0</v>
      </c>
      <c r="O34" s="2">
        <v>150</v>
      </c>
      <c r="P34" s="2">
        <v>0</v>
      </c>
      <c r="Q34" s="2">
        <v>0</v>
      </c>
      <c r="R34" s="2">
        <v>0</v>
      </c>
      <c r="S34" s="2">
        <v>0</v>
      </c>
      <c r="T34" s="2">
        <v>0</v>
      </c>
      <c r="U34" s="2">
        <v>0</v>
      </c>
      <c r="V34" s="2">
        <v>0</v>
      </c>
      <c r="W34" s="2">
        <v>0</v>
      </c>
      <c r="X34" s="2">
        <v>0</v>
      </c>
      <c r="Y34" s="2">
        <v>0</v>
      </c>
      <c r="Z34" s="2">
        <v>0</v>
      </c>
      <c r="AA34" s="2">
        <v>0</v>
      </c>
      <c r="AB34" s="2">
        <v>100</v>
      </c>
      <c r="AC34" s="2">
        <v>0</v>
      </c>
      <c r="AD34" s="2">
        <v>0</v>
      </c>
      <c r="AE34" s="2">
        <v>0</v>
      </c>
      <c r="AF34" s="2">
        <v>0</v>
      </c>
      <c r="AG34" s="2">
        <v>0</v>
      </c>
      <c r="AH34" s="2">
        <v>0</v>
      </c>
      <c r="AI34" s="2">
        <v>0</v>
      </c>
      <c r="AJ34" s="2">
        <v>0</v>
      </c>
      <c r="AK34" s="2">
        <v>0</v>
      </c>
      <c r="AL34" s="2">
        <v>0</v>
      </c>
      <c r="AM34" s="2">
        <v>0</v>
      </c>
      <c r="AN34" s="2">
        <v>700</v>
      </c>
      <c r="AO34" s="2">
        <v>1910</v>
      </c>
      <c r="AP34" s="2">
        <v>0</v>
      </c>
      <c r="AQ34" s="2">
        <v>3825</v>
      </c>
      <c r="AR34" s="2">
        <v>4566</v>
      </c>
      <c r="AS34" s="2">
        <v>0</v>
      </c>
      <c r="AT34" s="29">
        <v>13016</v>
      </c>
      <c r="AU34" s="6">
        <v>509.29935842881434</v>
      </c>
    </row>
    <row r="35" spans="1:67" outlineLevel="1">
      <c r="C35" s="9" t="s">
        <v>14</v>
      </c>
      <c r="E35" s="4">
        <v>0</v>
      </c>
      <c r="F35" s="4">
        <v>3817.8159999999998</v>
      </c>
      <c r="G35" s="4">
        <v>1603.816</v>
      </c>
      <c r="H35" s="4">
        <v>1360.816</v>
      </c>
      <c r="I35" s="4">
        <v>1331.816</v>
      </c>
      <c r="J35" s="4">
        <v>806.81600000000003</v>
      </c>
      <c r="K35" s="4">
        <v>1081.816</v>
      </c>
      <c r="L35" s="4">
        <v>1831.816</v>
      </c>
      <c r="M35" s="4">
        <v>1011.816</v>
      </c>
      <c r="N35" s="4">
        <v>1256.816</v>
      </c>
      <c r="O35" s="4">
        <v>3371.8159999999998</v>
      </c>
      <c r="P35" s="4">
        <v>1201.816</v>
      </c>
      <c r="Q35" s="4">
        <v>1411.816</v>
      </c>
      <c r="R35" s="4">
        <v>691.81600000000003</v>
      </c>
      <c r="S35" s="4">
        <v>773.81600000000003</v>
      </c>
      <c r="T35" s="4">
        <v>731.81600000000003</v>
      </c>
      <c r="U35" s="4">
        <v>1911.816</v>
      </c>
      <c r="V35" s="4">
        <v>1466.816</v>
      </c>
      <c r="W35" s="4">
        <v>1461.816</v>
      </c>
      <c r="X35" s="4">
        <v>1721.816</v>
      </c>
      <c r="Y35" s="4">
        <v>651.81600000000003</v>
      </c>
      <c r="Z35" s="4">
        <v>1371.816</v>
      </c>
      <c r="AA35" s="4">
        <v>736.81600000000003</v>
      </c>
      <c r="AB35" s="4">
        <v>981.81600000000003</v>
      </c>
      <c r="AC35" s="4">
        <v>6805.4826666666668</v>
      </c>
      <c r="AD35" s="4">
        <v>3243.4826666666668</v>
      </c>
      <c r="AE35" s="4">
        <v>2260.4826666666668</v>
      </c>
      <c r="AF35" s="4">
        <v>2041.816</v>
      </c>
      <c r="AG35" s="4">
        <v>1356.816</v>
      </c>
      <c r="AH35" s="4">
        <v>2756.8159999999998</v>
      </c>
      <c r="AI35" s="4">
        <v>1066.816</v>
      </c>
      <c r="AJ35" s="4">
        <v>821.81600000000003</v>
      </c>
      <c r="AK35" s="4">
        <v>1071.816</v>
      </c>
      <c r="AL35" s="4">
        <v>561.81600000000003</v>
      </c>
      <c r="AM35" s="4">
        <v>1290.816</v>
      </c>
      <c r="AN35" s="4">
        <v>2071.8159999999998</v>
      </c>
      <c r="AO35" s="4">
        <v>3016.8159999999998</v>
      </c>
      <c r="AP35" s="4">
        <v>1441.816</v>
      </c>
      <c r="AQ35" s="4">
        <v>4816.8159999999998</v>
      </c>
      <c r="AR35" s="4">
        <v>7042.8159999999998</v>
      </c>
      <c r="AS35" s="4">
        <v>0</v>
      </c>
      <c r="AT35" s="29">
        <v>74258.823999999979</v>
      </c>
      <c r="AU35" s="6">
        <v>2905.6523832881248</v>
      </c>
    </row>
    <row r="36" spans="1:67" ht="15" thickBot="1">
      <c r="A36" s="9" t="s">
        <v>96</v>
      </c>
      <c r="C36" s="9"/>
      <c r="F36" s="4"/>
      <c r="G36" s="4"/>
      <c r="H36" s="4"/>
      <c r="I36" s="4"/>
      <c r="J36" s="4"/>
      <c r="K36" s="4"/>
      <c r="L36" s="4"/>
      <c r="M36" s="4"/>
      <c r="N36" s="4"/>
      <c r="O36" s="4"/>
      <c r="P36" s="4"/>
      <c r="Q36" s="4"/>
      <c r="R36" s="4"/>
      <c r="S36" s="4"/>
      <c r="T36" s="4"/>
      <c r="U36" s="4"/>
      <c r="V36" s="4"/>
      <c r="W36" s="4"/>
      <c r="X36" s="4"/>
      <c r="AU36" s="14"/>
      <c r="BI36" s="4" t="s">
        <v>253</v>
      </c>
      <c r="BJ36" s="4"/>
      <c r="BK36" s="4" t="s">
        <v>254</v>
      </c>
      <c r="BM36" s="4" t="s">
        <v>249</v>
      </c>
      <c r="BN36" s="4" t="s">
        <v>256</v>
      </c>
      <c r="BO36" s="4" t="s">
        <v>257</v>
      </c>
    </row>
    <row r="37" spans="1:67">
      <c r="A37" s="9"/>
      <c r="C37" s="9"/>
      <c r="F37" s="4"/>
      <c r="G37" s="4"/>
      <c r="H37" s="4"/>
      <c r="I37" s="4"/>
      <c r="J37" s="4"/>
      <c r="K37" s="4"/>
      <c r="L37" s="4"/>
      <c r="M37" s="4"/>
      <c r="N37" s="4"/>
      <c r="O37" s="4"/>
      <c r="P37" s="4"/>
      <c r="Q37" s="4"/>
      <c r="R37" s="4"/>
      <c r="S37" s="4"/>
      <c r="T37" s="4"/>
      <c r="U37" s="4"/>
      <c r="V37" s="4"/>
      <c r="W37" s="4"/>
      <c r="X37" s="4"/>
      <c r="AU37" s="14"/>
      <c r="BJ37" s="2" t="s">
        <v>251</v>
      </c>
      <c r="BK37" t="s">
        <v>259</v>
      </c>
      <c r="BL37" s="114">
        <v>3235.8258492678024</v>
      </c>
      <c r="BM37" s="147">
        <v>3235.83</v>
      </c>
      <c r="BN37" s="4">
        <v>580</v>
      </c>
      <c r="BO37" s="2">
        <v>201911</v>
      </c>
    </row>
    <row r="38" spans="1:67" outlineLevel="1">
      <c r="A38" s="9"/>
      <c r="C38" s="9"/>
      <c r="F38" s="2" t="s">
        <v>90</v>
      </c>
      <c r="G38" s="2" t="s">
        <v>84</v>
      </c>
      <c r="H38" s="2" t="s">
        <v>85</v>
      </c>
      <c r="I38" s="2" t="s">
        <v>86</v>
      </c>
      <c r="J38" s="2" t="s">
        <v>87</v>
      </c>
      <c r="K38" s="2" t="s">
        <v>88</v>
      </c>
      <c r="L38" s="2" t="s">
        <v>89</v>
      </c>
      <c r="M38" s="2" t="s">
        <v>90</v>
      </c>
      <c r="N38" s="2" t="s">
        <v>84</v>
      </c>
      <c r="O38" s="2" t="s">
        <v>85</v>
      </c>
      <c r="P38" s="2" t="s">
        <v>86</v>
      </c>
      <c r="Q38" s="2" t="s">
        <v>87</v>
      </c>
      <c r="R38" s="2" t="s">
        <v>88</v>
      </c>
      <c r="S38" s="2" t="s">
        <v>89</v>
      </c>
      <c r="T38" s="2" t="s">
        <v>90</v>
      </c>
      <c r="U38" s="2" t="s">
        <v>84</v>
      </c>
      <c r="V38" s="2" t="s">
        <v>85</v>
      </c>
      <c r="W38" s="2" t="s">
        <v>86</v>
      </c>
      <c r="X38" s="2" t="s">
        <v>87</v>
      </c>
      <c r="Y38" s="2" t="s">
        <v>88</v>
      </c>
      <c r="Z38" s="2" t="s">
        <v>89</v>
      </c>
      <c r="AA38" s="2" t="s">
        <v>90</v>
      </c>
      <c r="AB38" s="2" t="s">
        <v>84</v>
      </c>
      <c r="AC38" s="2" t="s">
        <v>85</v>
      </c>
      <c r="AD38" s="2" t="s">
        <v>86</v>
      </c>
      <c r="AE38" s="2" t="s">
        <v>87</v>
      </c>
      <c r="AF38" s="2" t="s">
        <v>88</v>
      </c>
      <c r="AG38" s="2" t="s">
        <v>89</v>
      </c>
      <c r="AH38" s="2" t="s">
        <v>90</v>
      </c>
      <c r="AI38" s="2" t="s">
        <v>84</v>
      </c>
      <c r="AJ38" s="2" t="s">
        <v>85</v>
      </c>
      <c r="AK38" s="2" t="s">
        <v>86</v>
      </c>
      <c r="AL38" s="2" t="s">
        <v>87</v>
      </c>
      <c r="AM38" s="2" t="s">
        <v>88</v>
      </c>
      <c r="AN38" s="2" t="s">
        <v>89</v>
      </c>
      <c r="AO38" s="2" t="s">
        <v>90</v>
      </c>
      <c r="AP38" s="2" t="s">
        <v>84</v>
      </c>
      <c r="AQ38" s="2" t="s">
        <v>85</v>
      </c>
      <c r="AR38" s="2" t="s">
        <v>86</v>
      </c>
      <c r="AS38" s="2" t="s">
        <v>87</v>
      </c>
      <c r="AT38" s="4" t="s">
        <v>9</v>
      </c>
      <c r="AU38" s="14"/>
      <c r="BI38" s="2">
        <v>5</v>
      </c>
      <c r="BJ38" s="2" t="s">
        <v>250</v>
      </c>
      <c r="BK38" s="2" t="s">
        <v>61</v>
      </c>
      <c r="BL38" s="22">
        <v>-325.74065551992754</v>
      </c>
      <c r="BM38" s="148">
        <v>-325.74</v>
      </c>
      <c r="BN38" s="4">
        <v>580</v>
      </c>
      <c r="BO38" s="2">
        <v>201910</v>
      </c>
    </row>
    <row r="39" spans="1:67" outlineLevel="1">
      <c r="C39" s="9"/>
      <c r="E39" s="39"/>
      <c r="F39" s="39">
        <v>43765</v>
      </c>
      <c r="G39" s="39">
        <v>43766</v>
      </c>
      <c r="H39" s="39">
        <v>43767</v>
      </c>
      <c r="I39" s="39">
        <v>43768</v>
      </c>
      <c r="J39" s="39">
        <v>43769</v>
      </c>
      <c r="K39" s="39">
        <v>43770</v>
      </c>
      <c r="L39" s="39">
        <v>43771</v>
      </c>
      <c r="M39" s="39">
        <v>43772</v>
      </c>
      <c r="N39" s="39">
        <v>43773</v>
      </c>
      <c r="O39" s="39">
        <v>43774</v>
      </c>
      <c r="P39" s="39">
        <v>43775</v>
      </c>
      <c r="Q39" s="39">
        <v>43776</v>
      </c>
      <c r="R39" s="39">
        <v>43777</v>
      </c>
      <c r="S39" s="39">
        <v>43778</v>
      </c>
      <c r="T39" s="39">
        <v>43779</v>
      </c>
      <c r="U39" s="39">
        <v>43780</v>
      </c>
      <c r="V39" s="39">
        <v>43781</v>
      </c>
      <c r="W39" s="39">
        <v>43782</v>
      </c>
      <c r="X39" s="39">
        <v>43783</v>
      </c>
      <c r="Y39" s="39">
        <v>43784</v>
      </c>
      <c r="Z39" s="39">
        <v>43785</v>
      </c>
      <c r="AA39" s="39">
        <v>43786</v>
      </c>
      <c r="AB39" s="39">
        <v>43787</v>
      </c>
      <c r="AC39" s="39">
        <v>43788</v>
      </c>
      <c r="AD39" s="39">
        <v>43789</v>
      </c>
      <c r="AE39" s="39">
        <v>43790</v>
      </c>
      <c r="AF39" s="39">
        <v>43791</v>
      </c>
      <c r="AG39" s="39">
        <v>43792</v>
      </c>
      <c r="AH39" s="39">
        <v>43793</v>
      </c>
      <c r="AI39" s="39">
        <v>43794</v>
      </c>
      <c r="AJ39" s="39">
        <v>43795</v>
      </c>
      <c r="AK39" s="39">
        <v>43796</v>
      </c>
      <c r="AL39" s="39">
        <v>43797</v>
      </c>
      <c r="AM39" s="39">
        <v>43798</v>
      </c>
      <c r="AN39" s="39">
        <v>43799</v>
      </c>
      <c r="AO39" s="39">
        <v>43800</v>
      </c>
      <c r="AP39" s="39">
        <v>43801</v>
      </c>
      <c r="AQ39" s="39">
        <v>43802</v>
      </c>
      <c r="AR39" s="39">
        <v>43803</v>
      </c>
      <c r="AS39" s="39">
        <v>43804</v>
      </c>
      <c r="AU39" s="14"/>
      <c r="BI39" s="2">
        <v>30</v>
      </c>
      <c r="BJ39" s="2" t="s">
        <v>251</v>
      </c>
      <c r="BK39" s="2" t="s">
        <v>61</v>
      </c>
      <c r="BL39" s="22">
        <v>-1954.4439331195654</v>
      </c>
      <c r="BM39" s="148">
        <v>-1954.44</v>
      </c>
      <c r="BN39" s="4">
        <v>580</v>
      </c>
      <c r="BO39" s="2">
        <v>201911</v>
      </c>
    </row>
    <row r="40" spans="1:67" ht="15" outlineLevel="1" thickBot="1">
      <c r="F40" s="2" t="s">
        <v>52</v>
      </c>
      <c r="G40" s="2" t="s">
        <v>52</v>
      </c>
      <c r="H40" s="2" t="s">
        <v>52</v>
      </c>
      <c r="I40" s="2" t="s">
        <v>52</v>
      </c>
      <c r="J40" s="2" t="s">
        <v>52</v>
      </c>
      <c r="K40" s="2" t="s">
        <v>52</v>
      </c>
      <c r="L40" s="2" t="s">
        <v>52</v>
      </c>
      <c r="M40" s="2" t="s">
        <v>52</v>
      </c>
      <c r="N40" s="2" t="s">
        <v>52</v>
      </c>
      <c r="O40" s="2" t="s">
        <v>236</v>
      </c>
      <c r="P40" s="2" t="s">
        <v>52</v>
      </c>
      <c r="Q40" s="2" t="s">
        <v>52</v>
      </c>
      <c r="R40" s="2" t="s">
        <v>52</v>
      </c>
      <c r="S40" s="2" t="s">
        <v>52</v>
      </c>
      <c r="T40" s="2" t="s">
        <v>52</v>
      </c>
      <c r="U40" s="2" t="s">
        <v>237</v>
      </c>
      <c r="V40" s="2" t="s">
        <v>238</v>
      </c>
      <c r="W40" s="2" t="s">
        <v>53</v>
      </c>
      <c r="X40" s="2" t="s">
        <v>52</v>
      </c>
      <c r="Y40" s="2" t="s">
        <v>52</v>
      </c>
      <c r="Z40" s="2" t="s">
        <v>52</v>
      </c>
      <c r="AA40" s="2" t="s">
        <v>243</v>
      </c>
      <c r="AB40" s="2" t="s">
        <v>52</v>
      </c>
      <c r="AC40" s="2" t="s">
        <v>242</v>
      </c>
      <c r="AD40" s="2" t="s">
        <v>20</v>
      </c>
      <c r="AE40" s="2" t="s">
        <v>20</v>
      </c>
      <c r="AF40" s="2" t="s">
        <v>52</v>
      </c>
      <c r="AG40" s="2" t="s">
        <v>52</v>
      </c>
      <c r="AH40" s="2" t="s">
        <v>52</v>
      </c>
      <c r="AI40" s="2">
        <v>0</v>
      </c>
      <c r="AJ40" s="2">
        <v>0</v>
      </c>
      <c r="AK40" s="2">
        <v>0</v>
      </c>
      <c r="AL40" s="2" t="s">
        <v>246</v>
      </c>
      <c r="AM40" s="2">
        <v>0</v>
      </c>
      <c r="AN40" s="2">
        <v>0</v>
      </c>
      <c r="AO40" s="2">
        <v>0</v>
      </c>
      <c r="AP40" s="2">
        <v>0</v>
      </c>
      <c r="AQ40" s="2">
        <v>0</v>
      </c>
      <c r="AR40" s="2">
        <v>0</v>
      </c>
      <c r="AS40" s="2">
        <v>0</v>
      </c>
      <c r="BI40" s="2">
        <v>4</v>
      </c>
      <c r="BJ40" s="2" t="s">
        <v>252</v>
      </c>
      <c r="BK40" s="2" t="s">
        <v>61</v>
      </c>
      <c r="BL40" s="22">
        <v>-260.59252441594202</v>
      </c>
      <c r="BM40" s="148">
        <v>-260.60000000000002</v>
      </c>
      <c r="BN40" s="4">
        <v>580</v>
      </c>
      <c r="BO40" s="2">
        <v>201912</v>
      </c>
    </row>
    <row r="41" spans="1:67" ht="15" outlineLevel="1" thickBot="1">
      <c r="C41" s="9" t="s">
        <v>33</v>
      </c>
      <c r="D41" s="2">
        <v>0</v>
      </c>
      <c r="F41" s="2">
        <v>1</v>
      </c>
      <c r="G41" s="2">
        <v>2</v>
      </c>
      <c r="H41" s="2">
        <v>3</v>
      </c>
      <c r="I41" s="2">
        <v>4</v>
      </c>
      <c r="J41" s="2">
        <v>5</v>
      </c>
      <c r="K41" s="2">
        <v>6</v>
      </c>
      <c r="L41" s="2">
        <v>7</v>
      </c>
      <c r="M41" s="2">
        <v>8</v>
      </c>
      <c r="N41" s="2">
        <v>9</v>
      </c>
      <c r="O41" s="2">
        <v>10</v>
      </c>
      <c r="P41" s="2">
        <v>11</v>
      </c>
      <c r="Q41" s="2">
        <v>12</v>
      </c>
      <c r="R41" s="2">
        <v>13</v>
      </c>
      <c r="S41" s="2">
        <v>14</v>
      </c>
      <c r="T41" s="2">
        <v>15</v>
      </c>
      <c r="U41" s="2">
        <v>16</v>
      </c>
      <c r="V41" s="2">
        <v>17</v>
      </c>
      <c r="W41" s="2">
        <v>18</v>
      </c>
      <c r="X41" s="2">
        <v>19</v>
      </c>
      <c r="Y41" s="2">
        <v>20</v>
      </c>
      <c r="Z41" s="2">
        <v>21</v>
      </c>
      <c r="AA41" s="2">
        <v>22</v>
      </c>
      <c r="AB41" s="2">
        <v>23</v>
      </c>
      <c r="AC41" s="2">
        <v>24</v>
      </c>
      <c r="AD41" s="2">
        <v>25</v>
      </c>
      <c r="AE41" s="2">
        <v>26</v>
      </c>
      <c r="AF41" s="2">
        <v>27</v>
      </c>
      <c r="AG41" s="2">
        <v>28</v>
      </c>
      <c r="AH41" s="2">
        <v>29</v>
      </c>
      <c r="AI41" s="2">
        <v>30</v>
      </c>
      <c r="AJ41" s="2">
        <v>31</v>
      </c>
      <c r="AK41" s="2">
        <v>32</v>
      </c>
      <c r="AL41" s="2">
        <v>33</v>
      </c>
      <c r="AM41" s="2">
        <v>34</v>
      </c>
      <c r="AN41" s="2">
        <v>35</v>
      </c>
      <c r="AO41" s="2">
        <v>36</v>
      </c>
      <c r="AP41" s="2">
        <v>37</v>
      </c>
      <c r="AQ41" s="2">
        <v>38</v>
      </c>
      <c r="AR41" s="2">
        <v>39</v>
      </c>
      <c r="AS41" s="2">
        <v>40</v>
      </c>
      <c r="BE41" s="102" t="s">
        <v>215</v>
      </c>
      <c r="BI41" s="146">
        <v>39</v>
      </c>
      <c r="BJ41" s="2" t="s">
        <v>251</v>
      </c>
      <c r="BK41" s="2" t="s">
        <v>145</v>
      </c>
      <c r="BL41" s="22">
        <v>-177.05743676170749</v>
      </c>
      <c r="BM41" s="148">
        <v>-177.06</v>
      </c>
      <c r="BN41" s="4">
        <v>890</v>
      </c>
      <c r="BO41" s="2">
        <v>201911</v>
      </c>
    </row>
    <row r="42" spans="1:67" outlineLevel="1">
      <c r="A42" t="s">
        <v>9</v>
      </c>
      <c r="B42" t="s">
        <v>21</v>
      </c>
      <c r="C42" s="72" t="s">
        <v>142</v>
      </c>
      <c r="E42" s="6"/>
      <c r="F42" s="6"/>
      <c r="G42" s="6"/>
      <c r="H42" s="6"/>
      <c r="I42" s="6"/>
      <c r="J42" s="6"/>
      <c r="K42" s="6"/>
      <c r="L42"/>
      <c r="M42"/>
      <c r="N42"/>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29">
        <v>0</v>
      </c>
      <c r="BD42" s="9" t="s">
        <v>134</v>
      </c>
      <c r="BE42" s="102" t="s">
        <v>216</v>
      </c>
      <c r="BJ42" s="2" t="s">
        <v>251</v>
      </c>
      <c r="BK42" s="2" t="s">
        <v>137</v>
      </c>
      <c r="BL42" s="22">
        <v>-187.81783347098255</v>
      </c>
      <c r="BM42" s="148">
        <v>-187.82</v>
      </c>
      <c r="BN42" s="4">
        <v>140</v>
      </c>
      <c r="BO42" s="2">
        <v>201911</v>
      </c>
    </row>
    <row r="43" spans="1:67" ht="15" outlineLevel="1" thickBot="1">
      <c r="A43" t="s">
        <v>9</v>
      </c>
      <c r="B43" t="s">
        <v>21</v>
      </c>
      <c r="C43" s="73" t="s">
        <v>203</v>
      </c>
      <c r="E43" s="6"/>
      <c r="F43" s="6"/>
      <c r="G43" s="6"/>
      <c r="H43" s="6"/>
      <c r="I43" s="6"/>
      <c r="J43" s="6"/>
      <c r="K43" s="6"/>
      <c r="L43"/>
      <c r="M43"/>
      <c r="N43"/>
      <c r="O43" s="6"/>
      <c r="P43" s="6"/>
      <c r="Q43" s="6"/>
      <c r="R43" s="6"/>
      <c r="S43" s="6"/>
      <c r="T43" s="6"/>
      <c r="U43" s="6"/>
      <c r="V43" s="6"/>
      <c r="W43" s="6"/>
      <c r="X43" s="6"/>
      <c r="Y43" s="6"/>
      <c r="Z43" s="6"/>
      <c r="AA43" s="6"/>
      <c r="AB43" s="6"/>
      <c r="AC43" s="6"/>
      <c r="AD43" s="6"/>
      <c r="AE43" s="6"/>
      <c r="AF43" s="6"/>
      <c r="AG43" s="93"/>
      <c r="AH43" s="6"/>
      <c r="AI43" s="6"/>
      <c r="AJ43" s="6"/>
      <c r="AK43" s="6"/>
      <c r="AL43" s="6"/>
      <c r="AM43" s="6"/>
      <c r="AN43" s="6"/>
      <c r="AO43" s="6"/>
      <c r="AP43" s="6"/>
      <c r="AQ43" s="6"/>
      <c r="AR43" s="6"/>
      <c r="AS43" s="6"/>
      <c r="AT43" s="29">
        <v>0</v>
      </c>
      <c r="BD43" s="101">
        <v>-19.11</v>
      </c>
      <c r="BE43" s="103" t="s">
        <v>220</v>
      </c>
      <c r="BJ43" s="2" t="s">
        <v>252</v>
      </c>
      <c r="BK43" s="2" t="s">
        <v>258</v>
      </c>
      <c r="BL43" s="22">
        <v>-330.17346597967821</v>
      </c>
      <c r="BM43" s="149">
        <v>-330.17</v>
      </c>
      <c r="BN43" s="4">
        <v>40</v>
      </c>
      <c r="BO43" s="2">
        <v>201912</v>
      </c>
    </row>
    <row r="44" spans="1:67" ht="15" outlineLevel="1" thickBot="1">
      <c r="A44" t="s">
        <v>9</v>
      </c>
      <c r="B44" t="s">
        <v>21</v>
      </c>
      <c r="C44" s="73" t="s">
        <v>204</v>
      </c>
      <c r="E44" s="6"/>
      <c r="F44" s="6"/>
      <c r="G44" s="6"/>
      <c r="H44" s="6"/>
      <c r="I44" s="6"/>
      <c r="J44" s="6"/>
      <c r="K44" s="6"/>
      <c r="L44"/>
      <c r="M44"/>
      <c r="N44"/>
      <c r="O44" s="6"/>
      <c r="P44" s="6"/>
      <c r="Q44" s="6"/>
      <c r="R44" s="6"/>
      <c r="S44" s="6"/>
      <c r="T44" s="6"/>
      <c r="U44" s="6"/>
      <c r="V44" s="6"/>
      <c r="W44" s="6"/>
      <c r="X44" s="6"/>
      <c r="Y44" s="6"/>
      <c r="Z44" s="6"/>
      <c r="AA44" s="6"/>
      <c r="AB44" s="6"/>
      <c r="AC44" s="6"/>
      <c r="AD44" s="6"/>
      <c r="AE44" s="6"/>
      <c r="AF44" s="6"/>
      <c r="AG44" s="93"/>
      <c r="AH44" s="6"/>
      <c r="AI44" s="6"/>
      <c r="AJ44" s="6"/>
      <c r="AK44" s="6"/>
      <c r="AL44" s="6"/>
      <c r="AM44" s="6"/>
      <c r="AN44" s="6"/>
      <c r="AO44" s="6"/>
      <c r="AP44" s="6"/>
      <c r="AQ44" s="6"/>
      <c r="AR44" s="6"/>
      <c r="AS44" s="6"/>
      <c r="AT44" s="29">
        <v>0</v>
      </c>
      <c r="BD44" s="101">
        <v>-1663</v>
      </c>
      <c r="BE44" s="103" t="s">
        <v>217</v>
      </c>
    </row>
    <row r="45" spans="1:67" ht="15" outlineLevel="1" thickBot="1">
      <c r="A45" t="s">
        <v>9</v>
      </c>
      <c r="B45" t="s">
        <v>21</v>
      </c>
      <c r="C45" s="73" t="s">
        <v>147</v>
      </c>
      <c r="E45" s="6"/>
      <c r="F45" s="6"/>
      <c r="G45" s="6"/>
      <c r="H45" s="6"/>
      <c r="I45" s="6"/>
      <c r="J45" s="6"/>
      <c r="K45" s="6"/>
      <c r="L45"/>
      <c r="M45"/>
      <c r="N45"/>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29">
        <v>0</v>
      </c>
      <c r="BD45" s="105">
        <v>-35</v>
      </c>
      <c r="BE45" s="103" t="s">
        <v>218</v>
      </c>
      <c r="BL45" s="2" t="s">
        <v>255</v>
      </c>
      <c r="BM45" s="150">
        <v>0</v>
      </c>
    </row>
    <row r="46" spans="1:67" outlineLevel="1">
      <c r="A46" t="s">
        <v>9</v>
      </c>
      <c r="B46" t="s">
        <v>21</v>
      </c>
      <c r="C46" s="73" t="s">
        <v>205</v>
      </c>
      <c r="E46" s="6"/>
      <c r="F46" s="6"/>
      <c r="G46" s="6"/>
      <c r="H46" s="6"/>
      <c r="I46" s="6"/>
      <c r="J46" s="6"/>
      <c r="K46" s="6"/>
      <c r="L46"/>
      <c r="M46"/>
      <c r="N4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29">
        <v>0</v>
      </c>
      <c r="BD46" s="106">
        <v>-125</v>
      </c>
      <c r="BE46" s="102" t="s">
        <v>219</v>
      </c>
    </row>
    <row r="47" spans="1:67" outlineLevel="1">
      <c r="A47" t="s">
        <v>9</v>
      </c>
      <c r="B47" t="s">
        <v>21</v>
      </c>
      <c r="C47" s="73" t="s">
        <v>146</v>
      </c>
      <c r="E47" s="6"/>
      <c r="F47" s="6"/>
      <c r="G47" s="6"/>
      <c r="H47" s="6"/>
      <c r="I47" s="6"/>
      <c r="J47" s="6"/>
      <c r="K47" s="6"/>
      <c r="L47"/>
      <c r="M47"/>
      <c r="N47"/>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29">
        <v>0</v>
      </c>
      <c r="BD47" s="107">
        <v>-74.55</v>
      </c>
      <c r="BE47" s="103" t="s">
        <v>221</v>
      </c>
      <c r="BF47" t="s">
        <v>222</v>
      </c>
    </row>
    <row r="48" spans="1:67" ht="15" outlineLevel="1" thickBot="1">
      <c r="A48" t="s">
        <v>9</v>
      </c>
      <c r="B48" t="s">
        <v>21</v>
      </c>
      <c r="C48" s="74" t="s">
        <v>148</v>
      </c>
      <c r="E48" s="6"/>
      <c r="F48" s="6"/>
      <c r="G48" s="6"/>
      <c r="H48" s="6"/>
      <c r="I48" s="6"/>
      <c r="J48" s="6"/>
      <c r="K48" s="6"/>
      <c r="L48"/>
      <c r="M48"/>
      <c r="N48"/>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29">
        <v>0</v>
      </c>
      <c r="BD48" s="101">
        <v>-149.77000000000001</v>
      </c>
      <c r="BE48" s="103" t="s">
        <v>223</v>
      </c>
      <c r="BF48" t="s">
        <v>222</v>
      </c>
    </row>
    <row r="49" spans="1:56" outlineLevel="1">
      <c r="A49" t="s">
        <v>9</v>
      </c>
      <c r="B49" t="s">
        <v>21</v>
      </c>
      <c r="C49" s="72" t="s">
        <v>153</v>
      </c>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28">
        <v>0</v>
      </c>
      <c r="BD49" s="108">
        <v>-30</v>
      </c>
    </row>
    <row r="50" spans="1:56" outlineLevel="1">
      <c r="A50" t="s">
        <v>9</v>
      </c>
      <c r="B50" t="s">
        <v>21</v>
      </c>
      <c r="C50" s="73" t="s">
        <v>233</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28">
        <v>0</v>
      </c>
      <c r="BD50" s="108">
        <v>-5</v>
      </c>
    </row>
    <row r="51" spans="1:56" ht="15" outlineLevel="1" thickBot="1">
      <c r="A51" t="s">
        <v>9</v>
      </c>
      <c r="B51" t="s">
        <v>21</v>
      </c>
      <c r="C51" s="74" t="s">
        <v>149</v>
      </c>
      <c r="E51" s="6"/>
      <c r="F51" s="6"/>
      <c r="G51" s="6"/>
      <c r="H51" s="6"/>
      <c r="I51" s="6"/>
      <c r="J51" s="6"/>
      <c r="K51" s="6"/>
      <c r="L51"/>
      <c r="M51"/>
      <c r="N51"/>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28">
        <v>0</v>
      </c>
      <c r="BD51" s="104">
        <v>-2101.4299999999998</v>
      </c>
    </row>
    <row r="52" spans="1:56" outlineLevel="1">
      <c r="A52" t="s">
        <v>9</v>
      </c>
      <c r="B52" t="s">
        <v>23</v>
      </c>
      <c r="C52" s="72" t="s">
        <v>23</v>
      </c>
      <c r="E52" s="6"/>
      <c r="F52" s="6"/>
      <c r="G52" s="6"/>
      <c r="H52" s="6"/>
      <c r="I52" s="6"/>
      <c r="J52" s="6"/>
      <c r="K52" s="6"/>
      <c r="L52"/>
      <c r="M52"/>
      <c r="N52"/>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28">
        <v>0</v>
      </c>
    </row>
    <row r="53" spans="1:56" outlineLevel="1">
      <c r="A53" t="s">
        <v>9</v>
      </c>
      <c r="B53" t="s">
        <v>23</v>
      </c>
      <c r="C53" s="73" t="s">
        <v>151</v>
      </c>
      <c r="E53" s="6"/>
      <c r="F53" s="6"/>
      <c r="G53" s="6"/>
      <c r="H53" s="6"/>
      <c r="I53" s="6"/>
      <c r="J53" s="6"/>
      <c r="K53" s="6"/>
      <c r="L53"/>
      <c r="M53"/>
      <c r="N53"/>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28">
        <v>0</v>
      </c>
    </row>
    <row r="54" spans="1:56" ht="15" outlineLevel="1" thickBot="1">
      <c r="A54" t="s">
        <v>9</v>
      </c>
      <c r="B54" t="s">
        <v>23</v>
      </c>
      <c r="C54" s="74" t="s">
        <v>8</v>
      </c>
      <c r="E54" s="6"/>
      <c r="F54" s="6"/>
      <c r="G54" s="6"/>
      <c r="H54" s="6"/>
      <c r="I54" s="6"/>
      <c r="J54" s="6"/>
      <c r="K54" s="6"/>
      <c r="L54"/>
      <c r="M54"/>
      <c r="N54"/>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28">
        <v>0</v>
      </c>
    </row>
    <row r="55" spans="1:56" outlineLevel="1">
      <c r="A55" t="s">
        <v>9</v>
      </c>
      <c r="B55" t="s">
        <v>25</v>
      </c>
      <c r="C55" s="72" t="s">
        <v>150</v>
      </c>
      <c r="E55" s="6"/>
      <c r="F55" s="6"/>
      <c r="G55" s="6"/>
      <c r="H55" s="6"/>
      <c r="I55" s="6"/>
      <c r="J55" s="6"/>
      <c r="K55" s="6"/>
      <c r="L55"/>
      <c r="M55"/>
      <c r="N55"/>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v>50</v>
      </c>
      <c r="AT55" s="28">
        <v>50</v>
      </c>
    </row>
    <row r="56" spans="1:56" ht="15" outlineLevel="1" thickBot="1">
      <c r="A56" t="s">
        <v>9</v>
      </c>
      <c r="B56" t="s">
        <v>25</v>
      </c>
      <c r="C56" s="74" t="s">
        <v>144</v>
      </c>
      <c r="E56" s="6">
        <v>811.24</v>
      </c>
      <c r="F56" s="6"/>
      <c r="G56" s="6"/>
      <c r="H56" s="6"/>
      <c r="I56" s="6"/>
      <c r="J56" s="6"/>
      <c r="K56" s="6"/>
      <c r="L56"/>
      <c r="M56"/>
      <c r="N5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28">
        <v>811.24</v>
      </c>
    </row>
    <row r="57" spans="1:56" outlineLevel="1">
      <c r="A57" t="s">
        <v>9</v>
      </c>
      <c r="B57" t="s">
        <v>24</v>
      </c>
      <c r="C57" s="72" t="s">
        <v>145</v>
      </c>
      <c r="E57" s="6"/>
      <c r="F57" s="6"/>
      <c r="G57" s="6"/>
      <c r="H57" s="6"/>
      <c r="I57" s="6"/>
      <c r="J57" s="6"/>
      <c r="K57" s="6"/>
      <c r="L57"/>
      <c r="M57"/>
      <c r="N57"/>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28">
        <v>0</v>
      </c>
    </row>
    <row r="58" spans="1:56" outlineLevel="1">
      <c r="A58" t="s">
        <v>9</v>
      </c>
      <c r="B58" t="s">
        <v>24</v>
      </c>
      <c r="C58" s="73" t="s">
        <v>206</v>
      </c>
      <c r="E58" s="6"/>
      <c r="F58" s="6"/>
      <c r="G58" s="6"/>
      <c r="H58" s="6"/>
      <c r="I58" s="6"/>
      <c r="J58" s="6"/>
      <c r="K58" s="6"/>
      <c r="L58"/>
      <c r="M58"/>
      <c r="N58"/>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8">
        <v>0</v>
      </c>
    </row>
    <row r="59" spans="1:56" ht="15" outlineLevel="1" thickBot="1">
      <c r="A59" t="s">
        <v>9</v>
      </c>
      <c r="B59" t="s">
        <v>24</v>
      </c>
      <c r="C59" s="74" t="s">
        <v>136</v>
      </c>
      <c r="E59" s="6">
        <v>125</v>
      </c>
      <c r="F59" s="6"/>
      <c r="G59" s="6"/>
      <c r="H59" s="6"/>
      <c r="I59" s="6"/>
      <c r="J59" s="6"/>
      <c r="K59" s="6"/>
      <c r="L59"/>
      <c r="M59"/>
      <c r="N59"/>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8">
        <v>125</v>
      </c>
    </row>
    <row r="60" spans="1:56" outlineLevel="2">
      <c r="E60" s="6"/>
      <c r="F60" s="6"/>
      <c r="G60" s="6"/>
      <c r="H60" s="6"/>
      <c r="I60" s="6"/>
      <c r="J60" s="6"/>
      <c r="K60" s="6"/>
      <c r="L60"/>
      <c r="M60"/>
      <c r="N60"/>
      <c r="O60"/>
      <c r="P60"/>
      <c r="Q60"/>
      <c r="R60"/>
      <c r="S60"/>
      <c r="T60"/>
      <c r="U60"/>
      <c r="V60"/>
      <c r="W60"/>
      <c r="X60"/>
      <c r="Y60"/>
      <c r="Z60"/>
      <c r="AA60"/>
      <c r="AB60"/>
      <c r="AC60"/>
      <c r="AD60"/>
      <c r="AE60"/>
      <c r="AF60"/>
      <c r="AG60"/>
      <c r="AH60"/>
      <c r="AI60"/>
      <c r="AJ60"/>
      <c r="AK60"/>
      <c r="AL60"/>
      <c r="AM60"/>
      <c r="AN60"/>
      <c r="AO60"/>
      <c r="AP60"/>
      <c r="AQ60"/>
      <c r="AS60" s="6"/>
      <c r="AT60" s="28">
        <v>0</v>
      </c>
    </row>
    <row r="61" spans="1:56" outlineLevel="1">
      <c r="C61" s="9" t="s">
        <v>32</v>
      </c>
      <c r="D61" s="28">
        <v>0</v>
      </c>
      <c r="E61" s="28">
        <v>936.24</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50</v>
      </c>
      <c r="AT61" s="28">
        <v>986.24</v>
      </c>
    </row>
    <row r="62" spans="1:56">
      <c r="A62" s="9" t="s">
        <v>75</v>
      </c>
    </row>
    <row r="64" spans="1:56" outlineLevel="1">
      <c r="E64" s="2" t="s">
        <v>89</v>
      </c>
      <c r="F64" s="2" t="s">
        <v>90</v>
      </c>
      <c r="G64" s="2" t="s">
        <v>84</v>
      </c>
      <c r="H64" s="2" t="s">
        <v>85</v>
      </c>
      <c r="I64" s="2" t="s">
        <v>86</v>
      </c>
      <c r="J64" s="2" t="s">
        <v>87</v>
      </c>
      <c r="K64" s="2" t="s">
        <v>88</v>
      </c>
      <c r="L64" s="2" t="s">
        <v>89</v>
      </c>
      <c r="M64" s="2" t="s">
        <v>90</v>
      </c>
      <c r="N64" s="2" t="s">
        <v>84</v>
      </c>
      <c r="O64" s="2" t="s">
        <v>85</v>
      </c>
      <c r="P64" s="2" t="s">
        <v>86</v>
      </c>
      <c r="Q64" s="2" t="s">
        <v>87</v>
      </c>
      <c r="R64" s="2" t="s">
        <v>88</v>
      </c>
      <c r="S64" s="2" t="s">
        <v>89</v>
      </c>
      <c r="T64" s="2" t="s">
        <v>90</v>
      </c>
      <c r="U64" s="2" t="s">
        <v>84</v>
      </c>
      <c r="V64" s="2" t="s">
        <v>85</v>
      </c>
      <c r="W64" s="2" t="s">
        <v>86</v>
      </c>
      <c r="X64" s="2" t="s">
        <v>87</v>
      </c>
      <c r="Y64" s="2" t="s">
        <v>88</v>
      </c>
      <c r="Z64" s="2" t="s">
        <v>89</v>
      </c>
      <c r="AA64" s="2" t="s">
        <v>90</v>
      </c>
      <c r="AB64" s="2" t="s">
        <v>84</v>
      </c>
      <c r="AC64" s="2" t="s">
        <v>85</v>
      </c>
      <c r="AD64" s="2" t="s">
        <v>86</v>
      </c>
      <c r="AE64" s="2" t="s">
        <v>87</v>
      </c>
      <c r="AF64" s="2" t="s">
        <v>88</v>
      </c>
      <c r="AG64" s="2" t="s">
        <v>89</v>
      </c>
      <c r="AH64" s="2" t="s">
        <v>90</v>
      </c>
      <c r="AI64" s="2" t="s">
        <v>84</v>
      </c>
      <c r="AJ64" s="2" t="s">
        <v>85</v>
      </c>
      <c r="AK64" s="2" t="s">
        <v>86</v>
      </c>
      <c r="AL64" s="2" t="s">
        <v>87</v>
      </c>
      <c r="AM64" s="2" t="s">
        <v>88</v>
      </c>
      <c r="AN64" s="2" t="s">
        <v>89</v>
      </c>
      <c r="AO64" s="2" t="s">
        <v>90</v>
      </c>
      <c r="AP64" s="2" t="s">
        <v>84</v>
      </c>
      <c r="AQ64" s="2" t="s">
        <v>85</v>
      </c>
      <c r="AR64" s="2" t="s">
        <v>86</v>
      </c>
      <c r="AS64" s="2" t="s">
        <v>87</v>
      </c>
    </row>
    <row r="65" spans="2:49" outlineLevel="1">
      <c r="E65" s="39">
        <v>43764</v>
      </c>
      <c r="F65" s="39">
        <v>43765</v>
      </c>
      <c r="G65" s="39">
        <v>43766</v>
      </c>
      <c r="H65" s="39">
        <v>43767</v>
      </c>
      <c r="I65" s="39">
        <v>43768</v>
      </c>
      <c r="J65" s="39">
        <v>43769</v>
      </c>
      <c r="K65" s="39">
        <v>43770</v>
      </c>
      <c r="L65" s="39">
        <v>43771</v>
      </c>
      <c r="M65" s="39">
        <v>43772</v>
      </c>
      <c r="N65" s="39">
        <v>43773</v>
      </c>
      <c r="O65" s="39">
        <v>43774</v>
      </c>
      <c r="P65" s="39">
        <v>43775</v>
      </c>
      <c r="Q65" s="39">
        <v>43776</v>
      </c>
      <c r="R65" s="39">
        <v>43777</v>
      </c>
      <c r="S65" s="39">
        <v>43778</v>
      </c>
      <c r="T65" s="39">
        <v>43779</v>
      </c>
      <c r="U65" s="39">
        <v>43780</v>
      </c>
      <c r="V65" s="39">
        <v>43781</v>
      </c>
      <c r="W65" s="39">
        <v>43782</v>
      </c>
      <c r="X65" s="39">
        <v>43783</v>
      </c>
      <c r="Y65" s="39">
        <v>43784</v>
      </c>
      <c r="Z65" s="39">
        <v>43785</v>
      </c>
      <c r="AA65" s="39">
        <v>43786</v>
      </c>
      <c r="AB65" s="39">
        <v>43787</v>
      </c>
      <c r="AC65" s="39">
        <v>43788</v>
      </c>
      <c r="AD65" s="39">
        <v>43789</v>
      </c>
      <c r="AE65" s="39">
        <v>43790</v>
      </c>
      <c r="AF65" s="39">
        <v>43791</v>
      </c>
      <c r="AG65" s="39">
        <v>43792</v>
      </c>
      <c r="AH65" s="39">
        <v>43793</v>
      </c>
      <c r="AI65" s="39">
        <v>43794</v>
      </c>
      <c r="AJ65" s="39">
        <v>43795</v>
      </c>
      <c r="AK65" s="39">
        <v>43796</v>
      </c>
      <c r="AL65" s="39">
        <v>43797</v>
      </c>
      <c r="AM65" s="39">
        <v>43798</v>
      </c>
      <c r="AN65" s="39">
        <v>43799</v>
      </c>
      <c r="AO65" s="39">
        <v>43800</v>
      </c>
      <c r="AP65" s="39">
        <v>43801</v>
      </c>
      <c r="AQ65" s="39">
        <v>43802</v>
      </c>
      <c r="AR65" s="39">
        <v>43803</v>
      </c>
      <c r="AS65" s="39">
        <v>43804</v>
      </c>
    </row>
    <row r="66" spans="2:49" ht="15" outlineLevel="1" thickBot="1">
      <c r="E66" s="2">
        <v>0</v>
      </c>
      <c r="F66" s="2">
        <v>1</v>
      </c>
      <c r="G66" s="2">
        <v>2</v>
      </c>
      <c r="H66" s="2">
        <v>3</v>
      </c>
      <c r="I66" s="2">
        <v>4</v>
      </c>
      <c r="J66" s="2">
        <v>5</v>
      </c>
      <c r="K66" s="2">
        <v>6</v>
      </c>
      <c r="L66" s="2">
        <v>7</v>
      </c>
      <c r="M66" s="2">
        <v>8</v>
      </c>
      <c r="N66" s="2">
        <v>9</v>
      </c>
      <c r="O66" s="2">
        <v>10</v>
      </c>
      <c r="P66" s="2">
        <v>11</v>
      </c>
      <c r="Q66" s="2">
        <v>12</v>
      </c>
      <c r="R66" s="2">
        <v>13</v>
      </c>
      <c r="S66" s="2">
        <v>14</v>
      </c>
      <c r="T66" s="2">
        <v>15</v>
      </c>
      <c r="U66" s="2">
        <v>16</v>
      </c>
      <c r="V66" s="2">
        <v>17</v>
      </c>
      <c r="W66" s="2">
        <v>18</v>
      </c>
      <c r="X66" s="2">
        <v>19</v>
      </c>
      <c r="Y66" s="2">
        <v>20</v>
      </c>
      <c r="Z66" s="2">
        <v>21</v>
      </c>
      <c r="AA66" s="2">
        <v>22</v>
      </c>
      <c r="AB66" s="2">
        <v>23</v>
      </c>
      <c r="AC66" s="2">
        <v>24</v>
      </c>
      <c r="AD66" s="2">
        <v>25</v>
      </c>
      <c r="AE66" s="2">
        <v>26</v>
      </c>
      <c r="AF66" s="2">
        <v>27</v>
      </c>
      <c r="AG66" s="2">
        <v>28</v>
      </c>
      <c r="AH66" s="2">
        <v>29</v>
      </c>
      <c r="AI66" s="2">
        <v>30</v>
      </c>
      <c r="AJ66" s="2">
        <v>31</v>
      </c>
      <c r="AK66" s="2">
        <v>32</v>
      </c>
      <c r="AL66" s="2">
        <v>33</v>
      </c>
      <c r="AM66" s="2">
        <v>34</v>
      </c>
      <c r="AN66" s="2">
        <v>35</v>
      </c>
      <c r="AO66" s="2">
        <v>36</v>
      </c>
      <c r="AP66" s="2">
        <v>37</v>
      </c>
      <c r="AQ66" s="2">
        <v>38</v>
      </c>
      <c r="AR66" s="2">
        <v>39</v>
      </c>
      <c r="AS66" s="2">
        <v>40</v>
      </c>
    </row>
    <row r="67" spans="2:49" outlineLevel="1">
      <c r="B67" t="s">
        <v>21</v>
      </c>
      <c r="C67" s="72" t="s">
        <v>142</v>
      </c>
      <c r="D67" s="6">
        <v>0</v>
      </c>
      <c r="E67" s="6">
        <v>0</v>
      </c>
      <c r="F67" s="6">
        <v>0</v>
      </c>
      <c r="G67" s="6">
        <v>0</v>
      </c>
      <c r="H67" s="6">
        <v>0</v>
      </c>
      <c r="I67" s="6">
        <v>0</v>
      </c>
      <c r="J67" s="6">
        <v>0</v>
      </c>
      <c r="K67" s="6">
        <v>0</v>
      </c>
      <c r="L67" s="6">
        <v>2.3477229183872819</v>
      </c>
      <c r="M67" s="6">
        <v>0</v>
      </c>
      <c r="N67" s="6">
        <v>0</v>
      </c>
      <c r="O67" s="6">
        <v>0</v>
      </c>
      <c r="P67" s="6">
        <v>0</v>
      </c>
      <c r="Q67" s="6">
        <v>0</v>
      </c>
      <c r="R67" s="6">
        <v>0</v>
      </c>
      <c r="S67" s="6">
        <v>0</v>
      </c>
      <c r="T67" s="6">
        <v>0</v>
      </c>
      <c r="U67" s="6">
        <v>1.3695050357259144</v>
      </c>
      <c r="V67" s="6">
        <v>1.9564357653227349</v>
      </c>
      <c r="W67" s="6">
        <v>2.3477229183872819</v>
      </c>
      <c r="X67" s="6">
        <v>0</v>
      </c>
      <c r="Y67" s="6">
        <v>0</v>
      </c>
      <c r="Z67" s="6">
        <v>0</v>
      </c>
      <c r="AA67" s="6">
        <v>0</v>
      </c>
      <c r="AB67" s="6">
        <v>0</v>
      </c>
      <c r="AC67" s="6">
        <v>0</v>
      </c>
      <c r="AD67" s="6">
        <v>6.2605944490327516</v>
      </c>
      <c r="AE67" s="6">
        <v>4.3041586837100168</v>
      </c>
      <c r="AF67" s="6">
        <v>5.6736637194359307</v>
      </c>
      <c r="AG67" s="6">
        <v>0</v>
      </c>
      <c r="AH67" s="6">
        <v>0</v>
      </c>
      <c r="AI67" s="6">
        <v>0</v>
      </c>
      <c r="AJ67" s="6">
        <v>0</v>
      </c>
      <c r="AK67" s="6">
        <v>0</v>
      </c>
      <c r="AL67" s="6">
        <v>0</v>
      </c>
      <c r="AM67" s="6">
        <v>0</v>
      </c>
      <c r="AN67" s="6">
        <v>0</v>
      </c>
      <c r="AO67" s="6">
        <v>0</v>
      </c>
      <c r="AP67" s="6">
        <v>0</v>
      </c>
      <c r="AQ67" s="6">
        <v>0</v>
      </c>
      <c r="AR67" s="6">
        <v>0</v>
      </c>
      <c r="AS67" s="6">
        <v>0</v>
      </c>
      <c r="AT67" s="29">
        <v>24.259803490001914</v>
      </c>
      <c r="AV67" s="20">
        <v>0.83343484142299373</v>
      </c>
      <c r="AW67" s="20">
        <v>0.83343484142299373</v>
      </c>
    </row>
    <row r="68" spans="2:49" outlineLevel="1">
      <c r="B68" t="s">
        <v>21</v>
      </c>
      <c r="C68" s="73" t="s">
        <v>203</v>
      </c>
      <c r="D68" s="6">
        <v>0</v>
      </c>
      <c r="E68" s="6">
        <v>0</v>
      </c>
      <c r="F68" s="6">
        <v>0</v>
      </c>
      <c r="G68" s="6">
        <v>0</v>
      </c>
      <c r="H68" s="6">
        <v>0</v>
      </c>
      <c r="I68" s="6">
        <v>24.259803490001911</v>
      </c>
      <c r="J68" s="6">
        <v>0</v>
      </c>
      <c r="K68" s="6">
        <v>0</v>
      </c>
      <c r="L68" s="6">
        <v>17.020991158307794</v>
      </c>
      <c r="M68" s="6">
        <v>0</v>
      </c>
      <c r="N68" s="6">
        <v>9.3908916735491275</v>
      </c>
      <c r="O68" s="6">
        <v>0</v>
      </c>
      <c r="P68" s="6">
        <v>13.695050357259143</v>
      </c>
      <c r="Q68" s="6">
        <v>0</v>
      </c>
      <c r="R68" s="6">
        <v>0</v>
      </c>
      <c r="S68" s="6">
        <v>0</v>
      </c>
      <c r="T68" s="6">
        <v>0</v>
      </c>
      <c r="U68" s="6">
        <v>1.3695050357259144</v>
      </c>
      <c r="V68" s="6">
        <v>3.1302972245163758</v>
      </c>
      <c r="W68" s="6">
        <v>2.3477229183872819</v>
      </c>
      <c r="X68" s="6">
        <v>0</v>
      </c>
      <c r="Y68" s="6">
        <v>0</v>
      </c>
      <c r="Z68" s="6">
        <v>0</v>
      </c>
      <c r="AA68" s="6">
        <v>0</v>
      </c>
      <c r="AB68" s="6">
        <v>0</v>
      </c>
      <c r="AC68" s="6">
        <v>9.9778224031459484</v>
      </c>
      <c r="AD68" s="6">
        <v>13.303763204194597</v>
      </c>
      <c r="AE68" s="6">
        <v>10.251723410291131</v>
      </c>
      <c r="AF68" s="6">
        <v>3.9128715306454698</v>
      </c>
      <c r="AG68" s="6">
        <v>0</v>
      </c>
      <c r="AH68" s="6">
        <v>76.300994847586665</v>
      </c>
      <c r="AI68" s="6">
        <v>0</v>
      </c>
      <c r="AJ68" s="6">
        <v>0</v>
      </c>
      <c r="AK68" s="6">
        <v>7.0431687551618456</v>
      </c>
      <c r="AL68" s="6">
        <v>0</v>
      </c>
      <c r="AM68" s="6">
        <v>4.3041586837100168</v>
      </c>
      <c r="AN68" s="6">
        <v>10.956040285807315</v>
      </c>
      <c r="AO68" s="6">
        <v>0</v>
      </c>
      <c r="AP68" s="6">
        <v>10.369109556210494</v>
      </c>
      <c r="AQ68" s="6">
        <v>0</v>
      </c>
      <c r="AR68" s="6">
        <v>24.455447066534187</v>
      </c>
      <c r="AS68" s="6">
        <v>0</v>
      </c>
      <c r="AT68" s="28">
        <v>242.08936160103522</v>
      </c>
      <c r="AV68" s="20">
        <v>18.682374890389067</v>
      </c>
      <c r="AW68" s="20">
        <v>18.682374890389067</v>
      </c>
    </row>
    <row r="69" spans="2:49" outlineLevel="1">
      <c r="B69" t="s">
        <v>21</v>
      </c>
      <c r="C69" s="73" t="s">
        <v>204</v>
      </c>
      <c r="D69" s="6"/>
      <c r="E69" s="6">
        <v>0</v>
      </c>
      <c r="F69" s="6">
        <v>0</v>
      </c>
      <c r="G69" s="6">
        <v>0</v>
      </c>
      <c r="H69" s="6">
        <v>3.3259408010486493</v>
      </c>
      <c r="I69" s="6">
        <v>0.97821788266136744</v>
      </c>
      <c r="J69" s="6">
        <v>4.6954458367745637</v>
      </c>
      <c r="K69" s="6">
        <v>11.738614591936409</v>
      </c>
      <c r="L69" s="6">
        <v>5.2823765663713838</v>
      </c>
      <c r="M69" s="6">
        <v>10.369109556210494</v>
      </c>
      <c r="N69" s="6">
        <v>3.9128715306454698</v>
      </c>
      <c r="O69" s="6">
        <v>11.347327438871861</v>
      </c>
      <c r="P69" s="6">
        <v>8.9996045204845796</v>
      </c>
      <c r="Q69" s="6">
        <v>0</v>
      </c>
      <c r="R69" s="6">
        <v>3.1302972245163758</v>
      </c>
      <c r="S69" s="6">
        <v>9.1952480970168544</v>
      </c>
      <c r="T69" s="6">
        <v>0</v>
      </c>
      <c r="U69" s="6">
        <v>6.4562380255650247</v>
      </c>
      <c r="V69" s="6">
        <v>2.3477229183872819</v>
      </c>
      <c r="W69" s="6">
        <v>2.3477229183872819</v>
      </c>
      <c r="X69" s="6">
        <v>0</v>
      </c>
      <c r="Y69" s="6">
        <v>0</v>
      </c>
      <c r="Z69" s="6">
        <v>5.2823765663713838</v>
      </c>
      <c r="AA69" s="6">
        <v>2.3477229183872819</v>
      </c>
      <c r="AB69" s="6">
        <v>0.78257430612909396</v>
      </c>
      <c r="AC69" s="6">
        <v>17.099248588920702</v>
      </c>
      <c r="AD69" s="6">
        <v>7.8257430612909396</v>
      </c>
      <c r="AE69" s="6">
        <v>5.6736637194359307</v>
      </c>
      <c r="AF69" s="6">
        <v>17.216634734840067</v>
      </c>
      <c r="AG69" s="6">
        <v>0</v>
      </c>
      <c r="AH69" s="6">
        <v>3.1302972245163758</v>
      </c>
      <c r="AI69" s="6">
        <v>3.9128715306454698</v>
      </c>
      <c r="AJ69" s="6">
        <v>1.9564357653227349</v>
      </c>
      <c r="AK69" s="6">
        <v>7.0431687551618456</v>
      </c>
      <c r="AL69" s="6">
        <v>0</v>
      </c>
      <c r="AM69" s="6">
        <v>11.308198723565408</v>
      </c>
      <c r="AN69" s="6">
        <v>15.651486122581879</v>
      </c>
      <c r="AO69" s="6">
        <v>15.651486122581879</v>
      </c>
      <c r="AP69" s="6">
        <v>10.369109556210494</v>
      </c>
      <c r="AQ69" s="6">
        <v>5.6736637194359307</v>
      </c>
      <c r="AR69" s="6">
        <v>10.173465979678221</v>
      </c>
      <c r="AS69" s="6">
        <v>0</v>
      </c>
      <c r="AT69" s="28">
        <v>225.22488530395319</v>
      </c>
      <c r="AV69" s="20"/>
      <c r="AW69" s="20"/>
    </row>
    <row r="70" spans="2:49" outlineLevel="1">
      <c r="B70" t="s">
        <v>21</v>
      </c>
      <c r="C70" s="73" t="s">
        <v>147</v>
      </c>
      <c r="D70" s="6">
        <v>0</v>
      </c>
      <c r="E70" s="6">
        <v>0</v>
      </c>
      <c r="F70" s="6">
        <v>0</v>
      </c>
      <c r="G70" s="6">
        <v>6.0649508725004777</v>
      </c>
      <c r="H70" s="6">
        <v>0</v>
      </c>
      <c r="I70" s="6">
        <v>0</v>
      </c>
      <c r="J70" s="6">
        <v>4.4998022602422898</v>
      </c>
      <c r="K70" s="6">
        <v>0</v>
      </c>
      <c r="L70" s="6">
        <v>0</v>
      </c>
      <c r="M70" s="6">
        <v>2.3477229183872819</v>
      </c>
      <c r="N70" s="6">
        <v>1.1738614591936409</v>
      </c>
      <c r="O70" s="6">
        <v>0</v>
      </c>
      <c r="P70" s="6">
        <v>0</v>
      </c>
      <c r="Q70" s="6">
        <v>9.3908916735491275</v>
      </c>
      <c r="R70" s="6">
        <v>0</v>
      </c>
      <c r="S70" s="6">
        <v>0</v>
      </c>
      <c r="T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15.651486122581879</v>
      </c>
      <c r="AS70" s="6">
        <v>0</v>
      </c>
      <c r="AT70" s="28">
        <v>39.128715306454694</v>
      </c>
      <c r="AV70" s="20">
        <v>3.2992914379172955</v>
      </c>
      <c r="AW70" s="20">
        <v>3.2992914379172955</v>
      </c>
    </row>
    <row r="71" spans="2:49" outlineLevel="1">
      <c r="B71" t="s">
        <v>21</v>
      </c>
      <c r="C71" s="73" t="s">
        <v>205</v>
      </c>
      <c r="D71" s="6"/>
      <c r="E71" s="6">
        <v>0</v>
      </c>
      <c r="F71" s="6">
        <v>26.411882831856921</v>
      </c>
      <c r="G71" s="6">
        <v>4.3824161143229263</v>
      </c>
      <c r="H71" s="6">
        <v>1.3303763204194596</v>
      </c>
      <c r="I71" s="6">
        <v>0.78257430612909396</v>
      </c>
      <c r="J71" s="6">
        <v>0</v>
      </c>
      <c r="K71" s="6">
        <v>0</v>
      </c>
      <c r="L71" s="6">
        <v>0</v>
      </c>
      <c r="M71" s="6">
        <v>2.7390100714518288</v>
      </c>
      <c r="N71" s="6">
        <v>0</v>
      </c>
      <c r="O71" s="6">
        <v>0</v>
      </c>
      <c r="P71" s="6">
        <v>0</v>
      </c>
      <c r="Q71" s="6">
        <v>0</v>
      </c>
      <c r="R71" s="6">
        <v>2.3477229183872819</v>
      </c>
      <c r="S71" s="6">
        <v>1.4477624663388238</v>
      </c>
      <c r="T71" s="6">
        <v>9.3908916735491275</v>
      </c>
      <c r="U71" s="6">
        <v>0</v>
      </c>
      <c r="V71" s="6">
        <v>0</v>
      </c>
      <c r="W71" s="6">
        <v>0</v>
      </c>
      <c r="X71" s="6">
        <v>43.041586837100169</v>
      </c>
      <c r="Y71" s="6">
        <v>5.8693072959682047</v>
      </c>
      <c r="Z71" s="6">
        <v>20.738219112420989</v>
      </c>
      <c r="AA71" s="6">
        <v>1.1738614591936409</v>
      </c>
      <c r="AB71" s="6">
        <v>13.108119627662324</v>
      </c>
      <c r="AC71" s="6">
        <v>0</v>
      </c>
      <c r="AD71" s="6">
        <v>0</v>
      </c>
      <c r="AE71" s="6">
        <v>0</v>
      </c>
      <c r="AF71" s="6">
        <v>0</v>
      </c>
      <c r="AG71" s="6">
        <v>25.042377796131007</v>
      </c>
      <c r="AH71" s="6">
        <v>7.0431687551618456</v>
      </c>
      <c r="AI71" s="6">
        <v>11.738614591936409</v>
      </c>
      <c r="AJ71" s="6">
        <v>0</v>
      </c>
      <c r="AK71" s="6">
        <v>0.78257430612909396</v>
      </c>
      <c r="AL71" s="6">
        <v>0</v>
      </c>
      <c r="AM71" s="6">
        <v>12.129901745000955</v>
      </c>
      <c r="AN71" s="6">
        <v>1.9564357653227349</v>
      </c>
      <c r="AO71" s="6">
        <v>5.6736637194359307</v>
      </c>
      <c r="AP71" s="6">
        <v>0</v>
      </c>
      <c r="AQ71" s="6">
        <v>1.9564357653227349</v>
      </c>
      <c r="AR71" s="6">
        <v>0</v>
      </c>
      <c r="AS71" s="6">
        <v>0</v>
      </c>
      <c r="AT71" s="28">
        <v>199.0869034792415</v>
      </c>
      <c r="AV71" s="20"/>
      <c r="AW71" s="20"/>
    </row>
    <row r="72" spans="2:49" outlineLevel="1">
      <c r="B72" t="s">
        <v>21</v>
      </c>
      <c r="C72" s="73" t="s">
        <v>146</v>
      </c>
      <c r="D72" s="6">
        <v>0</v>
      </c>
      <c r="E72" s="6">
        <v>0</v>
      </c>
      <c r="F72" s="6">
        <v>2.9346536479841023</v>
      </c>
      <c r="G72" s="6">
        <v>0.78257430612909396</v>
      </c>
      <c r="H72" s="6">
        <v>0.78257430612909396</v>
      </c>
      <c r="I72" s="6">
        <v>3.7172279541131963</v>
      </c>
      <c r="J72" s="6">
        <v>0</v>
      </c>
      <c r="K72" s="6">
        <v>0</v>
      </c>
      <c r="L72" s="6">
        <v>3.1302972245163758</v>
      </c>
      <c r="M72" s="6">
        <v>0.97821788266136744</v>
      </c>
      <c r="N72" s="6">
        <v>3.9128715306454698</v>
      </c>
      <c r="O72" s="6">
        <v>0</v>
      </c>
      <c r="P72" s="6">
        <v>0.78257430612909396</v>
      </c>
      <c r="Q72" s="6">
        <v>1.3695050357259144</v>
      </c>
      <c r="R72" s="6">
        <v>1.3695050357259144</v>
      </c>
      <c r="S72" s="6">
        <v>0</v>
      </c>
      <c r="T72" s="6">
        <v>0</v>
      </c>
      <c r="U72" s="6">
        <v>1.5651486122581879</v>
      </c>
      <c r="V72" s="6">
        <v>3.9128715306454698</v>
      </c>
      <c r="W72" s="6">
        <v>3.1302972245163758</v>
      </c>
      <c r="X72" s="6">
        <v>0</v>
      </c>
      <c r="Y72" s="6">
        <v>0</v>
      </c>
      <c r="Z72" s="6">
        <v>1.1738614591936409</v>
      </c>
      <c r="AA72" s="6">
        <v>2.5433664949195554</v>
      </c>
      <c r="AB72" s="6">
        <v>1.1738614591936409</v>
      </c>
      <c r="AC72" s="6">
        <v>0.97821788266136744</v>
      </c>
      <c r="AD72" s="6">
        <v>2.1520793418550084</v>
      </c>
      <c r="AE72" s="6">
        <v>3.1302972245163758</v>
      </c>
      <c r="AF72" s="6">
        <v>0</v>
      </c>
      <c r="AG72" s="6">
        <v>0.78257430612909396</v>
      </c>
      <c r="AH72" s="6">
        <v>1.5651486122581879</v>
      </c>
      <c r="AI72" s="6">
        <v>0</v>
      </c>
      <c r="AJ72" s="6">
        <v>1.1738614591936409</v>
      </c>
      <c r="AK72" s="6">
        <v>1.9564357653227349</v>
      </c>
      <c r="AL72" s="6">
        <v>0</v>
      </c>
      <c r="AM72" s="6">
        <v>1.5651486122581879</v>
      </c>
      <c r="AN72" s="6">
        <v>0.78257430612909396</v>
      </c>
      <c r="AO72" s="6">
        <v>1.3695050357259144</v>
      </c>
      <c r="AP72" s="6">
        <v>1.1738614591936409</v>
      </c>
      <c r="AQ72" s="6">
        <v>0.97821788266136744</v>
      </c>
      <c r="AR72" s="6">
        <v>2.3477229183872819</v>
      </c>
      <c r="AS72" s="6">
        <v>0</v>
      </c>
      <c r="AT72" s="28">
        <v>53.215052816778389</v>
      </c>
      <c r="AV72" s="20">
        <v>1.8520774253844301</v>
      </c>
      <c r="AW72" s="20">
        <v>1.8520774253844301</v>
      </c>
    </row>
    <row r="73" spans="2:49" ht="15" outlineLevel="1" thickBot="1">
      <c r="B73" t="s">
        <v>21</v>
      </c>
      <c r="C73" s="74" t="s">
        <v>148</v>
      </c>
      <c r="D73" s="6">
        <v>0</v>
      </c>
      <c r="E73" s="6">
        <v>0</v>
      </c>
      <c r="F73" s="6">
        <v>0</v>
      </c>
      <c r="G73" s="6">
        <v>5.6736637194359307</v>
      </c>
      <c r="H73" s="6">
        <v>3.9128715306454698</v>
      </c>
      <c r="I73" s="6">
        <v>0</v>
      </c>
      <c r="J73" s="6">
        <v>0</v>
      </c>
      <c r="K73" s="6">
        <v>6.4562380255650247</v>
      </c>
      <c r="L73" s="6">
        <v>0</v>
      </c>
      <c r="M73" s="6">
        <v>0</v>
      </c>
      <c r="N73" s="6">
        <v>10.956040285807315</v>
      </c>
      <c r="O73" s="6">
        <v>4.3041586837100168</v>
      </c>
      <c r="P73" s="6">
        <v>0</v>
      </c>
      <c r="Q73" s="6">
        <v>24.259803490001911</v>
      </c>
      <c r="R73" s="6">
        <v>0</v>
      </c>
      <c r="S73" s="6">
        <v>0</v>
      </c>
      <c r="T73" s="6">
        <v>0</v>
      </c>
      <c r="U73" s="6">
        <v>3.3259408010486493</v>
      </c>
      <c r="V73" s="6">
        <v>4.8910894133068368</v>
      </c>
      <c r="W73" s="6">
        <v>0</v>
      </c>
      <c r="X73" s="6">
        <v>4.3041586837100168</v>
      </c>
      <c r="Y73" s="6">
        <v>0</v>
      </c>
      <c r="Z73" s="6">
        <v>7.0431687551618456</v>
      </c>
      <c r="AA73" s="6">
        <v>0</v>
      </c>
      <c r="AB73" s="6">
        <v>0</v>
      </c>
      <c r="AC73" s="6">
        <v>0</v>
      </c>
      <c r="AD73" s="6">
        <v>12.912476051130049</v>
      </c>
      <c r="AE73" s="6">
        <v>3.9128715306454698</v>
      </c>
      <c r="AF73" s="6">
        <v>8.9996045204845796</v>
      </c>
      <c r="AG73" s="6">
        <v>7.8257430612909396</v>
      </c>
      <c r="AH73" s="6">
        <v>0</v>
      </c>
      <c r="AI73" s="6">
        <v>0</v>
      </c>
      <c r="AJ73" s="6">
        <v>7.8257430612909396</v>
      </c>
      <c r="AK73" s="6">
        <v>4.3041586837100168</v>
      </c>
      <c r="AL73" s="6">
        <v>0</v>
      </c>
      <c r="AM73" s="6">
        <v>0</v>
      </c>
      <c r="AN73" s="6">
        <v>4.3041586837100168</v>
      </c>
      <c r="AO73" s="6">
        <v>0</v>
      </c>
      <c r="AP73" s="6">
        <v>8.6083173674200335</v>
      </c>
      <c r="AQ73" s="6">
        <v>8.2170302143554856</v>
      </c>
      <c r="AR73" s="6">
        <v>0</v>
      </c>
      <c r="AS73" s="6">
        <v>0</v>
      </c>
      <c r="AT73" s="28">
        <v>142.03723656243054</v>
      </c>
      <c r="AV73" s="20">
        <v>6.3989275047032068</v>
      </c>
      <c r="AW73" s="20">
        <v>6.3989275047032068</v>
      </c>
    </row>
    <row r="74" spans="2:49" outlineLevel="1">
      <c r="B74" t="s">
        <v>21</v>
      </c>
      <c r="C74" s="72" t="s">
        <v>153</v>
      </c>
      <c r="D74" s="6">
        <v>0</v>
      </c>
      <c r="E74" s="6">
        <v>0</v>
      </c>
      <c r="F74" s="6">
        <v>8.2561589296619413</v>
      </c>
      <c r="G74" s="6">
        <v>0</v>
      </c>
      <c r="H74" s="6">
        <v>7.8257430612909396</v>
      </c>
      <c r="I74" s="6">
        <v>0.58693072959682047</v>
      </c>
      <c r="J74" s="6">
        <v>0</v>
      </c>
      <c r="K74" s="6">
        <v>0.39128715306454698</v>
      </c>
      <c r="L74" s="6">
        <v>0</v>
      </c>
      <c r="M74" s="6">
        <v>2.7390100714518288</v>
      </c>
      <c r="N74" s="6">
        <v>0.39128715306454698</v>
      </c>
      <c r="O74" s="6">
        <v>0</v>
      </c>
      <c r="P74" s="6">
        <v>4.3041586837100168</v>
      </c>
      <c r="Q74" s="6">
        <v>1.7607921887904614</v>
      </c>
      <c r="R74" s="6">
        <v>1.7607921887904614</v>
      </c>
      <c r="S74" s="6">
        <v>0.39128715306454698</v>
      </c>
      <c r="T74" s="6">
        <v>0</v>
      </c>
      <c r="U74" s="6">
        <v>3.1302972245163758</v>
      </c>
      <c r="V74" s="6">
        <v>5.0867329898391107</v>
      </c>
      <c r="W74" s="6">
        <v>5.0867329898391107</v>
      </c>
      <c r="X74" s="6">
        <v>0.39128715306454698</v>
      </c>
      <c r="Y74" s="6">
        <v>0.39128715306454698</v>
      </c>
      <c r="Z74" s="6">
        <v>0</v>
      </c>
      <c r="AA74" s="6">
        <v>0.39128715306454698</v>
      </c>
      <c r="AB74" s="6">
        <v>0</v>
      </c>
      <c r="AC74" s="6">
        <v>0</v>
      </c>
      <c r="AD74" s="6">
        <v>0.78257430612909396</v>
      </c>
      <c r="AE74" s="6">
        <v>1.9564357653227349</v>
      </c>
      <c r="AF74" s="6">
        <v>0</v>
      </c>
      <c r="AG74" s="6">
        <v>0</v>
      </c>
      <c r="AH74" s="6">
        <v>0.39128715306454698</v>
      </c>
      <c r="AI74" s="6">
        <v>5.6736637194359307</v>
      </c>
      <c r="AJ74" s="6">
        <v>0.39128715306454698</v>
      </c>
      <c r="AK74" s="6">
        <v>1.3695050357259144</v>
      </c>
      <c r="AL74" s="6">
        <v>1.5651486122581879</v>
      </c>
      <c r="AM74" s="6">
        <v>0.78257430612909396</v>
      </c>
      <c r="AN74" s="6">
        <v>0.39128715306454698</v>
      </c>
      <c r="AO74" s="6">
        <v>1.1738614591936409</v>
      </c>
      <c r="AP74" s="6">
        <v>0</v>
      </c>
      <c r="AQ74" s="6">
        <v>0</v>
      </c>
      <c r="AR74" s="6">
        <v>0</v>
      </c>
      <c r="AS74" s="6">
        <v>0</v>
      </c>
      <c r="AT74" s="28">
        <v>57.36269663926258</v>
      </c>
      <c r="AV74" s="20">
        <v>3.4448640112150408</v>
      </c>
      <c r="AW74" s="23">
        <v>1.7224320056075204</v>
      </c>
    </row>
    <row r="75" spans="2:49" outlineLevel="1">
      <c r="B75" t="s">
        <v>21</v>
      </c>
      <c r="C75" s="73" t="s">
        <v>233</v>
      </c>
      <c r="D75" s="6">
        <v>0</v>
      </c>
      <c r="E75" s="6">
        <v>0</v>
      </c>
      <c r="F75" s="6">
        <v>18.461553941030228</v>
      </c>
      <c r="G75" s="6">
        <v>18.461553941030228</v>
      </c>
      <c r="H75" s="6">
        <v>18.461553941030228</v>
      </c>
      <c r="I75" s="6">
        <v>18.461553941030228</v>
      </c>
      <c r="J75" s="6">
        <v>18.461553941030228</v>
      </c>
      <c r="K75" s="6">
        <v>18.461553941030228</v>
      </c>
      <c r="L75" s="6">
        <v>18.461553941030228</v>
      </c>
      <c r="M75" s="6">
        <v>18.461553941030228</v>
      </c>
      <c r="N75" s="6">
        <v>18.461553941030228</v>
      </c>
      <c r="O75" s="6">
        <v>18.461553941030228</v>
      </c>
      <c r="P75" s="6">
        <v>18.461553941030228</v>
      </c>
      <c r="Q75" s="6">
        <v>18.461553941030228</v>
      </c>
      <c r="R75" s="6">
        <v>18.461553941030228</v>
      </c>
      <c r="S75" s="6">
        <v>18.461553941030228</v>
      </c>
      <c r="T75" s="6">
        <v>18.461553941030228</v>
      </c>
      <c r="U75" s="6">
        <v>18.461553941030228</v>
      </c>
      <c r="V75" s="6">
        <v>18.461553941030228</v>
      </c>
      <c r="W75" s="6">
        <v>18.461553941030228</v>
      </c>
      <c r="X75" s="6">
        <v>18.461553941030228</v>
      </c>
      <c r="Y75" s="6">
        <v>18.461553941030228</v>
      </c>
      <c r="Z75" s="6">
        <v>18.461553941030228</v>
      </c>
      <c r="AA75" s="6">
        <v>18.461553941030228</v>
      </c>
      <c r="AB75" s="6">
        <v>18.461553941030228</v>
      </c>
      <c r="AC75" s="6">
        <v>18.461553941030228</v>
      </c>
      <c r="AD75" s="6">
        <v>18.461553941030228</v>
      </c>
      <c r="AE75" s="6">
        <v>18.461553941030228</v>
      </c>
      <c r="AF75" s="6">
        <v>18.461553941030228</v>
      </c>
      <c r="AG75" s="6">
        <v>18.461553941030228</v>
      </c>
      <c r="AH75" s="6">
        <v>18.461553941030228</v>
      </c>
      <c r="AI75" s="6">
        <v>18.461553941030228</v>
      </c>
      <c r="AJ75" s="6">
        <v>18.461553941030228</v>
      </c>
      <c r="AK75" s="6">
        <v>18.461553941030228</v>
      </c>
      <c r="AL75" s="6">
        <v>18.461553941030228</v>
      </c>
      <c r="AM75" s="6">
        <v>18.461553941030228</v>
      </c>
      <c r="AN75" s="6">
        <v>18.461553941030228</v>
      </c>
      <c r="AO75" s="6">
        <v>18.461553941030228</v>
      </c>
      <c r="AP75" s="6">
        <v>18.461553941030228</v>
      </c>
      <c r="AQ75" s="6">
        <v>18.461553941030228</v>
      </c>
      <c r="AR75" s="6">
        <v>18.461553941030228</v>
      </c>
      <c r="AS75" s="6">
        <v>0</v>
      </c>
      <c r="AT75" s="28">
        <v>720.00060370017923</v>
      </c>
      <c r="AV75" s="20">
        <v>57.548583167892943</v>
      </c>
      <c r="AW75" s="23">
        <v>28.774291583946471</v>
      </c>
    </row>
    <row r="76" spans="2:49" ht="15" outlineLevel="1" thickBot="1">
      <c r="B76" t="s">
        <v>21</v>
      </c>
      <c r="C76" s="74" t="s">
        <v>149</v>
      </c>
      <c r="D76" s="6">
        <v>0</v>
      </c>
      <c r="E76" s="6">
        <v>0</v>
      </c>
      <c r="F76" s="6">
        <v>0.78257430612909396</v>
      </c>
      <c r="G76" s="6">
        <v>1.9564357653227349</v>
      </c>
      <c r="H76" s="6">
        <v>0.78257430612909396</v>
      </c>
      <c r="I76" s="6">
        <v>0</v>
      </c>
      <c r="J76" s="6">
        <v>0</v>
      </c>
      <c r="K76" s="6">
        <v>1.1738614591936409</v>
      </c>
      <c r="L76" s="6">
        <v>0</v>
      </c>
      <c r="M76" s="6">
        <v>1.9564357653227349</v>
      </c>
      <c r="N76" s="6">
        <v>0.97821788266136744</v>
      </c>
      <c r="O76" s="6">
        <v>1.5651486122581879</v>
      </c>
      <c r="P76" s="6">
        <v>0.78257430612909396</v>
      </c>
      <c r="Q76" s="6">
        <v>0</v>
      </c>
      <c r="R76" s="6">
        <v>0</v>
      </c>
      <c r="S76" s="6">
        <v>0.78257430612909396</v>
      </c>
      <c r="T76" s="6">
        <v>0.78257430612909396</v>
      </c>
      <c r="U76" s="6">
        <v>0</v>
      </c>
      <c r="V76" s="6">
        <v>0</v>
      </c>
      <c r="W76" s="6">
        <v>0</v>
      </c>
      <c r="X76" s="6">
        <v>1.1738614591936409</v>
      </c>
      <c r="Y76" s="6">
        <v>0.78257430612909396</v>
      </c>
      <c r="Z76" s="6">
        <v>0.97821788266136744</v>
      </c>
      <c r="AA76" s="6">
        <v>3.9128715306454698</v>
      </c>
      <c r="AB76" s="6">
        <v>0.97821788266136744</v>
      </c>
      <c r="AC76" s="6">
        <v>0</v>
      </c>
      <c r="AD76" s="6">
        <v>0</v>
      </c>
      <c r="AE76" s="6">
        <v>0</v>
      </c>
      <c r="AF76" s="6">
        <v>2.1520793418550084</v>
      </c>
      <c r="AG76" s="6">
        <v>0.97821788266136744</v>
      </c>
      <c r="AH76" s="6">
        <v>0.97821788266136744</v>
      </c>
      <c r="AI76" s="6">
        <v>1.9564357653227349</v>
      </c>
      <c r="AJ76" s="6">
        <v>2.3477229183872819</v>
      </c>
      <c r="AK76" s="6">
        <v>0.97821788266136744</v>
      </c>
      <c r="AL76" s="6">
        <v>1.9564357653227349</v>
      </c>
      <c r="AM76" s="6">
        <v>1.9564357653227349</v>
      </c>
      <c r="AN76" s="6">
        <v>1.1738614591936409</v>
      </c>
      <c r="AO76" s="6">
        <v>0.97821788266136744</v>
      </c>
      <c r="AP76" s="6">
        <v>1.5651486122581879</v>
      </c>
      <c r="AQ76" s="6">
        <v>3.5215843775809228</v>
      </c>
      <c r="AR76" s="6">
        <v>0</v>
      </c>
      <c r="AS76" s="6">
        <v>0</v>
      </c>
      <c r="AT76" s="28">
        <v>39.911289612583786</v>
      </c>
      <c r="AV76" s="20">
        <v>0.71304980877300572</v>
      </c>
      <c r="AW76" s="23">
        <v>0.35652490438650286</v>
      </c>
    </row>
    <row r="77" spans="2:49" outlineLevel="1">
      <c r="B77" t="s">
        <v>23</v>
      </c>
      <c r="C77" s="72" t="s">
        <v>23</v>
      </c>
      <c r="D77" s="6">
        <v>0</v>
      </c>
      <c r="E77" s="6">
        <v>0</v>
      </c>
      <c r="F77" s="6">
        <v>5.8693072959682047</v>
      </c>
      <c r="G77" s="6">
        <v>0</v>
      </c>
      <c r="H77" s="6">
        <v>0</v>
      </c>
      <c r="I77" s="6">
        <v>0</v>
      </c>
      <c r="J77" s="6">
        <v>0</v>
      </c>
      <c r="K77" s="6">
        <v>0</v>
      </c>
      <c r="L77" s="6">
        <v>0</v>
      </c>
      <c r="M77" s="6">
        <v>0</v>
      </c>
      <c r="N77" s="6">
        <v>0</v>
      </c>
      <c r="O77" s="6">
        <v>21.912080571614631</v>
      </c>
      <c r="P77" s="6">
        <v>0</v>
      </c>
      <c r="Q77" s="6">
        <v>0</v>
      </c>
      <c r="R77" s="6">
        <v>0</v>
      </c>
      <c r="S77" s="6">
        <v>0</v>
      </c>
      <c r="T77" s="6">
        <v>0</v>
      </c>
      <c r="U77" s="6">
        <v>9.7821788266136736</v>
      </c>
      <c r="V77" s="6">
        <v>9.7821788266136736</v>
      </c>
      <c r="W77" s="6">
        <v>9.7821788266136736</v>
      </c>
      <c r="X77" s="6">
        <v>0</v>
      </c>
      <c r="Y77" s="6">
        <v>0</v>
      </c>
      <c r="Z77" s="6">
        <v>0</v>
      </c>
      <c r="AA77" s="6">
        <v>0</v>
      </c>
      <c r="AB77" s="6">
        <v>0</v>
      </c>
      <c r="AC77" s="6">
        <v>160.42773275646425</v>
      </c>
      <c r="AD77" s="6">
        <v>5.8693072959682047</v>
      </c>
      <c r="AE77" s="6">
        <v>8.8039609439523066</v>
      </c>
      <c r="AF77" s="6">
        <v>0</v>
      </c>
      <c r="AG77" s="6">
        <v>0</v>
      </c>
      <c r="AH77" s="6">
        <v>0</v>
      </c>
      <c r="AI77" s="6">
        <v>0</v>
      </c>
      <c r="AJ77" s="6">
        <v>0</v>
      </c>
      <c r="AK77" s="6">
        <v>0</v>
      </c>
      <c r="AL77" s="6">
        <v>0</v>
      </c>
      <c r="AM77" s="6">
        <v>0</v>
      </c>
      <c r="AN77" s="6">
        <v>0</v>
      </c>
      <c r="AO77" s="6">
        <v>0</v>
      </c>
      <c r="AP77" s="6">
        <v>5.8693072959682047</v>
      </c>
      <c r="AQ77" s="6">
        <v>0</v>
      </c>
      <c r="AR77" s="6">
        <v>15.651486122581879</v>
      </c>
      <c r="AS77" s="6">
        <v>0</v>
      </c>
      <c r="AT77" s="28">
        <v>253.74971876235873</v>
      </c>
      <c r="AV77" s="20">
        <v>1.3890580690383227</v>
      </c>
      <c r="AW77" s="20">
        <v>1.3890580690383227</v>
      </c>
    </row>
    <row r="78" spans="2:49" outlineLevel="1">
      <c r="B78" t="s">
        <v>23</v>
      </c>
      <c r="C78" s="73" t="s">
        <v>151</v>
      </c>
      <c r="D78" s="6">
        <v>0</v>
      </c>
      <c r="E78" s="6">
        <v>0</v>
      </c>
      <c r="F78" s="6">
        <v>0</v>
      </c>
      <c r="G78" s="6">
        <v>0</v>
      </c>
      <c r="H78" s="6">
        <v>0</v>
      </c>
      <c r="I78" s="6">
        <v>0</v>
      </c>
      <c r="J78" s="6">
        <v>0</v>
      </c>
      <c r="K78" s="6">
        <v>0</v>
      </c>
      <c r="L78" s="6">
        <v>9.7821788266136736</v>
      </c>
      <c r="M78" s="6">
        <v>0</v>
      </c>
      <c r="N78" s="6">
        <v>0</v>
      </c>
      <c r="O78" s="6">
        <v>0</v>
      </c>
      <c r="P78" s="6">
        <v>0</v>
      </c>
      <c r="Q78" s="6">
        <v>0</v>
      </c>
      <c r="R78" s="6">
        <v>0</v>
      </c>
      <c r="S78" s="6">
        <v>0</v>
      </c>
      <c r="T78" s="6">
        <v>0</v>
      </c>
      <c r="U78" s="6">
        <v>3.9128715306454698</v>
      </c>
      <c r="V78" s="6">
        <v>0</v>
      </c>
      <c r="W78" s="6">
        <v>0</v>
      </c>
      <c r="X78" s="6">
        <v>0</v>
      </c>
      <c r="Y78" s="6">
        <v>0</v>
      </c>
      <c r="Z78" s="6">
        <v>0</v>
      </c>
      <c r="AA78" s="6">
        <v>0</v>
      </c>
      <c r="AB78" s="6">
        <v>0</v>
      </c>
      <c r="AC78" s="6">
        <v>0</v>
      </c>
      <c r="AD78" s="6">
        <v>33.259408010486496</v>
      </c>
      <c r="AE78" s="6">
        <v>5.8693072959682047</v>
      </c>
      <c r="AF78" s="6">
        <v>0</v>
      </c>
      <c r="AG78" s="6">
        <v>0</v>
      </c>
      <c r="AH78" s="6">
        <v>0</v>
      </c>
      <c r="AI78" s="6">
        <v>0</v>
      </c>
      <c r="AJ78" s="6">
        <v>0</v>
      </c>
      <c r="AK78" s="6">
        <v>0</v>
      </c>
      <c r="AL78" s="6">
        <v>0</v>
      </c>
      <c r="AM78" s="6">
        <v>0</v>
      </c>
      <c r="AN78" s="6">
        <v>0</v>
      </c>
      <c r="AO78" s="6">
        <v>0</v>
      </c>
      <c r="AP78" s="6">
        <v>0</v>
      </c>
      <c r="AQ78" s="6">
        <v>0</v>
      </c>
      <c r="AR78" s="6">
        <v>0</v>
      </c>
      <c r="AS78" s="6">
        <v>0</v>
      </c>
      <c r="AT78" s="28">
        <v>52.823765663713843</v>
      </c>
      <c r="AV78" s="20">
        <v>1.4816619403075444</v>
      </c>
      <c r="AW78" s="20">
        <v>1.4816619403075444</v>
      </c>
    </row>
    <row r="79" spans="2:49" ht="15" outlineLevel="1" thickBot="1">
      <c r="B79" t="s">
        <v>23</v>
      </c>
      <c r="C79" s="74" t="s">
        <v>8</v>
      </c>
      <c r="D79" s="6">
        <v>0</v>
      </c>
      <c r="E79" s="6">
        <v>0</v>
      </c>
      <c r="F79" s="6">
        <v>0</v>
      </c>
      <c r="G79" s="6">
        <v>0</v>
      </c>
      <c r="H79" s="6">
        <v>0</v>
      </c>
      <c r="I79" s="6">
        <v>0</v>
      </c>
      <c r="J79" s="6">
        <v>0</v>
      </c>
      <c r="K79" s="6">
        <v>0</v>
      </c>
      <c r="L79" s="6">
        <v>0</v>
      </c>
      <c r="M79" s="6">
        <v>0</v>
      </c>
      <c r="N79" s="6">
        <v>0</v>
      </c>
      <c r="O79" s="6">
        <v>50.867329898391105</v>
      </c>
      <c r="P79" s="6">
        <v>0</v>
      </c>
      <c r="Q79" s="6">
        <v>0</v>
      </c>
      <c r="R79" s="6">
        <v>0</v>
      </c>
      <c r="S79" s="6">
        <v>0</v>
      </c>
      <c r="T79" s="6">
        <v>0</v>
      </c>
      <c r="U79" s="6">
        <v>9.7821788266136736</v>
      </c>
      <c r="V79" s="6">
        <v>7.8257430612909396</v>
      </c>
      <c r="W79" s="6">
        <v>0</v>
      </c>
      <c r="X79" s="6">
        <v>0</v>
      </c>
      <c r="Y79" s="6">
        <v>0</v>
      </c>
      <c r="Z79" s="6">
        <v>0</v>
      </c>
      <c r="AA79" s="6">
        <v>0</v>
      </c>
      <c r="AB79" s="6">
        <v>0</v>
      </c>
      <c r="AC79" s="6">
        <v>26.085810204303129</v>
      </c>
      <c r="AD79" s="6">
        <v>26.085810204303129</v>
      </c>
      <c r="AE79" s="6">
        <v>26.085810204303129</v>
      </c>
      <c r="AF79" s="6">
        <v>23.477229183872819</v>
      </c>
      <c r="AG79" s="6">
        <v>0</v>
      </c>
      <c r="AH79" s="6">
        <v>0</v>
      </c>
      <c r="AI79" s="6">
        <v>0</v>
      </c>
      <c r="AJ79" s="6">
        <v>0</v>
      </c>
      <c r="AK79" s="6">
        <v>0</v>
      </c>
      <c r="AL79" s="6">
        <v>0</v>
      </c>
      <c r="AM79" s="6">
        <v>0</v>
      </c>
      <c r="AN79" s="6">
        <v>0</v>
      </c>
      <c r="AO79" s="6">
        <v>0</v>
      </c>
      <c r="AP79" s="6">
        <v>0</v>
      </c>
      <c r="AQ79" s="6">
        <v>0</v>
      </c>
      <c r="AR79" s="6">
        <v>0</v>
      </c>
      <c r="AS79" s="6">
        <v>0</v>
      </c>
      <c r="AT79" s="28">
        <v>170.20991158307791</v>
      </c>
      <c r="AV79" s="20">
        <v>0</v>
      </c>
      <c r="AW79" s="20">
        <v>0</v>
      </c>
    </row>
    <row r="80" spans="2:49" outlineLevel="1">
      <c r="B80" t="s">
        <v>25</v>
      </c>
      <c r="C80" s="72" t="s">
        <v>150</v>
      </c>
      <c r="D80" s="6">
        <v>0</v>
      </c>
      <c r="E80" s="6">
        <v>0</v>
      </c>
      <c r="F80" s="6">
        <v>11.738614591936409</v>
      </c>
      <c r="G80" s="6">
        <v>0</v>
      </c>
      <c r="H80" s="6">
        <v>0</v>
      </c>
      <c r="I80" s="6">
        <v>0</v>
      </c>
      <c r="J80" s="6">
        <v>0</v>
      </c>
      <c r="K80" s="6">
        <v>4.1085151071777428</v>
      </c>
      <c r="L80" s="6">
        <v>0</v>
      </c>
      <c r="M80" s="6">
        <v>0</v>
      </c>
      <c r="N80" s="6">
        <v>0</v>
      </c>
      <c r="O80" s="6">
        <v>17.607921887904613</v>
      </c>
      <c r="P80" s="6">
        <v>0</v>
      </c>
      <c r="Q80" s="6">
        <v>0</v>
      </c>
      <c r="R80" s="6">
        <v>0</v>
      </c>
      <c r="S80" s="6">
        <v>0</v>
      </c>
      <c r="T80" s="6">
        <v>0</v>
      </c>
      <c r="U80" s="6">
        <v>15.651486122581879</v>
      </c>
      <c r="V80" s="6">
        <v>0</v>
      </c>
      <c r="W80" s="6">
        <v>13.695050357259143</v>
      </c>
      <c r="X80" s="6">
        <v>0</v>
      </c>
      <c r="Y80" s="6">
        <v>0</v>
      </c>
      <c r="Z80" s="6">
        <v>0</v>
      </c>
      <c r="AA80" s="6">
        <v>0</v>
      </c>
      <c r="AB80" s="6">
        <v>0</v>
      </c>
      <c r="AC80" s="6">
        <v>33.259408010486496</v>
      </c>
      <c r="AD80" s="6">
        <v>0</v>
      </c>
      <c r="AE80" s="6">
        <v>0</v>
      </c>
      <c r="AF80" s="6">
        <v>0</v>
      </c>
      <c r="AG80" s="6">
        <v>0</v>
      </c>
      <c r="AH80" s="6">
        <v>0</v>
      </c>
      <c r="AI80" s="6">
        <v>0</v>
      </c>
      <c r="AJ80" s="6">
        <v>0</v>
      </c>
      <c r="AK80" s="6">
        <v>0</v>
      </c>
      <c r="AL80" s="6">
        <v>0</v>
      </c>
      <c r="AM80" s="6">
        <v>0</v>
      </c>
      <c r="AN80" s="6">
        <v>0</v>
      </c>
      <c r="AO80" s="6">
        <v>0</v>
      </c>
      <c r="AP80" s="6">
        <v>0</v>
      </c>
      <c r="AQ80" s="6">
        <v>0</v>
      </c>
      <c r="AR80" s="6">
        <v>10.173465979678221</v>
      </c>
      <c r="AS80" s="6">
        <v>50</v>
      </c>
      <c r="AT80" s="28">
        <v>156.23446205702453</v>
      </c>
      <c r="AV80" s="20">
        <v>9.6011457449589646</v>
      </c>
      <c r="AW80" s="20">
        <v>9.6011457449589646</v>
      </c>
    </row>
    <row r="81" spans="1:52" ht="15" outlineLevel="1" thickBot="1">
      <c r="B81" t="s">
        <v>25</v>
      </c>
      <c r="C81" s="74" t="s">
        <v>144</v>
      </c>
      <c r="D81" s="6">
        <v>0</v>
      </c>
      <c r="E81" s="6">
        <v>811.24</v>
      </c>
      <c r="F81" s="6">
        <v>71.018618281215282</v>
      </c>
      <c r="G81" s="6">
        <v>0</v>
      </c>
      <c r="H81" s="6">
        <v>0</v>
      </c>
      <c r="I81" s="6">
        <v>0</v>
      </c>
      <c r="J81" s="6">
        <v>0</v>
      </c>
      <c r="K81" s="6">
        <v>0</v>
      </c>
      <c r="L81" s="6">
        <v>0</v>
      </c>
      <c r="M81" s="6">
        <v>0</v>
      </c>
      <c r="N81" s="6">
        <v>0</v>
      </c>
      <c r="O81" s="6">
        <v>0</v>
      </c>
      <c r="P81" s="6">
        <v>0</v>
      </c>
      <c r="Q81" s="6">
        <v>0</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6">
        <v>0</v>
      </c>
      <c r="AM81" s="6">
        <v>0</v>
      </c>
      <c r="AN81" s="6">
        <v>0</v>
      </c>
      <c r="AO81" s="6">
        <v>0</v>
      </c>
      <c r="AP81" s="6">
        <v>0</v>
      </c>
      <c r="AQ81" s="6">
        <v>0</v>
      </c>
      <c r="AR81" s="6">
        <v>0</v>
      </c>
      <c r="AS81" s="6">
        <v>0</v>
      </c>
      <c r="AT81" s="28">
        <v>882.25861828121526</v>
      </c>
      <c r="AV81" s="20">
        <v>38.214285714285715</v>
      </c>
      <c r="AW81" s="20">
        <v>38.214285714285715</v>
      </c>
    </row>
    <row r="82" spans="1:52" outlineLevel="1">
      <c r="B82" t="s">
        <v>24</v>
      </c>
      <c r="C82" s="72" t="s">
        <v>145</v>
      </c>
      <c r="D82" s="6">
        <v>0</v>
      </c>
      <c r="E82" s="6">
        <v>0</v>
      </c>
      <c r="F82" s="6">
        <v>3.9128715306454698</v>
      </c>
      <c r="G82" s="6">
        <v>25.433664949195553</v>
      </c>
      <c r="H82" s="6">
        <v>0</v>
      </c>
      <c r="I82" s="6">
        <v>3.3259408010486493</v>
      </c>
      <c r="J82" s="6">
        <v>3.9128715306454698</v>
      </c>
      <c r="K82" s="6">
        <v>0</v>
      </c>
      <c r="L82" s="6">
        <v>0</v>
      </c>
      <c r="M82" s="6">
        <v>0</v>
      </c>
      <c r="N82" s="6">
        <v>0</v>
      </c>
      <c r="O82" s="6">
        <v>0</v>
      </c>
      <c r="P82" s="6">
        <v>0</v>
      </c>
      <c r="Q82" s="6">
        <v>0</v>
      </c>
      <c r="R82" s="6">
        <v>0</v>
      </c>
      <c r="S82" s="6">
        <v>0</v>
      </c>
      <c r="T82" s="6">
        <v>0</v>
      </c>
      <c r="U82" s="6">
        <v>0</v>
      </c>
      <c r="V82" s="6">
        <v>0</v>
      </c>
      <c r="W82" s="6">
        <v>0</v>
      </c>
      <c r="X82" s="6">
        <v>0</v>
      </c>
      <c r="Y82" s="6">
        <v>0</v>
      </c>
      <c r="Z82" s="6">
        <v>0</v>
      </c>
      <c r="AA82" s="6">
        <v>0</v>
      </c>
      <c r="AB82" s="6">
        <v>0</v>
      </c>
      <c r="AC82" s="6">
        <v>0</v>
      </c>
      <c r="AD82" s="6">
        <v>0</v>
      </c>
      <c r="AE82" s="6">
        <v>0</v>
      </c>
      <c r="AF82" s="6">
        <v>0</v>
      </c>
      <c r="AG82" s="6">
        <v>0</v>
      </c>
      <c r="AH82" s="6">
        <v>0</v>
      </c>
      <c r="AI82" s="6">
        <v>0</v>
      </c>
      <c r="AJ82" s="6">
        <v>0</v>
      </c>
      <c r="AK82" s="6">
        <v>0</v>
      </c>
      <c r="AL82" s="6">
        <v>0</v>
      </c>
      <c r="AM82" s="6">
        <v>0</v>
      </c>
      <c r="AN82" s="6">
        <v>0</v>
      </c>
      <c r="AO82" s="6">
        <v>37.56356669419651</v>
      </c>
      <c r="AP82" s="6">
        <v>0</v>
      </c>
      <c r="AQ82" s="6">
        <v>91.169906664039445</v>
      </c>
      <c r="AR82" s="6">
        <v>11.738614591936409</v>
      </c>
      <c r="AS82" s="6">
        <v>0</v>
      </c>
      <c r="AT82" s="28">
        <v>177.05743676170749</v>
      </c>
      <c r="AV82" s="20">
        <v>6.8341656996685485</v>
      </c>
      <c r="AW82" s="20">
        <v>6.8341656996685485</v>
      </c>
    </row>
    <row r="83" spans="1:52" outlineLevel="2">
      <c r="B83" t="s">
        <v>24</v>
      </c>
      <c r="C83" s="73" t="s">
        <v>206</v>
      </c>
      <c r="D83" s="6">
        <v>0</v>
      </c>
      <c r="E83" s="6">
        <v>0</v>
      </c>
      <c r="F83" s="6">
        <v>0</v>
      </c>
      <c r="G83" s="6">
        <v>0</v>
      </c>
      <c r="H83" s="6">
        <v>16.825347581775521</v>
      </c>
      <c r="I83" s="6">
        <v>0</v>
      </c>
      <c r="J83" s="6">
        <v>0</v>
      </c>
      <c r="K83" s="6">
        <v>0</v>
      </c>
      <c r="L83" s="6">
        <v>15.651486122581879</v>
      </c>
      <c r="M83" s="6">
        <v>0</v>
      </c>
      <c r="N83" s="6">
        <v>0</v>
      </c>
      <c r="O83" s="6">
        <v>5.8693072959682047</v>
      </c>
      <c r="P83" s="6">
        <v>0</v>
      </c>
      <c r="Q83" s="6">
        <v>0</v>
      </c>
      <c r="R83" s="6">
        <v>0</v>
      </c>
      <c r="S83" s="6">
        <v>0</v>
      </c>
      <c r="T83" s="6">
        <v>0</v>
      </c>
      <c r="U83" s="6">
        <v>0</v>
      </c>
      <c r="V83" s="6">
        <v>0</v>
      </c>
      <c r="W83" s="6">
        <v>0</v>
      </c>
      <c r="X83" s="6">
        <v>0</v>
      </c>
      <c r="Y83" s="6">
        <v>0</v>
      </c>
      <c r="Z83" s="6">
        <v>0</v>
      </c>
      <c r="AA83" s="6">
        <v>0</v>
      </c>
      <c r="AB83" s="6">
        <v>3.9128715306454698</v>
      </c>
      <c r="AC83" s="6">
        <v>0</v>
      </c>
      <c r="AD83" s="6">
        <v>0</v>
      </c>
      <c r="AE83" s="6">
        <v>0</v>
      </c>
      <c r="AF83" s="6">
        <v>0</v>
      </c>
      <c r="AG83" s="6">
        <v>0</v>
      </c>
      <c r="AH83" s="6">
        <v>0</v>
      </c>
      <c r="AI83" s="6">
        <v>0</v>
      </c>
      <c r="AJ83" s="6">
        <v>0</v>
      </c>
      <c r="AK83" s="6">
        <v>0</v>
      </c>
      <c r="AL83" s="6">
        <v>0</v>
      </c>
      <c r="AM83" s="6">
        <v>0</v>
      </c>
      <c r="AN83" s="6">
        <v>27.390100714518287</v>
      </c>
      <c r="AO83" s="6">
        <v>27.390100714518287</v>
      </c>
      <c r="AP83" s="6">
        <v>0</v>
      </c>
      <c r="AQ83" s="6">
        <v>43.824161143229261</v>
      </c>
      <c r="AR83" s="6">
        <v>46.954458367745637</v>
      </c>
      <c r="AS83" s="6">
        <v>0</v>
      </c>
      <c r="AT83" s="28">
        <v>187.81783347098255</v>
      </c>
      <c r="AV83" s="20">
        <v>5.8247835028340331</v>
      </c>
      <c r="AW83" s="20">
        <v>5.8247835028340331</v>
      </c>
    </row>
    <row r="84" spans="1:52" ht="15" outlineLevel="1" thickBot="1">
      <c r="B84" t="s">
        <v>24</v>
      </c>
      <c r="C84" s="74" t="s">
        <v>136</v>
      </c>
      <c r="D84" s="6"/>
      <c r="E84" s="6">
        <v>125</v>
      </c>
      <c r="F84" s="6">
        <v>0</v>
      </c>
      <c r="G84" s="6">
        <v>0</v>
      </c>
      <c r="H84" s="6">
        <v>0</v>
      </c>
      <c r="I84" s="6">
        <v>0</v>
      </c>
      <c r="J84" s="6">
        <v>0</v>
      </c>
      <c r="K84" s="6">
        <v>0</v>
      </c>
      <c r="L84" s="6">
        <v>0</v>
      </c>
      <c r="M84" s="6">
        <v>0</v>
      </c>
      <c r="N84" s="6">
        <v>0</v>
      </c>
      <c r="O84" s="6">
        <v>0</v>
      </c>
      <c r="P84" s="6">
        <v>0</v>
      </c>
      <c r="Q84" s="6">
        <v>0</v>
      </c>
      <c r="R84" s="6">
        <v>0</v>
      </c>
      <c r="S84" s="6">
        <v>0</v>
      </c>
      <c r="T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9.7821788266136736</v>
      </c>
      <c r="AP84" s="6">
        <v>0</v>
      </c>
      <c r="AQ84" s="6">
        <v>14.673268239920512</v>
      </c>
      <c r="AR84" s="6">
        <v>119.9686411295901</v>
      </c>
      <c r="AS84" s="6">
        <v>0</v>
      </c>
      <c r="AT84" s="28">
        <v>269.42408819612427</v>
      </c>
      <c r="AU84" s="16">
        <v>0</v>
      </c>
    </row>
    <row r="85" spans="1:52" outlineLevel="1">
      <c r="C85" s="9" t="s">
        <v>14</v>
      </c>
      <c r="D85" s="28">
        <v>0</v>
      </c>
      <c r="E85" s="28">
        <v>936.24</v>
      </c>
      <c r="F85" s="28">
        <v>149.38623535642765</v>
      </c>
      <c r="G85" s="28">
        <v>62.755259667936947</v>
      </c>
      <c r="H85" s="28">
        <v>53.246981848468451</v>
      </c>
      <c r="I85" s="28">
        <v>52.112249104581274</v>
      </c>
      <c r="J85" s="28">
        <v>31.569673568692551</v>
      </c>
      <c r="K85" s="28">
        <v>42.330070277967593</v>
      </c>
      <c r="L85" s="28">
        <v>71.676606757808628</v>
      </c>
      <c r="M85" s="28">
        <v>39.59106020651577</v>
      </c>
      <c r="N85" s="28">
        <v>49.177595456597167</v>
      </c>
      <c r="O85" s="28">
        <v>131.93482832974885</v>
      </c>
      <c r="P85" s="28">
        <v>47.025516114742153</v>
      </c>
      <c r="Q85" s="28">
        <v>55.24254632909765</v>
      </c>
      <c r="R85" s="28">
        <v>27.06987130845026</v>
      </c>
      <c r="S85" s="28">
        <v>30.278425963579551</v>
      </c>
      <c r="T85" s="28">
        <v>28.635019920708451</v>
      </c>
      <c r="U85" s="28">
        <v>74.806903982324997</v>
      </c>
      <c r="V85" s="28">
        <v>57.394625670952649</v>
      </c>
      <c r="W85" s="28">
        <v>57.19898209442038</v>
      </c>
      <c r="X85" s="28">
        <v>67.3724480740986</v>
      </c>
      <c r="Y85" s="28">
        <v>25.504722696192076</v>
      </c>
      <c r="Z85" s="28">
        <v>53.677397716839451</v>
      </c>
      <c r="AA85" s="28">
        <v>28.830663497240721</v>
      </c>
      <c r="AB85" s="28">
        <v>38.417198747322125</v>
      </c>
      <c r="AC85" s="28">
        <v>266.28979378701212</v>
      </c>
      <c r="AD85" s="28">
        <v>126.91330986542049</v>
      </c>
      <c r="AE85" s="28">
        <v>88.449782719175516</v>
      </c>
      <c r="AF85" s="28">
        <v>79.893636972164103</v>
      </c>
      <c r="AG85" s="28">
        <v>53.090466987242635</v>
      </c>
      <c r="AH85" s="28">
        <v>107.87066841627923</v>
      </c>
      <c r="AI85" s="28">
        <v>41.743139548370777</v>
      </c>
      <c r="AJ85" s="28">
        <v>32.156604298289373</v>
      </c>
      <c r="AK85" s="28">
        <v>41.938783124903054</v>
      </c>
      <c r="AL85" s="28">
        <v>21.98313831861115</v>
      </c>
      <c r="AM85" s="28">
        <v>50.507971777016635</v>
      </c>
      <c r="AN85" s="28">
        <v>81.067498431357734</v>
      </c>
      <c r="AO85" s="28">
        <v>118.04413439595743</v>
      </c>
      <c r="AP85" s="28">
        <v>56.416407788291288</v>
      </c>
      <c r="AQ85" s="28">
        <v>188.47582194757587</v>
      </c>
      <c r="AR85" s="28">
        <v>275.57634221974405</v>
      </c>
      <c r="AS85" s="28">
        <v>50</v>
      </c>
      <c r="AT85" s="28">
        <v>3891.892383288126</v>
      </c>
      <c r="AU85" s="13"/>
      <c r="AV85" s="20">
        <v>156.11770375879112</v>
      </c>
      <c r="AW85" s="20">
        <v>125.26445526485062</v>
      </c>
    </row>
    <row r="86" spans="1:52" outlineLevel="1">
      <c r="D86" s="2">
        <v>0</v>
      </c>
      <c r="E86" s="6">
        <v>936.24</v>
      </c>
      <c r="F86" s="6">
        <v>149.38623535642765</v>
      </c>
      <c r="G86" s="6">
        <v>62.755259667936947</v>
      </c>
      <c r="H86" s="6">
        <v>53.246981848468458</v>
      </c>
      <c r="I86" s="6">
        <v>52.112249104581274</v>
      </c>
      <c r="J86" s="6">
        <v>31.569673568692554</v>
      </c>
      <c r="K86" s="6">
        <v>42.330070277967593</v>
      </c>
      <c r="L86" s="6">
        <v>71.676606757808614</v>
      </c>
      <c r="M86" s="6">
        <v>39.59106020651577</v>
      </c>
      <c r="N86" s="6">
        <v>49.177595456597167</v>
      </c>
      <c r="O86" s="6">
        <v>131.93482832974885</v>
      </c>
      <c r="P86" s="6">
        <v>47.02551611474216</v>
      </c>
      <c r="Q86" s="6">
        <v>55.24254632909765</v>
      </c>
      <c r="R86" s="6">
        <v>27.069871308450264</v>
      </c>
      <c r="S86" s="6">
        <v>30.278425963579551</v>
      </c>
      <c r="T86" s="6">
        <v>28.635019920708451</v>
      </c>
      <c r="U86" s="6">
        <v>74.806903982324997</v>
      </c>
      <c r="V86" s="6">
        <v>57.394625670952657</v>
      </c>
      <c r="W86" s="6">
        <v>57.19898209442038</v>
      </c>
      <c r="X86" s="6">
        <v>67.3724480740986</v>
      </c>
      <c r="Y86" s="6">
        <v>25.504722696192076</v>
      </c>
      <c r="Z86" s="6">
        <v>53.677397716839458</v>
      </c>
      <c r="AA86" s="6">
        <v>28.830663497240725</v>
      </c>
      <c r="AB86" s="6">
        <v>38.417198747322125</v>
      </c>
      <c r="AC86" s="6">
        <v>266.28979378701212</v>
      </c>
      <c r="AD86" s="6">
        <v>126.9133098654205</v>
      </c>
      <c r="AE86" s="6">
        <v>88.449782719175531</v>
      </c>
      <c r="AF86" s="6">
        <v>79.893636972164103</v>
      </c>
      <c r="AG86" s="6">
        <v>53.090466987242635</v>
      </c>
      <c r="AH86" s="6">
        <v>107.8706684162792</v>
      </c>
      <c r="AI86" s="6">
        <v>41.743139548370777</v>
      </c>
      <c r="AJ86" s="6">
        <v>32.156604298289373</v>
      </c>
      <c r="AK86" s="6">
        <v>41.938783124903047</v>
      </c>
      <c r="AL86" s="6">
        <v>21.983138318611154</v>
      </c>
      <c r="AM86" s="6">
        <v>50.507971777016628</v>
      </c>
      <c r="AN86" s="6">
        <v>81.067498431357734</v>
      </c>
      <c r="AO86" s="6">
        <v>118.04413439595743</v>
      </c>
      <c r="AP86" s="6">
        <v>56.416407788291288</v>
      </c>
      <c r="AQ86" s="6">
        <v>188.47582194757589</v>
      </c>
      <c r="AR86" s="6">
        <v>275.57634221974405</v>
      </c>
      <c r="AS86" s="6">
        <v>50</v>
      </c>
    </row>
    <row r="87" spans="1:52">
      <c r="A87" s="9" t="s">
        <v>97</v>
      </c>
      <c r="D87" s="2"/>
    </row>
    <row r="88" spans="1:52">
      <c r="A88" s="9"/>
      <c r="D88" s="2"/>
    </row>
    <row r="89" spans="1:52" outlineLevel="1">
      <c r="D89" s="2"/>
      <c r="E89" s="2" t="s">
        <v>89</v>
      </c>
      <c r="F89" s="2" t="s">
        <v>90</v>
      </c>
      <c r="G89" s="2" t="s">
        <v>84</v>
      </c>
      <c r="H89" s="2" t="s">
        <v>85</v>
      </c>
      <c r="I89" s="2" t="s">
        <v>86</v>
      </c>
      <c r="J89" s="2" t="s">
        <v>87</v>
      </c>
      <c r="K89" s="2" t="s">
        <v>88</v>
      </c>
      <c r="L89" s="2" t="s">
        <v>89</v>
      </c>
      <c r="M89" s="2" t="s">
        <v>90</v>
      </c>
      <c r="N89" s="2" t="s">
        <v>84</v>
      </c>
      <c r="O89" s="2" t="s">
        <v>85</v>
      </c>
      <c r="P89" s="2" t="s">
        <v>86</v>
      </c>
      <c r="Q89" s="2" t="s">
        <v>87</v>
      </c>
      <c r="R89" s="2" t="s">
        <v>88</v>
      </c>
      <c r="S89" s="2" t="s">
        <v>89</v>
      </c>
      <c r="T89" s="2" t="s">
        <v>90</v>
      </c>
      <c r="U89" s="2" t="s">
        <v>84</v>
      </c>
      <c r="V89" s="2" t="s">
        <v>85</v>
      </c>
      <c r="W89" s="2" t="s">
        <v>86</v>
      </c>
      <c r="X89" s="2" t="s">
        <v>87</v>
      </c>
      <c r="Y89" s="2" t="s">
        <v>88</v>
      </c>
      <c r="Z89" s="2" t="s">
        <v>89</v>
      </c>
      <c r="AA89" s="2" t="s">
        <v>90</v>
      </c>
      <c r="AB89" s="2" t="s">
        <v>84</v>
      </c>
      <c r="AC89" s="2" t="s">
        <v>85</v>
      </c>
      <c r="AD89" s="2" t="s">
        <v>86</v>
      </c>
      <c r="AE89" s="2" t="s">
        <v>87</v>
      </c>
      <c r="AF89" s="2" t="s">
        <v>88</v>
      </c>
      <c r="AG89" s="2" t="s">
        <v>89</v>
      </c>
      <c r="AH89" s="2" t="s">
        <v>90</v>
      </c>
      <c r="AI89" s="2" t="s">
        <v>84</v>
      </c>
      <c r="AJ89" s="2" t="s">
        <v>85</v>
      </c>
      <c r="AK89" s="2" t="s">
        <v>86</v>
      </c>
      <c r="AL89" s="2" t="s">
        <v>87</v>
      </c>
      <c r="AM89" s="2" t="s">
        <v>88</v>
      </c>
      <c r="AN89" s="2" t="s">
        <v>89</v>
      </c>
      <c r="AO89" s="2" t="s">
        <v>90</v>
      </c>
      <c r="AP89" s="2" t="s">
        <v>84</v>
      </c>
      <c r="AQ89" s="2" t="s">
        <v>85</v>
      </c>
      <c r="AR89" s="2" t="s">
        <v>86</v>
      </c>
      <c r="AS89" s="2" t="s">
        <v>87</v>
      </c>
      <c r="AV89" t="s">
        <v>79</v>
      </c>
    </row>
    <row r="90" spans="1:52" ht="23.4" outlineLevel="1">
      <c r="E90" s="39">
        <v>43764</v>
      </c>
      <c r="F90" s="39">
        <v>43765</v>
      </c>
      <c r="G90" s="39">
        <v>43766</v>
      </c>
      <c r="H90" s="39">
        <v>43767</v>
      </c>
      <c r="I90" s="39">
        <v>43768</v>
      </c>
      <c r="J90" s="39">
        <v>43769</v>
      </c>
      <c r="K90" s="39">
        <v>43770</v>
      </c>
      <c r="L90" s="39">
        <v>43771</v>
      </c>
      <c r="M90" s="39">
        <v>43772</v>
      </c>
      <c r="N90" s="39">
        <v>43773</v>
      </c>
      <c r="O90" s="39">
        <v>43774</v>
      </c>
      <c r="P90" s="39">
        <v>43775</v>
      </c>
      <c r="Q90" s="39">
        <v>43776</v>
      </c>
      <c r="R90" s="39">
        <v>43777</v>
      </c>
      <c r="S90" s="39">
        <v>43778</v>
      </c>
      <c r="T90" s="39">
        <v>43779</v>
      </c>
      <c r="U90" s="39">
        <v>43780</v>
      </c>
      <c r="V90" s="39">
        <v>43781</v>
      </c>
      <c r="W90" s="39">
        <v>43782</v>
      </c>
      <c r="X90" s="39">
        <v>43783</v>
      </c>
      <c r="Y90" s="39">
        <v>43784</v>
      </c>
      <c r="Z90" s="39">
        <v>43785</v>
      </c>
      <c r="AA90" s="39">
        <v>43786</v>
      </c>
      <c r="AB90" s="39">
        <v>43787</v>
      </c>
      <c r="AC90" s="39">
        <v>43788</v>
      </c>
      <c r="AD90" s="39">
        <v>43789</v>
      </c>
      <c r="AE90" s="39">
        <v>43790</v>
      </c>
      <c r="AF90" s="39">
        <v>43791</v>
      </c>
      <c r="AG90" s="39">
        <v>43792</v>
      </c>
      <c r="AH90" s="39">
        <v>43793</v>
      </c>
      <c r="AI90" s="39">
        <v>43794</v>
      </c>
      <c r="AJ90" s="39">
        <v>43795</v>
      </c>
      <c r="AK90" s="39">
        <v>43796</v>
      </c>
      <c r="AL90" s="39">
        <v>43797</v>
      </c>
      <c r="AM90" s="39">
        <v>43798</v>
      </c>
      <c r="AN90" s="39">
        <v>43799</v>
      </c>
      <c r="AO90" s="39">
        <v>43800</v>
      </c>
      <c r="AP90" s="39">
        <v>43801</v>
      </c>
      <c r="AQ90" s="39">
        <v>43802</v>
      </c>
      <c r="AR90" s="39">
        <v>43803</v>
      </c>
      <c r="AS90" s="39">
        <v>43804</v>
      </c>
      <c r="AV90" s="40">
        <v>39</v>
      </c>
    </row>
    <row r="91" spans="1:52" outlineLevel="1">
      <c r="D91" s="6"/>
      <c r="E91" s="2" t="s">
        <v>207</v>
      </c>
      <c r="F91" s="2" t="s">
        <v>52</v>
      </c>
      <c r="G91" s="2" t="s">
        <v>52</v>
      </c>
      <c r="H91" s="2" t="s">
        <v>52</v>
      </c>
      <c r="I91" s="2" t="s">
        <v>52</v>
      </c>
      <c r="J91" s="2" t="s">
        <v>52</v>
      </c>
      <c r="K91" s="2" t="s">
        <v>52</v>
      </c>
      <c r="L91" s="2" t="s">
        <v>52</v>
      </c>
      <c r="M91" s="2" t="s">
        <v>52</v>
      </c>
      <c r="N91" s="2" t="s">
        <v>52</v>
      </c>
      <c r="O91" s="2" t="s">
        <v>236</v>
      </c>
      <c r="P91" s="2" t="s">
        <v>52</v>
      </c>
      <c r="Q91" s="2" t="s">
        <v>52</v>
      </c>
      <c r="R91" s="2" t="s">
        <v>52</v>
      </c>
      <c r="S91" s="2" t="s">
        <v>52</v>
      </c>
      <c r="T91" s="2" t="s">
        <v>52</v>
      </c>
      <c r="U91" s="2" t="s">
        <v>237</v>
      </c>
      <c r="V91" s="2" t="s">
        <v>238</v>
      </c>
      <c r="W91" s="2" t="s">
        <v>53</v>
      </c>
      <c r="X91" s="2" t="s">
        <v>52</v>
      </c>
      <c r="Y91" s="2" t="s">
        <v>52</v>
      </c>
      <c r="Z91" s="2" t="s">
        <v>52</v>
      </c>
      <c r="AA91" s="2" t="s">
        <v>243</v>
      </c>
      <c r="AB91" s="2" t="s">
        <v>52</v>
      </c>
      <c r="AC91" s="2" t="s">
        <v>242</v>
      </c>
      <c r="AD91" s="2" t="s">
        <v>20</v>
      </c>
      <c r="AE91" s="2" t="s">
        <v>20</v>
      </c>
      <c r="AF91" s="2" t="s">
        <v>52</v>
      </c>
      <c r="AG91" s="2" t="s">
        <v>52</v>
      </c>
      <c r="AH91" s="2" t="s">
        <v>52</v>
      </c>
      <c r="AI91" s="2">
        <v>0</v>
      </c>
      <c r="AJ91" s="2">
        <v>0</v>
      </c>
      <c r="AK91" s="2">
        <v>0</v>
      </c>
      <c r="AL91" s="2" t="s">
        <v>246</v>
      </c>
      <c r="AM91" s="2">
        <v>0</v>
      </c>
      <c r="AN91" s="2">
        <v>0</v>
      </c>
      <c r="AO91" s="2">
        <v>0</v>
      </c>
      <c r="AP91" s="2">
        <v>0</v>
      </c>
      <c r="AQ91" s="2">
        <v>0</v>
      </c>
      <c r="AR91" s="2">
        <v>0</v>
      </c>
      <c r="AS91" s="2">
        <v>0</v>
      </c>
      <c r="AT91" s="6"/>
      <c r="AZ91" s="4"/>
    </row>
    <row r="92" spans="1:52" outlineLevel="1">
      <c r="D92" s="2"/>
      <c r="E92" s="2">
        <v>0</v>
      </c>
      <c r="F92" s="2">
        <v>1</v>
      </c>
      <c r="G92" s="2">
        <v>2</v>
      </c>
      <c r="H92" s="2">
        <v>3</v>
      </c>
      <c r="I92" s="2">
        <v>4</v>
      </c>
      <c r="J92" s="2">
        <v>5</v>
      </c>
      <c r="K92" s="2">
        <v>6</v>
      </c>
      <c r="L92" s="2">
        <v>7</v>
      </c>
      <c r="M92" s="2">
        <v>8</v>
      </c>
      <c r="N92" s="2">
        <v>9</v>
      </c>
      <c r="O92" s="2">
        <v>10</v>
      </c>
      <c r="P92" s="2">
        <v>11</v>
      </c>
      <c r="Q92" s="2">
        <v>12</v>
      </c>
      <c r="R92" s="2">
        <v>13</v>
      </c>
      <c r="S92" s="2">
        <v>14</v>
      </c>
      <c r="T92" s="2">
        <v>15</v>
      </c>
      <c r="U92" s="2">
        <v>16</v>
      </c>
      <c r="V92" s="2">
        <v>17</v>
      </c>
      <c r="W92" s="2">
        <v>18</v>
      </c>
      <c r="X92" s="2">
        <v>19</v>
      </c>
      <c r="Y92" s="2">
        <v>20</v>
      </c>
      <c r="Z92" s="2">
        <v>21</v>
      </c>
      <c r="AA92" s="2">
        <v>22</v>
      </c>
      <c r="AB92" s="2">
        <v>23</v>
      </c>
      <c r="AC92" s="2">
        <v>24</v>
      </c>
      <c r="AD92" s="2">
        <v>25</v>
      </c>
      <c r="AE92" s="2">
        <v>26</v>
      </c>
      <c r="AF92" s="2">
        <v>27</v>
      </c>
      <c r="AG92" s="2">
        <v>28</v>
      </c>
      <c r="AH92" s="2">
        <v>29</v>
      </c>
      <c r="AI92" s="2">
        <v>30</v>
      </c>
      <c r="AJ92" s="2">
        <v>31</v>
      </c>
      <c r="AK92" s="2">
        <v>32</v>
      </c>
      <c r="AL92" s="2">
        <v>33</v>
      </c>
      <c r="AM92" s="2">
        <v>34</v>
      </c>
      <c r="AN92" s="2">
        <v>35</v>
      </c>
      <c r="AO92" s="2">
        <v>36</v>
      </c>
      <c r="AP92" s="2">
        <v>37</v>
      </c>
      <c r="AQ92" s="2">
        <v>38</v>
      </c>
      <c r="AR92" s="2">
        <v>39</v>
      </c>
      <c r="AS92" s="2">
        <v>40</v>
      </c>
      <c r="AT92" s="6"/>
      <c r="AV92" s="20"/>
      <c r="AZ92" s="4"/>
    </row>
    <row r="93" spans="1:52" outlineLevel="1">
      <c r="C93" t="s">
        <v>21</v>
      </c>
      <c r="D93" s="6">
        <v>0</v>
      </c>
      <c r="E93" s="6">
        <v>0</v>
      </c>
      <c r="F93" s="6">
        <v>56.846823656662281</v>
      </c>
      <c r="G93" s="6">
        <v>37.321594718741395</v>
      </c>
      <c r="H93" s="6">
        <v>36.421634266692934</v>
      </c>
      <c r="I93" s="6">
        <v>48.786308303532621</v>
      </c>
      <c r="J93" s="6">
        <v>27.656802038047083</v>
      </c>
      <c r="K93" s="6">
        <v>38.221555170789848</v>
      </c>
      <c r="L93" s="6">
        <v>46.242941808613068</v>
      </c>
      <c r="M93" s="6">
        <v>39.59106020651577</v>
      </c>
      <c r="N93" s="6">
        <v>49.177595456597167</v>
      </c>
      <c r="O93" s="6">
        <v>35.678188675870288</v>
      </c>
      <c r="P93" s="6">
        <v>47.025516114742153</v>
      </c>
      <c r="Q93" s="6">
        <v>55.24254632909765</v>
      </c>
      <c r="R93" s="6">
        <v>27.06987130845026</v>
      </c>
      <c r="S93" s="6">
        <v>30.278425963579551</v>
      </c>
      <c r="T93" s="6">
        <v>28.635019920708451</v>
      </c>
      <c r="U93" s="6">
        <v>35.678188675870295</v>
      </c>
      <c r="V93" s="6">
        <v>39.78670378304804</v>
      </c>
      <c r="W93" s="6">
        <v>33.721752910547565</v>
      </c>
      <c r="X93" s="6">
        <v>67.3724480740986</v>
      </c>
      <c r="Y93" s="6">
        <v>25.504722696192076</v>
      </c>
      <c r="Z93" s="6">
        <v>53.677397716839451</v>
      </c>
      <c r="AA93" s="6">
        <v>28.830663497240721</v>
      </c>
      <c r="AB93" s="6">
        <v>34.504327216676657</v>
      </c>
      <c r="AC93" s="6">
        <v>46.516842815758253</v>
      </c>
      <c r="AD93" s="6">
        <v>61.698784354662664</v>
      </c>
      <c r="AE93" s="6">
        <v>47.690704274951884</v>
      </c>
      <c r="AF93" s="6">
        <v>56.416407788291288</v>
      </c>
      <c r="AG93" s="6">
        <v>53.090466987242635</v>
      </c>
      <c r="AH93" s="6">
        <v>107.87066841627923</v>
      </c>
      <c r="AI93" s="6">
        <v>41.743139548370777</v>
      </c>
      <c r="AJ93" s="6">
        <v>32.156604298289373</v>
      </c>
      <c r="AK93" s="6">
        <v>41.938783124903054</v>
      </c>
      <c r="AL93" s="6">
        <v>21.98313831861115</v>
      </c>
      <c r="AM93" s="6">
        <v>50.507971777016635</v>
      </c>
      <c r="AN93" s="6">
        <v>53.677397716839444</v>
      </c>
      <c r="AO93" s="6">
        <v>43.308288160628962</v>
      </c>
      <c r="AP93" s="6">
        <v>50.547100492323082</v>
      </c>
      <c r="AQ93" s="6">
        <v>38.808485900386671</v>
      </c>
      <c r="AR93" s="6">
        <v>71.089676028211798</v>
      </c>
      <c r="AS93" s="6">
        <v>0</v>
      </c>
      <c r="AT93" s="28">
        <v>1742.3165485119207</v>
      </c>
      <c r="AV93" s="20">
        <v>44.674783295177455</v>
      </c>
      <c r="AX93" s="35">
        <v>37.04638988851692</v>
      </c>
    </row>
    <row r="94" spans="1:52" outlineLevel="1">
      <c r="C94" t="s">
        <v>23</v>
      </c>
      <c r="D94" s="6">
        <v>0</v>
      </c>
      <c r="E94" s="6">
        <v>0</v>
      </c>
      <c r="F94" s="6">
        <v>5.8693072959682047</v>
      </c>
      <c r="G94" s="6">
        <v>0</v>
      </c>
      <c r="H94" s="6">
        <v>0</v>
      </c>
      <c r="I94" s="6">
        <v>0</v>
      </c>
      <c r="J94" s="6">
        <v>0</v>
      </c>
      <c r="K94" s="6">
        <v>0</v>
      </c>
      <c r="L94" s="6">
        <v>9.7821788266136736</v>
      </c>
      <c r="M94" s="6">
        <v>0</v>
      </c>
      <c r="N94" s="6">
        <v>0</v>
      </c>
      <c r="O94" s="6">
        <v>72.779410470005729</v>
      </c>
      <c r="P94" s="6">
        <v>0</v>
      </c>
      <c r="Q94" s="6">
        <v>0</v>
      </c>
      <c r="R94" s="6">
        <v>0</v>
      </c>
      <c r="S94" s="6">
        <v>0</v>
      </c>
      <c r="T94" s="6">
        <v>0</v>
      </c>
      <c r="U94" s="6">
        <v>23.477229183872815</v>
      </c>
      <c r="V94" s="6">
        <v>17.607921887904613</v>
      </c>
      <c r="W94" s="6">
        <v>9.7821788266136736</v>
      </c>
      <c r="X94" s="6">
        <v>0</v>
      </c>
      <c r="Y94" s="6">
        <v>0</v>
      </c>
      <c r="Z94" s="6">
        <v>0</v>
      </c>
      <c r="AA94" s="6">
        <v>0</v>
      </c>
      <c r="AB94" s="6">
        <v>0</v>
      </c>
      <c r="AC94" s="6">
        <v>186.51354296076738</v>
      </c>
      <c r="AD94" s="6">
        <v>65.214525510757824</v>
      </c>
      <c r="AE94" s="6">
        <v>40.75907844422364</v>
      </c>
      <c r="AF94" s="6">
        <v>23.477229183872819</v>
      </c>
      <c r="AG94" s="6">
        <v>0</v>
      </c>
      <c r="AH94" s="6">
        <v>0</v>
      </c>
      <c r="AI94" s="6">
        <v>0</v>
      </c>
      <c r="AJ94" s="6">
        <v>0</v>
      </c>
      <c r="AK94" s="6">
        <v>0</v>
      </c>
      <c r="AL94" s="6">
        <v>0</v>
      </c>
      <c r="AM94" s="6">
        <v>0</v>
      </c>
      <c r="AN94" s="6">
        <v>0</v>
      </c>
      <c r="AO94" s="6">
        <v>0</v>
      </c>
      <c r="AP94" s="6">
        <v>5.8693072959682047</v>
      </c>
      <c r="AQ94" s="6">
        <v>0</v>
      </c>
      <c r="AR94" s="6">
        <v>15.651486122581879</v>
      </c>
      <c r="AS94" s="6">
        <v>0</v>
      </c>
      <c r="AT94" s="28">
        <v>476.78339600915047</v>
      </c>
      <c r="AV94" s="20">
        <v>12.225215282285909</v>
      </c>
      <c r="AX94" s="36">
        <v>18.462925835440188</v>
      </c>
    </row>
    <row r="95" spans="1:52" outlineLevel="1">
      <c r="C95" t="s">
        <v>25</v>
      </c>
      <c r="D95" s="6">
        <v>0</v>
      </c>
      <c r="E95" s="6">
        <v>811.24</v>
      </c>
      <c r="F95" s="6">
        <v>82.757232873151693</v>
      </c>
      <c r="G95" s="6">
        <v>0</v>
      </c>
      <c r="H95" s="6">
        <v>0</v>
      </c>
      <c r="I95" s="6">
        <v>0</v>
      </c>
      <c r="J95" s="6">
        <v>0</v>
      </c>
      <c r="K95" s="6">
        <v>4.1085151071777428</v>
      </c>
      <c r="L95" s="6">
        <v>0</v>
      </c>
      <c r="M95" s="6">
        <v>0</v>
      </c>
      <c r="N95" s="6">
        <v>0</v>
      </c>
      <c r="O95" s="6">
        <v>17.607921887904613</v>
      </c>
      <c r="P95" s="6">
        <v>0</v>
      </c>
      <c r="Q95" s="6">
        <v>0</v>
      </c>
      <c r="R95" s="6">
        <v>0</v>
      </c>
      <c r="S95" s="6">
        <v>0</v>
      </c>
      <c r="T95" s="6">
        <v>0</v>
      </c>
      <c r="U95" s="6">
        <v>15.651486122581879</v>
      </c>
      <c r="V95" s="6">
        <v>0</v>
      </c>
      <c r="W95" s="6">
        <v>13.695050357259143</v>
      </c>
      <c r="X95" s="6">
        <v>0</v>
      </c>
      <c r="Y95" s="6">
        <v>0</v>
      </c>
      <c r="Z95" s="6">
        <v>0</v>
      </c>
      <c r="AA95" s="6">
        <v>0</v>
      </c>
      <c r="AB95" s="6">
        <v>0</v>
      </c>
      <c r="AC95" s="6">
        <v>33.259408010486496</v>
      </c>
      <c r="AD95" s="6">
        <v>0</v>
      </c>
      <c r="AE95" s="6">
        <v>0</v>
      </c>
      <c r="AF95" s="6">
        <v>0</v>
      </c>
      <c r="AG95" s="6">
        <v>0</v>
      </c>
      <c r="AH95" s="6">
        <v>0</v>
      </c>
      <c r="AI95" s="6">
        <v>0</v>
      </c>
      <c r="AJ95" s="6">
        <v>0</v>
      </c>
      <c r="AK95" s="6">
        <v>0</v>
      </c>
      <c r="AL95" s="6">
        <v>0</v>
      </c>
      <c r="AM95" s="6">
        <v>0</v>
      </c>
      <c r="AN95" s="6">
        <v>0</v>
      </c>
      <c r="AO95" s="6">
        <v>0</v>
      </c>
      <c r="AP95" s="6">
        <v>0</v>
      </c>
      <c r="AQ95" s="6">
        <v>0</v>
      </c>
      <c r="AR95" s="6">
        <v>10.173465979678221</v>
      </c>
      <c r="AS95" s="6">
        <v>50</v>
      </c>
      <c r="AT95" s="28">
        <v>1038.4930803382397</v>
      </c>
      <c r="AV95" s="20">
        <v>26.628027700980503</v>
      </c>
      <c r="AX95" s="36">
        <v>13.896351597941235</v>
      </c>
    </row>
    <row r="96" spans="1:52" outlineLevel="2">
      <c r="C96" t="s">
        <v>26</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6">
        <v>0</v>
      </c>
      <c r="AM96" s="6">
        <v>0</v>
      </c>
      <c r="AN96" s="6">
        <v>0</v>
      </c>
      <c r="AO96" s="6">
        <v>0</v>
      </c>
      <c r="AP96" s="6">
        <v>0</v>
      </c>
      <c r="AQ96" s="6">
        <v>0</v>
      </c>
      <c r="AR96" s="6">
        <v>0</v>
      </c>
      <c r="AS96" s="6">
        <v>0</v>
      </c>
      <c r="AT96" s="28">
        <v>0</v>
      </c>
      <c r="AV96" s="20">
        <v>0</v>
      </c>
      <c r="AX96" s="36">
        <v>10.994583105790259</v>
      </c>
    </row>
    <row r="97" spans="1:61" outlineLevel="1">
      <c r="C97" t="s">
        <v>24</v>
      </c>
      <c r="D97" s="6">
        <v>0</v>
      </c>
      <c r="E97" s="6">
        <v>125</v>
      </c>
      <c r="F97" s="6">
        <v>3.9128715306454698</v>
      </c>
      <c r="G97" s="6">
        <v>25.433664949195553</v>
      </c>
      <c r="H97" s="6">
        <v>16.825347581775521</v>
      </c>
      <c r="I97" s="6">
        <v>3.3259408010486493</v>
      </c>
      <c r="J97" s="6">
        <v>3.9128715306454698</v>
      </c>
      <c r="K97" s="6">
        <v>0</v>
      </c>
      <c r="L97" s="6">
        <v>15.651486122581879</v>
      </c>
      <c r="M97" s="6">
        <v>0</v>
      </c>
      <c r="N97" s="6">
        <v>0</v>
      </c>
      <c r="O97" s="6">
        <v>5.8693072959682047</v>
      </c>
      <c r="P97" s="6">
        <v>0</v>
      </c>
      <c r="Q97" s="6">
        <v>0</v>
      </c>
      <c r="R97" s="6">
        <v>0</v>
      </c>
      <c r="S97" s="6">
        <v>0</v>
      </c>
      <c r="T97" s="6">
        <v>0</v>
      </c>
      <c r="U97" s="6">
        <v>0</v>
      </c>
      <c r="V97" s="6">
        <v>0</v>
      </c>
      <c r="W97" s="6">
        <v>0</v>
      </c>
      <c r="X97" s="6">
        <v>0</v>
      </c>
      <c r="Y97" s="6">
        <v>0</v>
      </c>
      <c r="Z97" s="6">
        <v>0</v>
      </c>
      <c r="AA97" s="6">
        <v>0</v>
      </c>
      <c r="AB97" s="6">
        <v>3.9128715306454698</v>
      </c>
      <c r="AC97" s="6">
        <v>0</v>
      </c>
      <c r="AD97" s="6">
        <v>0</v>
      </c>
      <c r="AE97" s="6">
        <v>0</v>
      </c>
      <c r="AF97" s="6">
        <v>0</v>
      </c>
      <c r="AG97" s="6">
        <v>0</v>
      </c>
      <c r="AH97" s="6">
        <v>0</v>
      </c>
      <c r="AI97" s="6">
        <v>0</v>
      </c>
      <c r="AJ97" s="6">
        <v>0</v>
      </c>
      <c r="AK97" s="6">
        <v>0</v>
      </c>
      <c r="AL97" s="6">
        <v>0</v>
      </c>
      <c r="AM97" s="6">
        <v>0</v>
      </c>
      <c r="AN97" s="6">
        <v>27.390100714518287</v>
      </c>
      <c r="AO97" s="6">
        <v>74.735846235328466</v>
      </c>
      <c r="AP97" s="6">
        <v>0</v>
      </c>
      <c r="AQ97" s="6">
        <v>149.66733604718922</v>
      </c>
      <c r="AR97" s="6">
        <v>178.66171408927215</v>
      </c>
      <c r="AS97" s="6">
        <v>0</v>
      </c>
      <c r="AT97" s="28">
        <v>634.29935842881446</v>
      </c>
      <c r="AV97" s="20">
        <v>16.264086113559344</v>
      </c>
      <c r="AX97" s="36">
        <v>21.242819255221089</v>
      </c>
    </row>
    <row r="98" spans="1:61" outlineLevel="1">
      <c r="C98" s="9" t="s">
        <v>14</v>
      </c>
      <c r="D98" s="28">
        <v>0</v>
      </c>
      <c r="E98" s="28">
        <v>936.24</v>
      </c>
      <c r="F98" s="28">
        <v>149.38623535642765</v>
      </c>
      <c r="G98" s="28">
        <v>62.755259667936947</v>
      </c>
      <c r="H98" s="28">
        <v>53.246981848468451</v>
      </c>
      <c r="I98" s="28">
        <v>52.112249104581274</v>
      </c>
      <c r="J98" s="28">
        <v>31.569673568692551</v>
      </c>
      <c r="K98" s="28">
        <v>42.330070277967593</v>
      </c>
      <c r="L98" s="28">
        <v>71.676606757808628</v>
      </c>
      <c r="M98" s="28">
        <v>39.59106020651577</v>
      </c>
      <c r="N98" s="28">
        <v>49.177595456597167</v>
      </c>
      <c r="O98" s="28">
        <v>131.93482832974883</v>
      </c>
      <c r="P98" s="28">
        <v>47.025516114742153</v>
      </c>
      <c r="Q98" s="28">
        <v>55.24254632909765</v>
      </c>
      <c r="R98" s="28">
        <v>27.06987130845026</v>
      </c>
      <c r="S98" s="28">
        <v>30.278425963579551</v>
      </c>
      <c r="T98" s="28">
        <v>28.635019920708451</v>
      </c>
      <c r="U98" s="28">
        <v>74.806903982324997</v>
      </c>
      <c r="V98" s="28">
        <v>57.394625670952649</v>
      </c>
      <c r="W98" s="28">
        <v>57.19898209442038</v>
      </c>
      <c r="X98" s="28">
        <v>67.3724480740986</v>
      </c>
      <c r="Y98" s="28">
        <v>25.504722696192076</v>
      </c>
      <c r="Z98" s="28">
        <v>53.677397716839451</v>
      </c>
      <c r="AA98" s="28">
        <v>28.830663497240721</v>
      </c>
      <c r="AB98" s="28">
        <v>38.417198747322125</v>
      </c>
      <c r="AC98" s="28">
        <v>266.28979378701212</v>
      </c>
      <c r="AD98" s="28">
        <v>126.91330986542049</v>
      </c>
      <c r="AE98" s="28">
        <v>88.449782719175516</v>
      </c>
      <c r="AF98" s="28">
        <v>79.893636972164103</v>
      </c>
      <c r="AG98" s="28">
        <v>53.090466987242635</v>
      </c>
      <c r="AH98" s="28">
        <v>107.87066841627923</v>
      </c>
      <c r="AI98" s="28">
        <v>41.743139548370777</v>
      </c>
      <c r="AJ98" s="28">
        <v>32.156604298289373</v>
      </c>
      <c r="AK98" s="28">
        <v>41.938783124903054</v>
      </c>
      <c r="AL98" s="28">
        <v>21.98313831861115</v>
      </c>
      <c r="AM98" s="28">
        <v>50.507971777016635</v>
      </c>
      <c r="AN98" s="28">
        <v>81.067498431357734</v>
      </c>
      <c r="AO98" s="28">
        <v>118.04413439595743</v>
      </c>
      <c r="AP98" s="28">
        <v>56.416407788291288</v>
      </c>
      <c r="AQ98" s="28">
        <v>188.47582194757589</v>
      </c>
      <c r="AR98" s="28">
        <v>275.57634221974405</v>
      </c>
      <c r="AS98" s="28">
        <v>50</v>
      </c>
      <c r="AT98" s="28">
        <v>3891.892383288126</v>
      </c>
      <c r="AV98" s="20">
        <v>99.792112392003233</v>
      </c>
      <c r="AX98" s="36">
        <v>101.6430696829097</v>
      </c>
    </row>
    <row r="99" spans="1:61" outlineLevel="1">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28">
        <v>0</v>
      </c>
      <c r="AX99" s="43"/>
    </row>
    <row r="100" spans="1:61" outlineLevel="1">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28">
        <v>0</v>
      </c>
      <c r="AX100" s="43"/>
    </row>
    <row r="101" spans="1:61" outlineLevel="1">
      <c r="C101" t="s">
        <v>61</v>
      </c>
      <c r="D101" s="6">
        <v>0</v>
      </c>
      <c r="E101" s="6">
        <v>811.24</v>
      </c>
      <c r="F101" s="6">
        <v>145.47336382578217</v>
      </c>
      <c r="G101" s="6">
        <v>37.321594718741395</v>
      </c>
      <c r="H101" s="6">
        <v>36.421634266692934</v>
      </c>
      <c r="I101" s="6">
        <v>48.786308303532621</v>
      </c>
      <c r="J101" s="6">
        <v>27.656802038047083</v>
      </c>
      <c r="K101" s="6">
        <v>42.330070277967593</v>
      </c>
      <c r="L101" s="6">
        <v>56.025120635226742</v>
      </c>
      <c r="M101" s="6">
        <v>39.59106020651577</v>
      </c>
      <c r="N101" s="6">
        <v>49.177595456597167</v>
      </c>
      <c r="O101" s="6">
        <v>126.06552103378063</v>
      </c>
      <c r="P101" s="6">
        <v>47.025516114742153</v>
      </c>
      <c r="Q101" s="6">
        <v>55.24254632909765</v>
      </c>
      <c r="R101" s="6">
        <v>27.06987130845026</v>
      </c>
      <c r="S101" s="6">
        <v>30.278425963579551</v>
      </c>
      <c r="T101" s="6">
        <v>28.635019920708451</v>
      </c>
      <c r="U101" s="6">
        <v>74.806903982324997</v>
      </c>
      <c r="V101" s="6">
        <v>57.394625670952649</v>
      </c>
      <c r="W101" s="6">
        <v>57.19898209442038</v>
      </c>
      <c r="X101" s="6">
        <v>67.3724480740986</v>
      </c>
      <c r="Y101" s="6">
        <v>25.504722696192076</v>
      </c>
      <c r="Z101" s="6">
        <v>53.677397716839451</v>
      </c>
      <c r="AA101" s="6">
        <v>28.830663497240721</v>
      </c>
      <c r="AB101" s="6">
        <v>34.504327216676657</v>
      </c>
      <c r="AC101" s="6">
        <v>266.28979378701212</v>
      </c>
      <c r="AD101" s="6">
        <v>126.91330986542049</v>
      </c>
      <c r="AE101" s="6">
        <v>88.449782719175516</v>
      </c>
      <c r="AF101" s="6">
        <v>79.893636972164103</v>
      </c>
      <c r="AG101" s="6">
        <v>53.090466987242635</v>
      </c>
      <c r="AH101" s="6">
        <v>107.87066841627923</v>
      </c>
      <c r="AI101" s="6">
        <v>41.743139548370777</v>
      </c>
      <c r="AJ101" s="6">
        <v>32.156604298289373</v>
      </c>
      <c r="AK101" s="6">
        <v>41.938783124903054</v>
      </c>
      <c r="AL101" s="6">
        <v>21.98313831861115</v>
      </c>
      <c r="AM101" s="6">
        <v>50.507971777016635</v>
      </c>
      <c r="AN101" s="6">
        <v>53.677397716839444</v>
      </c>
      <c r="AO101" s="6">
        <v>43.308288160628962</v>
      </c>
      <c r="AP101" s="6">
        <v>56.416407788291288</v>
      </c>
      <c r="AQ101" s="6">
        <v>38.808485900386671</v>
      </c>
      <c r="AR101" s="6">
        <v>96.914628130471911</v>
      </c>
      <c r="AS101" s="6">
        <v>50</v>
      </c>
      <c r="AT101" s="28">
        <v>3257.5930248593122</v>
      </c>
      <c r="AV101" s="20">
        <v>83.528026278443903</v>
      </c>
      <c r="AX101" s="37">
        <v>80.400250427688604</v>
      </c>
    </row>
    <row r="102" spans="1:61" outlineLevel="1">
      <c r="C102" t="s">
        <v>24</v>
      </c>
      <c r="D102" s="6">
        <v>0</v>
      </c>
      <c r="E102" s="6">
        <v>125</v>
      </c>
      <c r="F102" s="6">
        <v>3.9128715306454698</v>
      </c>
      <c r="G102" s="6">
        <v>25.433664949195553</v>
      </c>
      <c r="H102" s="6">
        <v>16.825347581775521</v>
      </c>
      <c r="I102" s="6">
        <v>3.3259408010486493</v>
      </c>
      <c r="J102" s="6">
        <v>3.9128715306454698</v>
      </c>
      <c r="K102" s="6">
        <v>0</v>
      </c>
      <c r="L102" s="6">
        <v>15.651486122581879</v>
      </c>
      <c r="M102" s="6">
        <v>0</v>
      </c>
      <c r="N102" s="6">
        <v>0</v>
      </c>
      <c r="O102" s="6">
        <v>5.8693072959682047</v>
      </c>
      <c r="P102" s="6">
        <v>0</v>
      </c>
      <c r="Q102" s="6">
        <v>0</v>
      </c>
      <c r="R102" s="6">
        <v>0</v>
      </c>
      <c r="S102" s="6">
        <v>0</v>
      </c>
      <c r="T102" s="6">
        <v>0</v>
      </c>
      <c r="U102" s="6">
        <v>0</v>
      </c>
      <c r="V102" s="6">
        <v>0</v>
      </c>
      <c r="W102" s="6">
        <v>0</v>
      </c>
      <c r="X102" s="6">
        <v>0</v>
      </c>
      <c r="Y102" s="6">
        <v>0</v>
      </c>
      <c r="Z102" s="6">
        <v>0</v>
      </c>
      <c r="AA102" s="6">
        <v>0</v>
      </c>
      <c r="AB102" s="6">
        <v>3.9128715306454698</v>
      </c>
      <c r="AC102" s="6">
        <v>0</v>
      </c>
      <c r="AD102" s="6">
        <v>0</v>
      </c>
      <c r="AE102" s="6">
        <v>0</v>
      </c>
      <c r="AF102" s="6">
        <v>0</v>
      </c>
      <c r="AG102" s="6">
        <v>0</v>
      </c>
      <c r="AH102" s="6">
        <v>0</v>
      </c>
      <c r="AI102" s="6">
        <v>0</v>
      </c>
      <c r="AJ102" s="6">
        <v>0</v>
      </c>
      <c r="AK102" s="6">
        <v>0</v>
      </c>
      <c r="AL102" s="6">
        <v>0</v>
      </c>
      <c r="AM102" s="6">
        <v>0</v>
      </c>
      <c r="AN102" s="6">
        <v>27.390100714518287</v>
      </c>
      <c r="AO102" s="6">
        <v>74.735846235328466</v>
      </c>
      <c r="AP102" s="6">
        <v>0</v>
      </c>
      <c r="AQ102" s="6">
        <v>149.66733604718922</v>
      </c>
      <c r="AR102" s="6">
        <v>178.66171408927215</v>
      </c>
      <c r="AS102" s="6">
        <v>0</v>
      </c>
      <c r="AT102" s="28">
        <v>634.29935842881446</v>
      </c>
      <c r="AV102" s="20">
        <v>16.264086113559344</v>
      </c>
      <c r="AX102" s="37">
        <v>21.242819255221089</v>
      </c>
    </row>
    <row r="103" spans="1:61" outlineLevel="1">
      <c r="D103" s="28">
        <v>0</v>
      </c>
      <c r="E103" s="28">
        <v>936.24</v>
      </c>
      <c r="F103" s="28">
        <v>149.38623535642765</v>
      </c>
      <c r="G103" s="28">
        <v>62.755259667936947</v>
      </c>
      <c r="H103" s="28">
        <v>53.246981848468451</v>
      </c>
      <c r="I103" s="28">
        <v>52.112249104581274</v>
      </c>
      <c r="J103" s="28">
        <v>31.569673568692551</v>
      </c>
      <c r="K103" s="28">
        <v>42.330070277967593</v>
      </c>
      <c r="L103" s="28">
        <v>71.676606757808628</v>
      </c>
      <c r="M103" s="28">
        <v>39.59106020651577</v>
      </c>
      <c r="N103" s="28">
        <v>49.177595456597167</v>
      </c>
      <c r="O103" s="28">
        <v>131.93482832974883</v>
      </c>
      <c r="P103" s="28">
        <v>47.025516114742153</v>
      </c>
      <c r="Q103" s="28">
        <v>55.24254632909765</v>
      </c>
      <c r="R103" s="28">
        <v>27.06987130845026</v>
      </c>
      <c r="S103" s="28">
        <v>30.278425963579551</v>
      </c>
      <c r="T103" s="28">
        <v>28.635019920708451</v>
      </c>
      <c r="U103" s="28">
        <v>74.806903982324997</v>
      </c>
      <c r="V103" s="28">
        <v>57.394625670952649</v>
      </c>
      <c r="W103" s="28">
        <v>57.19898209442038</v>
      </c>
      <c r="X103" s="28">
        <v>67.3724480740986</v>
      </c>
      <c r="Y103" s="28">
        <v>25.504722696192076</v>
      </c>
      <c r="Z103" s="28">
        <v>53.677397716839451</v>
      </c>
      <c r="AA103" s="28">
        <v>28.830663497240721</v>
      </c>
      <c r="AB103" s="28">
        <v>38.417198747322125</v>
      </c>
      <c r="AC103" s="28">
        <v>266.28979378701212</v>
      </c>
      <c r="AD103" s="28">
        <v>126.91330986542049</v>
      </c>
      <c r="AE103" s="28">
        <v>88.449782719175516</v>
      </c>
      <c r="AF103" s="28">
        <v>79.893636972164103</v>
      </c>
      <c r="AG103" s="28">
        <v>53.090466987242635</v>
      </c>
      <c r="AH103" s="28">
        <v>107.87066841627923</v>
      </c>
      <c r="AI103" s="28">
        <v>41.743139548370777</v>
      </c>
      <c r="AJ103" s="28">
        <v>32.156604298289373</v>
      </c>
      <c r="AK103" s="28">
        <v>41.938783124903054</v>
      </c>
      <c r="AL103" s="28">
        <v>21.98313831861115</v>
      </c>
      <c r="AM103" s="28">
        <v>50.507971777016635</v>
      </c>
      <c r="AN103" s="28">
        <v>81.067498431357734</v>
      </c>
      <c r="AO103" s="28">
        <v>118.04413439595743</v>
      </c>
      <c r="AP103" s="28">
        <v>56.416407788291288</v>
      </c>
      <c r="AQ103" s="28">
        <v>188.47582194757589</v>
      </c>
      <c r="AR103" s="28">
        <v>275.57634221974405</v>
      </c>
      <c r="AS103" s="28">
        <v>50</v>
      </c>
      <c r="AT103" s="28">
        <v>3891.892383288126</v>
      </c>
      <c r="AV103" s="20">
        <v>99.792112392003233</v>
      </c>
      <c r="AX103" s="38">
        <v>101.6430696829097</v>
      </c>
    </row>
    <row r="104" spans="1:61">
      <c r="A104" s="9" t="s">
        <v>98</v>
      </c>
    </row>
    <row r="105" spans="1:61">
      <c r="E105" s="6">
        <v>936.24</v>
      </c>
      <c r="F105" s="6">
        <v>130.92468141539743</v>
      </c>
      <c r="G105" s="6">
        <v>44.293705726906722</v>
      </c>
      <c r="H105" s="6">
        <v>34.785427907438219</v>
      </c>
      <c r="I105" s="6">
        <v>33.650695163551049</v>
      </c>
      <c r="J105" s="6">
        <v>13.108119627662322</v>
      </c>
      <c r="K105" s="6">
        <v>23.868516336937365</v>
      </c>
      <c r="L105" s="6">
        <v>53.215052816778396</v>
      </c>
      <c r="M105" s="6">
        <v>21.129506265485542</v>
      </c>
      <c r="N105" s="6">
        <v>30.716041515566939</v>
      </c>
      <c r="O105" s="6">
        <v>113.47327438871859</v>
      </c>
      <c r="P105" s="6">
        <v>28.563962173711925</v>
      </c>
      <c r="Q105" s="6">
        <v>36.780992388067418</v>
      </c>
      <c r="R105" s="6">
        <v>8.6083173674200317</v>
      </c>
      <c r="S105" s="6">
        <v>11.816872022549322</v>
      </c>
      <c r="T105" s="6">
        <v>10.173465979678223</v>
      </c>
      <c r="U105" s="6">
        <v>56.345350041294765</v>
      </c>
      <c r="V105" s="6">
        <v>38.933071729922418</v>
      </c>
      <c r="W105" s="6">
        <v>38.737428153390155</v>
      </c>
      <c r="X105" s="6">
        <v>48.910894133068368</v>
      </c>
      <c r="Y105" s="6">
        <v>7.0431687551618474</v>
      </c>
      <c r="Z105" s="6">
        <v>35.215843775809219</v>
      </c>
      <c r="AA105" s="6">
        <v>10.369109556210493</v>
      </c>
      <c r="AB105" s="6">
        <v>19.955644806291897</v>
      </c>
      <c r="AC105" s="6">
        <v>247.8282398459819</v>
      </c>
      <c r="AD105" s="6">
        <v>108.45175592439026</v>
      </c>
      <c r="AE105" s="6">
        <v>69.988228778145285</v>
      </c>
      <c r="AF105" s="6">
        <v>61.432083031133871</v>
      </c>
      <c r="AG105" s="6">
        <v>34.628913046212404</v>
      </c>
      <c r="AH105" s="6">
        <v>89.409114475248998</v>
      </c>
      <c r="AI105" s="6">
        <v>23.281585607340549</v>
      </c>
      <c r="AJ105" s="6">
        <v>13.695050357259145</v>
      </c>
      <c r="AK105" s="6">
        <v>23.477229183872826</v>
      </c>
      <c r="AL105" s="6">
        <v>3.5215843775809219</v>
      </c>
      <c r="AM105" s="6">
        <v>32.046417835986404</v>
      </c>
      <c r="AN105" s="6">
        <v>62.605944490327502</v>
      </c>
      <c r="AO105" s="6">
        <v>99.582580454927196</v>
      </c>
      <c r="AP105" s="6">
        <v>37.954853847261063</v>
      </c>
      <c r="AQ105" s="6">
        <v>170.01426800654568</v>
      </c>
      <c r="AR105" s="6">
        <v>257.11478827871383</v>
      </c>
      <c r="AS105" s="6">
        <v>50</v>
      </c>
      <c r="AT105" s="28">
        <v>0</v>
      </c>
    </row>
    <row r="106" spans="1:61" ht="115.2" outlineLevel="1">
      <c r="D106" s="18"/>
      <c r="E106" s="17"/>
      <c r="F106" s="17"/>
      <c r="G106" s="33" t="s">
        <v>74</v>
      </c>
      <c r="H106" s="17" t="s">
        <v>78</v>
      </c>
      <c r="I106" s="17"/>
      <c r="J106" s="17"/>
      <c r="K106" s="17"/>
      <c r="M106" s="17"/>
      <c r="N106" s="17" t="s">
        <v>81</v>
      </c>
      <c r="O106" s="17"/>
      <c r="P106" s="17" t="s">
        <v>93</v>
      </c>
      <c r="Q106" s="17" t="s">
        <v>92</v>
      </c>
      <c r="R106" s="17" t="s">
        <v>91</v>
      </c>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3"/>
      <c r="AU106" s="18"/>
    </row>
    <row r="107" spans="1:61">
      <c r="A107" s="9" t="s">
        <v>95</v>
      </c>
    </row>
    <row r="108" spans="1:61">
      <c r="BI108" s="18"/>
    </row>
    <row r="109" spans="1:61" ht="15" thickBot="1">
      <c r="E109" s="2" t="s">
        <v>207</v>
      </c>
      <c r="F109" s="2" t="s">
        <v>52</v>
      </c>
      <c r="G109" s="2" t="s">
        <v>52</v>
      </c>
      <c r="H109" s="2" t="s">
        <v>52</v>
      </c>
      <c r="I109" s="2" t="s">
        <v>52</v>
      </c>
      <c r="J109" s="2" t="s">
        <v>52</v>
      </c>
      <c r="K109" s="2" t="s">
        <v>52</v>
      </c>
      <c r="L109" s="2" t="s">
        <v>52</v>
      </c>
      <c r="M109" s="2" t="s">
        <v>52</v>
      </c>
      <c r="N109" s="2" t="s">
        <v>52</v>
      </c>
      <c r="O109" s="2" t="s">
        <v>236</v>
      </c>
      <c r="P109" s="2" t="s">
        <v>52</v>
      </c>
      <c r="Q109" s="2" t="s">
        <v>52</v>
      </c>
      <c r="R109" s="2" t="s">
        <v>52</v>
      </c>
      <c r="S109" s="2" t="s">
        <v>52</v>
      </c>
      <c r="T109" s="2" t="s">
        <v>52</v>
      </c>
      <c r="U109" s="2" t="s">
        <v>237</v>
      </c>
      <c r="V109" s="2" t="s">
        <v>238</v>
      </c>
      <c r="W109" s="2" t="s">
        <v>53</v>
      </c>
      <c r="X109" s="2" t="s">
        <v>52</v>
      </c>
      <c r="Y109" s="2" t="s">
        <v>52</v>
      </c>
      <c r="Z109" s="2" t="s">
        <v>52</v>
      </c>
      <c r="AA109" s="2" t="s">
        <v>243</v>
      </c>
      <c r="AB109" s="2" t="s">
        <v>52</v>
      </c>
      <c r="AC109" s="2" t="s">
        <v>242</v>
      </c>
      <c r="AD109" s="2" t="s">
        <v>20</v>
      </c>
      <c r="AE109" s="2" t="s">
        <v>20</v>
      </c>
      <c r="AF109" s="2" t="s">
        <v>52</v>
      </c>
      <c r="AG109" s="2" t="s">
        <v>52</v>
      </c>
      <c r="AH109" s="2" t="s">
        <v>52</v>
      </c>
      <c r="AI109" s="2" t="s">
        <v>52</v>
      </c>
      <c r="AJ109" s="2" t="s">
        <v>52</v>
      </c>
      <c r="AK109" s="2" t="s">
        <v>52</v>
      </c>
      <c r="AL109" s="2" t="s">
        <v>52</v>
      </c>
      <c r="AM109" s="2" t="s">
        <v>52</v>
      </c>
      <c r="AN109" s="2" t="s">
        <v>52</v>
      </c>
      <c r="AO109" s="2" t="s">
        <v>52</v>
      </c>
      <c r="AP109" s="2" t="s">
        <v>52</v>
      </c>
      <c r="AQ109" s="2" t="s">
        <v>52</v>
      </c>
      <c r="AR109" s="2" t="s">
        <v>52</v>
      </c>
      <c r="AS109" s="2" t="s">
        <v>52</v>
      </c>
    </row>
    <row r="110" spans="1:61" s="18" customFormat="1" ht="54" customHeight="1" thickBot="1">
      <c r="A110" s="18" t="s">
        <v>8</v>
      </c>
      <c r="E110" s="17"/>
      <c r="F110" s="17"/>
      <c r="G110" s="17"/>
      <c r="H110" s="17"/>
      <c r="I110" s="17"/>
      <c r="J110" s="17"/>
      <c r="K110" s="17"/>
      <c r="L110" s="17"/>
      <c r="M110" s="17"/>
      <c r="N110" s="17"/>
      <c r="O110" s="17"/>
      <c r="P110" s="17"/>
      <c r="Q110" s="17"/>
      <c r="R110" s="17"/>
      <c r="S110" s="17"/>
      <c r="T110" s="17"/>
      <c r="U110" s="17"/>
      <c r="V110" s="45" t="s">
        <v>239</v>
      </c>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BE110"/>
      <c r="BF110"/>
      <c r="BG110"/>
      <c r="BH110"/>
      <c r="BI110"/>
    </row>
    <row r="111" spans="1:61">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T111" s="2"/>
    </row>
    <row r="112" spans="1:61">
      <c r="V112" s="6">
        <v>8</v>
      </c>
      <c r="BE112" s="18"/>
      <c r="BF112" s="18"/>
      <c r="BG112" s="18"/>
      <c r="BH112" s="18"/>
    </row>
    <row r="113" spans="18:47">
      <c r="V113" s="2" t="s">
        <v>241</v>
      </c>
    </row>
    <row r="114" spans="18:47">
      <c r="R114" s="2" t="s">
        <v>169</v>
      </c>
      <c r="V114" s="2" t="s">
        <v>240</v>
      </c>
    </row>
    <row r="115" spans="18:47">
      <c r="R115" s="2" t="s">
        <v>171</v>
      </c>
    </row>
    <row r="116" spans="18:47">
      <c r="AU116" s="26"/>
    </row>
    <row r="117" spans="18:47">
      <c r="AU117" s="26"/>
    </row>
    <row r="118" spans="18:47">
      <c r="AU118" s="26"/>
    </row>
    <row r="119" spans="18:47">
      <c r="AU119" s="26"/>
    </row>
    <row r="120" spans="18:47">
      <c r="AU120" s="26"/>
    </row>
    <row r="121" spans="18:47">
      <c r="AU121" s="26"/>
    </row>
    <row r="122" spans="18:47">
      <c r="AU122" s="26"/>
    </row>
    <row r="123" spans="18:47">
      <c r="AU123" s="26"/>
    </row>
    <row r="124" spans="18:47">
      <c r="AU124" s="26"/>
    </row>
    <row r="125" spans="18:47">
      <c r="AU125" s="26"/>
    </row>
    <row r="126" spans="18:47">
      <c r="AU126" s="26"/>
    </row>
    <row r="127" spans="18:47">
      <c r="AU127" s="26"/>
    </row>
    <row r="128" spans="18:47">
      <c r="AU128" s="26"/>
    </row>
    <row r="129" spans="47:47">
      <c r="AU129" s="26"/>
    </row>
    <row r="130" spans="47:47">
      <c r="AU130" s="26"/>
    </row>
    <row r="131" spans="47:47">
      <c r="AU131" s="26"/>
    </row>
    <row r="132" spans="47:47">
      <c r="AU132" s="26"/>
    </row>
    <row r="133" spans="47:47">
      <c r="AU133" s="26"/>
    </row>
    <row r="134" spans="47:47">
      <c r="AU134" s="26"/>
    </row>
    <row r="135" spans="47:47">
      <c r="AU135" s="26"/>
    </row>
    <row r="136" spans="47:47">
      <c r="AU136" s="26"/>
    </row>
    <row r="137" spans="47:47">
      <c r="AU137" s="26"/>
    </row>
    <row r="138" spans="47:47">
      <c r="AU138" s="26"/>
    </row>
    <row r="139" spans="47:47">
      <c r="AU139" s="26"/>
    </row>
    <row r="140" spans="47:47">
      <c r="AU140" s="26"/>
    </row>
    <row r="141" spans="47:47">
      <c r="AU141" s="26"/>
    </row>
    <row r="142" spans="47:47">
      <c r="AU142" s="26"/>
    </row>
    <row r="143" spans="47:47">
      <c r="AU143" s="26"/>
    </row>
    <row r="144" spans="47:47">
      <c r="AU144" s="26"/>
    </row>
    <row r="145" spans="47:47">
      <c r="AU145" s="26"/>
    </row>
    <row r="146" spans="47:47">
      <c r="AU146" s="26"/>
    </row>
    <row r="147" spans="47:47">
      <c r="AU147" s="26"/>
    </row>
    <row r="148" spans="47:47">
      <c r="AU148" s="26"/>
    </row>
    <row r="149" spans="47:47">
      <c r="AU149" s="26"/>
    </row>
    <row r="150" spans="47:47">
      <c r="AU150" s="26"/>
    </row>
    <row r="151" spans="47:47">
      <c r="AU151" s="26"/>
    </row>
    <row r="152" spans="47:47">
      <c r="AU152" s="26"/>
    </row>
    <row r="153" spans="47:47">
      <c r="AU153" s="26"/>
    </row>
    <row r="154" spans="47:47">
      <c r="AU154" s="26"/>
    </row>
    <row r="155" spans="47:47">
      <c r="AU155" s="26"/>
    </row>
    <row r="156" spans="47:47">
      <c r="AU156" s="26"/>
    </row>
    <row r="157" spans="47:47">
      <c r="AU157" s="26"/>
    </row>
    <row r="158" spans="47:47">
      <c r="AU158" s="26"/>
    </row>
    <row r="159" spans="47:47">
      <c r="AU159" s="26"/>
    </row>
    <row r="160" spans="47:47">
      <c r="AU160" s="26"/>
    </row>
    <row r="161" spans="47:47">
      <c r="AU161" s="26"/>
    </row>
    <row r="162" spans="47:47">
      <c r="AU162" s="26"/>
    </row>
    <row r="163" spans="47:47">
      <c r="AU163" s="26"/>
    </row>
    <row r="164" spans="47:47">
      <c r="AU164" s="26"/>
    </row>
    <row r="165" spans="47:47">
      <c r="AU165" s="26"/>
    </row>
    <row r="166" spans="47:47">
      <c r="AU166" s="26"/>
    </row>
    <row r="167" spans="47:47">
      <c r="AU167" s="26"/>
    </row>
  </sheetData>
  <autoFilter ref="B6:AT25"/>
  <conditionalFormatting sqref="BD44:BD48">
    <cfRule type="cellIs" dxfId="73" priority="1" stopIfTrue="1" operator="greaterThan">
      <formula>0</formula>
    </cfRule>
  </conditionalFormatting>
  <conditionalFormatting sqref="BD43">
    <cfRule type="cellIs" dxfId="72" priority="11" stopIfTrue="1" operator="greaterThan">
      <formula>0</formula>
    </cfRule>
  </conditionalFormatting>
  <conditionalFormatting sqref="BD43">
    <cfRule type="cellIs" dxfId="71" priority="10" stopIfTrue="1" operator="greaterThan">
      <formula>0</formula>
    </cfRule>
  </conditionalFormatting>
  <conditionalFormatting sqref="BD43">
    <cfRule type="cellIs" dxfId="70" priority="9" stopIfTrue="1" operator="greaterThan">
      <formula>0</formula>
    </cfRule>
  </conditionalFormatting>
  <conditionalFormatting sqref="BD43">
    <cfRule type="cellIs" dxfId="69" priority="8" stopIfTrue="1" operator="greaterThan">
      <formula>0</formula>
    </cfRule>
  </conditionalFormatting>
  <conditionalFormatting sqref="BD43">
    <cfRule type="cellIs" dxfId="68" priority="4" stopIfTrue="1" operator="greaterThan">
      <formula>0</formula>
    </cfRule>
  </conditionalFormatting>
  <conditionalFormatting sqref="BD43">
    <cfRule type="cellIs" dxfId="67" priority="7" stopIfTrue="1" operator="greaterThan">
      <formula>0</formula>
    </cfRule>
  </conditionalFormatting>
  <conditionalFormatting sqref="BD43">
    <cfRule type="cellIs" dxfId="66" priority="6" stopIfTrue="1" operator="greaterThan">
      <formula>0</formula>
    </cfRule>
  </conditionalFormatting>
  <conditionalFormatting sqref="BD43">
    <cfRule type="cellIs" dxfId="65" priority="5" stopIfTrue="1" operator="greaterThan">
      <formula>0</formula>
    </cfRule>
  </conditionalFormatting>
  <conditionalFormatting sqref="BD43">
    <cfRule type="cellIs" dxfId="64" priority="3" stopIfTrue="1" operator="greaterThan">
      <formula>0</formula>
    </cfRule>
  </conditionalFormatting>
  <conditionalFormatting sqref="BD43">
    <cfRule type="cellIs" dxfId="63" priority="2" stopIfTrue="1" operator="greaterThan">
      <formula>0</formula>
    </cfRule>
  </conditionalFormatting>
  <conditionalFormatting sqref="BD43">
    <cfRule type="cellIs" dxfId="62" priority="12" stopIfTrue="1" operator="greaterThan">
      <formula>0</formula>
    </cfRule>
  </conditionalFormatting>
  <conditionalFormatting sqref="BD43">
    <cfRule type="cellIs" dxfId="61" priority="13" stopIfTrue="1" operator="greaterThan">
      <formula>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BK167"/>
  <sheetViews>
    <sheetView showZeros="0" topLeftCell="AE1" zoomScale="85" zoomScaleNormal="85" workbookViewId="0">
      <selection activeCell="C19" sqref="A19:XFD19"/>
    </sheetView>
  </sheetViews>
  <sheetFormatPr baseColWidth="10" defaultRowHeight="14.4" outlineLevelRow="2" outlineLevelCol="1"/>
  <cols>
    <col min="1" max="1" width="16.5546875" bestFit="1" customWidth="1"/>
    <col min="3" max="3" width="17.6640625" bestFit="1" customWidth="1"/>
    <col min="4" max="4" width="1.5546875" customWidth="1"/>
    <col min="5" max="5" width="9.44140625" style="2" bestFit="1" customWidth="1"/>
    <col min="6" max="6" width="9" style="2" customWidth="1"/>
    <col min="7" max="11" width="8" style="2" customWidth="1" outlineLevel="1"/>
    <col min="12" max="12" width="9.109375" style="2" customWidth="1" outlineLevel="1"/>
    <col min="13" max="13" width="8.109375" style="2" customWidth="1" outlineLevel="1"/>
    <col min="14" max="14" width="9.6640625" style="2" customWidth="1" outlineLevel="1"/>
    <col min="15" max="15" width="9.109375" style="2" customWidth="1" outlineLevel="1" collapsed="1"/>
    <col min="16" max="17" width="8" style="2" customWidth="1" outlineLevel="1"/>
    <col min="18" max="18" width="8.6640625" style="2" customWidth="1" outlineLevel="1"/>
    <col min="19" max="19" width="8.6640625" style="2" customWidth="1" outlineLevel="1" collapsed="1"/>
    <col min="20" max="23" width="8.6640625" style="2" customWidth="1" outlineLevel="1"/>
    <col min="24" max="24" width="8.109375" style="2" customWidth="1" outlineLevel="1" collapsed="1"/>
    <col min="25" max="25" width="8.109375" style="2" customWidth="1" outlineLevel="1"/>
    <col min="26" max="26" width="8.109375" style="2" customWidth="1" outlineLevel="1" collapsed="1"/>
    <col min="27" max="28" width="8.109375" style="2" customWidth="1" outlineLevel="1"/>
    <col min="29" max="36" width="8.109375" style="2" customWidth="1"/>
    <col min="37" max="37" width="6.88671875" style="2" customWidth="1"/>
    <col min="38" max="38" width="11.44140625" style="4"/>
    <col min="39" max="39" width="6.88671875" style="2" customWidth="1"/>
    <col min="40" max="40" width="7.6640625" customWidth="1"/>
    <col min="41" max="41" width="5.5546875" style="2" bestFit="1" customWidth="1"/>
    <col min="42" max="47" width="0.33203125" style="2" customWidth="1"/>
    <col min="49" max="49" width="16.33203125" bestFit="1" customWidth="1"/>
    <col min="55" max="55" width="13" bestFit="1" customWidth="1"/>
  </cols>
  <sheetData>
    <row r="1" spans="1:63">
      <c r="AO1" s="2">
        <v>1</v>
      </c>
      <c r="AP1" s="2">
        <v>2</v>
      </c>
      <c r="AQ1" s="2">
        <v>3</v>
      </c>
      <c r="AR1" s="2">
        <v>4</v>
      </c>
      <c r="AS1" s="2">
        <v>5</v>
      </c>
      <c r="AT1" s="2">
        <v>6</v>
      </c>
      <c r="AU1" s="2">
        <v>7</v>
      </c>
    </row>
    <row r="2" spans="1:63">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v>23</v>
      </c>
      <c r="AC2" s="2">
        <v>24</v>
      </c>
      <c r="AD2" s="2">
        <v>25</v>
      </c>
      <c r="AE2" s="2">
        <v>26</v>
      </c>
      <c r="AF2" s="2">
        <v>27</v>
      </c>
      <c r="AG2" s="2">
        <v>28</v>
      </c>
      <c r="AH2" s="2">
        <v>29</v>
      </c>
      <c r="AI2" s="2">
        <v>30</v>
      </c>
      <c r="AJ2" s="2">
        <v>31</v>
      </c>
      <c r="AK2" s="2">
        <v>32</v>
      </c>
      <c r="AL2" s="2"/>
      <c r="AO2" s="2" t="s">
        <v>84</v>
      </c>
      <c r="AP2" s="2" t="s">
        <v>85</v>
      </c>
      <c r="AQ2" s="2" t="s">
        <v>86</v>
      </c>
      <c r="AR2" s="2" t="s">
        <v>87</v>
      </c>
      <c r="AS2" s="2" t="s">
        <v>88</v>
      </c>
      <c r="AT2" s="2" t="s">
        <v>89</v>
      </c>
      <c r="AU2" s="2" t="s">
        <v>90</v>
      </c>
    </row>
    <row r="3" spans="1:63">
      <c r="E3" s="2" t="s">
        <v>88</v>
      </c>
      <c r="F3" s="2" t="s">
        <v>89</v>
      </c>
      <c r="G3" s="2" t="s">
        <v>90</v>
      </c>
      <c r="H3" s="2" t="s">
        <v>84</v>
      </c>
      <c r="I3" s="2" t="s">
        <v>85</v>
      </c>
      <c r="J3" s="2" t="s">
        <v>86</v>
      </c>
      <c r="K3" s="2" t="s">
        <v>87</v>
      </c>
      <c r="L3" s="2" t="s">
        <v>88</v>
      </c>
      <c r="M3" s="2" t="s">
        <v>89</v>
      </c>
      <c r="N3" s="2" t="s">
        <v>90</v>
      </c>
      <c r="O3" s="2" t="s">
        <v>84</v>
      </c>
      <c r="P3" s="2" t="s">
        <v>85</v>
      </c>
      <c r="Q3" s="2" t="s">
        <v>86</v>
      </c>
      <c r="R3" s="2" t="s">
        <v>87</v>
      </c>
      <c r="S3" s="2" t="s">
        <v>88</v>
      </c>
      <c r="T3" s="2" t="s">
        <v>89</v>
      </c>
      <c r="U3" s="2" t="s">
        <v>90</v>
      </c>
      <c r="V3" s="2" t="s">
        <v>84</v>
      </c>
      <c r="W3" s="2" t="s">
        <v>85</v>
      </c>
      <c r="X3" s="2" t="s">
        <v>86</v>
      </c>
      <c r="Y3" s="2" t="s">
        <v>87</v>
      </c>
      <c r="Z3" s="2" t="s">
        <v>88</v>
      </c>
      <c r="AA3" s="2" t="s">
        <v>89</v>
      </c>
      <c r="AB3" s="2" t="s">
        <v>90</v>
      </c>
      <c r="AC3" s="2" t="s">
        <v>84</v>
      </c>
      <c r="AD3" s="2" t="s">
        <v>85</v>
      </c>
      <c r="AE3" s="2" t="s">
        <v>86</v>
      </c>
      <c r="AF3" s="2" t="s">
        <v>87</v>
      </c>
      <c r="AG3" s="2" t="s">
        <v>88</v>
      </c>
      <c r="AH3" s="2" t="s">
        <v>89</v>
      </c>
      <c r="AI3" s="2" t="s">
        <v>90</v>
      </c>
      <c r="AJ3" s="2" t="s">
        <v>84</v>
      </c>
      <c r="AK3" s="2" t="s">
        <v>85</v>
      </c>
      <c r="AL3" s="2"/>
    </row>
    <row r="4" spans="1:63" s="10" customFormat="1" ht="15" thickBot="1">
      <c r="E4" s="34">
        <v>43672</v>
      </c>
      <c r="F4" s="34">
        <v>43673</v>
      </c>
      <c r="G4" s="34">
        <v>43674</v>
      </c>
      <c r="H4" s="34">
        <v>43675</v>
      </c>
      <c r="I4" s="34">
        <v>43676</v>
      </c>
      <c r="J4" s="34">
        <v>43677</v>
      </c>
      <c r="K4" s="34">
        <v>43678</v>
      </c>
      <c r="L4" s="34">
        <v>43679</v>
      </c>
      <c r="M4" s="34">
        <v>43680</v>
      </c>
      <c r="N4" s="34">
        <v>43681</v>
      </c>
      <c r="O4" s="34">
        <v>43682</v>
      </c>
      <c r="P4" s="34">
        <v>43683</v>
      </c>
      <c r="Q4" s="34">
        <v>43684</v>
      </c>
      <c r="R4" s="34">
        <v>43685</v>
      </c>
      <c r="S4" s="34">
        <v>43686</v>
      </c>
      <c r="T4" s="34">
        <v>43687</v>
      </c>
      <c r="U4" s="34">
        <v>43688</v>
      </c>
      <c r="V4" s="34">
        <v>43689</v>
      </c>
      <c r="W4" s="34">
        <v>43690</v>
      </c>
      <c r="X4" s="34">
        <v>43691</v>
      </c>
      <c r="Y4" s="34">
        <v>43692</v>
      </c>
      <c r="Z4" s="34">
        <v>43693</v>
      </c>
      <c r="AA4" s="34">
        <v>43694</v>
      </c>
      <c r="AB4" s="34">
        <v>43695</v>
      </c>
      <c r="AC4" s="34">
        <v>43696</v>
      </c>
      <c r="AD4" s="34">
        <v>43697</v>
      </c>
      <c r="AE4" s="34">
        <v>43698</v>
      </c>
      <c r="AF4" s="34">
        <v>43699</v>
      </c>
      <c r="AG4" s="34">
        <v>43700</v>
      </c>
      <c r="AH4" s="34">
        <v>43701</v>
      </c>
      <c r="AI4" s="34">
        <v>43702</v>
      </c>
      <c r="AJ4" s="34">
        <v>43703</v>
      </c>
      <c r="AK4" s="34">
        <v>43704</v>
      </c>
      <c r="AL4" s="12"/>
      <c r="AM4" s="1"/>
      <c r="AO4" s="1"/>
      <c r="AP4" s="1"/>
      <c r="AQ4" s="1"/>
      <c r="AR4" s="1"/>
      <c r="AS4" s="1"/>
      <c r="AT4" s="1"/>
      <c r="AU4" s="1"/>
    </row>
    <row r="5" spans="1:63" ht="15" thickBot="1">
      <c r="C5" s="75" t="s">
        <v>158</v>
      </c>
      <c r="D5" s="2" t="s">
        <v>12</v>
      </c>
      <c r="E5" s="2" t="s">
        <v>207</v>
      </c>
      <c r="F5" s="2" t="s">
        <v>52</v>
      </c>
      <c r="G5" s="2" t="s">
        <v>52</v>
      </c>
      <c r="H5" s="2" t="s">
        <v>52</v>
      </c>
      <c r="I5" s="2" t="s">
        <v>52</v>
      </c>
      <c r="J5" s="2" t="s">
        <v>52</v>
      </c>
      <c r="K5" s="2" t="s">
        <v>52</v>
      </c>
      <c r="L5" s="2" t="s">
        <v>52</v>
      </c>
      <c r="M5" s="2" t="s">
        <v>52</v>
      </c>
      <c r="N5" s="2" t="s">
        <v>52</v>
      </c>
      <c r="O5" s="217" t="s">
        <v>214</v>
      </c>
      <c r="P5" s="218" t="s">
        <v>214</v>
      </c>
      <c r="Q5" s="219" t="s">
        <v>214</v>
      </c>
      <c r="R5" s="2" t="s">
        <v>52</v>
      </c>
      <c r="S5" s="2" t="s">
        <v>52</v>
      </c>
      <c r="T5" s="2" t="s">
        <v>52</v>
      </c>
      <c r="U5" s="2" t="s">
        <v>52</v>
      </c>
      <c r="V5" s="2" t="s">
        <v>52</v>
      </c>
      <c r="W5" s="2" t="s">
        <v>52</v>
      </c>
      <c r="X5" s="2" t="s">
        <v>52</v>
      </c>
      <c r="Y5" s="2" t="s">
        <v>52</v>
      </c>
      <c r="Z5" s="2" t="s">
        <v>52</v>
      </c>
      <c r="AA5" s="2" t="s">
        <v>52</v>
      </c>
      <c r="AB5" s="2" t="s">
        <v>52</v>
      </c>
      <c r="AC5" s="2" t="s">
        <v>52</v>
      </c>
      <c r="AD5" s="217" t="s">
        <v>211</v>
      </c>
      <c r="AE5" s="219" t="s">
        <v>211</v>
      </c>
      <c r="AF5" s="2" t="s">
        <v>52</v>
      </c>
      <c r="AG5" s="2" t="s">
        <v>52</v>
      </c>
      <c r="AH5" s="2" t="s">
        <v>52</v>
      </c>
      <c r="AI5" s="2" t="s">
        <v>52</v>
      </c>
      <c r="AJ5" s="2" t="s">
        <v>52</v>
      </c>
      <c r="AK5" s="2" t="s">
        <v>68</v>
      </c>
      <c r="AL5" s="4" t="s">
        <v>13</v>
      </c>
      <c r="BG5" t="s">
        <v>210</v>
      </c>
    </row>
    <row r="6" spans="1:63" ht="15" outlineLevel="1" thickBot="1">
      <c r="D6" s="11" t="s">
        <v>17</v>
      </c>
      <c r="E6" s="2" t="s">
        <v>16</v>
      </c>
      <c r="F6" s="2" t="s">
        <v>16</v>
      </c>
      <c r="G6" s="2" t="s">
        <v>16</v>
      </c>
      <c r="AX6" s="4" t="s">
        <v>135</v>
      </c>
      <c r="AY6" s="4" t="s">
        <v>9</v>
      </c>
      <c r="BD6" s="4" t="s">
        <v>135</v>
      </c>
      <c r="BE6" s="4" t="s">
        <v>9</v>
      </c>
      <c r="BH6" s="4" t="s">
        <v>135</v>
      </c>
      <c r="BI6" s="4" t="s">
        <v>9</v>
      </c>
    </row>
    <row r="7" spans="1:63" outlineLevel="1">
      <c r="A7" t="s">
        <v>70</v>
      </c>
      <c r="B7" t="s">
        <v>21</v>
      </c>
      <c r="C7" s="72" t="s">
        <v>142</v>
      </c>
      <c r="D7" s="11"/>
      <c r="E7"/>
      <c r="Y7"/>
      <c r="Z7"/>
      <c r="AA7"/>
      <c r="AB7"/>
      <c r="AC7"/>
      <c r="AD7"/>
      <c r="AE7"/>
      <c r="AF7"/>
      <c r="AG7"/>
      <c r="AH7"/>
      <c r="AI7"/>
      <c r="AJ7"/>
      <c r="AK7" s="27"/>
      <c r="AL7" s="29">
        <v>0</v>
      </c>
      <c r="AM7" s="6">
        <v>0</v>
      </c>
      <c r="AN7" s="27"/>
      <c r="AO7" s="27"/>
      <c r="AW7" s="4" t="s">
        <v>138</v>
      </c>
      <c r="AX7" s="2"/>
      <c r="AY7" s="98">
        <v>1282.1099999999999</v>
      </c>
      <c r="AZ7" s="65">
        <v>1282.1099999999999</v>
      </c>
      <c r="BE7" s="22">
        <v>1282.1099999999999</v>
      </c>
      <c r="BG7" s="4" t="s">
        <v>138</v>
      </c>
      <c r="BH7" s="2"/>
      <c r="BI7" s="98">
        <v>800</v>
      </c>
      <c r="BJ7" s="65">
        <v>800</v>
      </c>
    </row>
    <row r="8" spans="1:63" outlineLevel="1">
      <c r="A8" t="s">
        <v>70</v>
      </c>
      <c r="B8" t="s">
        <v>21</v>
      </c>
      <c r="C8" s="73" t="s">
        <v>203</v>
      </c>
      <c r="D8" s="11"/>
      <c r="E8"/>
      <c r="F8" s="2">
        <v>125</v>
      </c>
      <c r="G8" s="2">
        <v>420</v>
      </c>
      <c r="K8" s="2">
        <v>60</v>
      </c>
      <c r="N8" s="2">
        <v>260</v>
      </c>
      <c r="R8" s="2">
        <v>110</v>
      </c>
      <c r="S8" s="2">
        <v>370</v>
      </c>
      <c r="V8" s="2">
        <v>440</v>
      </c>
      <c r="W8" s="2">
        <v>50</v>
      </c>
      <c r="X8" s="2">
        <v>190</v>
      </c>
      <c r="Z8" s="99">
        <v>1440</v>
      </c>
      <c r="AA8" s="99">
        <v>-1340</v>
      </c>
      <c r="AB8" s="2">
        <v>50</v>
      </c>
      <c r="AC8" s="2">
        <v>350</v>
      </c>
      <c r="AD8" s="2">
        <v>550</v>
      </c>
      <c r="AE8" s="2">
        <v>300</v>
      </c>
      <c r="AF8" s="2">
        <v>60</v>
      </c>
      <c r="AG8" s="2">
        <v>520</v>
      </c>
      <c r="AJ8"/>
      <c r="AK8" s="27"/>
      <c r="AL8" s="29">
        <v>3955</v>
      </c>
      <c r="AM8" s="6">
        <v>153.9277598523559</v>
      </c>
      <c r="AN8" s="203">
        <f>+AL8/AM8</f>
        <v>25.693870967741937</v>
      </c>
      <c r="AO8" s="27"/>
      <c r="AW8" s="4" t="s">
        <v>61</v>
      </c>
      <c r="AX8" s="6">
        <v>1889.4000075328618</v>
      </c>
      <c r="AY8" s="6">
        <v>35</v>
      </c>
      <c r="AZ8" s="95">
        <v>1924.4000075328618</v>
      </c>
      <c r="BA8" s="6">
        <v>3629.8209772633104</v>
      </c>
      <c r="BB8" t="s">
        <v>61</v>
      </c>
      <c r="BD8" s="22">
        <v>1889.4000075328618</v>
      </c>
      <c r="BE8" s="22">
        <v>35</v>
      </c>
      <c r="BG8" s="4" t="s">
        <v>61</v>
      </c>
      <c r="BH8" s="6">
        <v>2400</v>
      </c>
      <c r="BI8" s="6"/>
      <c r="BJ8" s="95">
        <v>2400</v>
      </c>
      <c r="BK8" s="28">
        <v>3450</v>
      </c>
    </row>
    <row r="9" spans="1:63" outlineLevel="1">
      <c r="B9" t="s">
        <v>21</v>
      </c>
      <c r="C9" s="73" t="s">
        <v>204</v>
      </c>
      <c r="D9" s="11"/>
      <c r="E9"/>
      <c r="H9" s="2">
        <v>25</v>
      </c>
      <c r="K9" s="2">
        <v>30</v>
      </c>
      <c r="M9" s="2">
        <v>40</v>
      </c>
      <c r="N9" s="2">
        <v>200</v>
      </c>
      <c r="O9" s="2">
        <v>300</v>
      </c>
      <c r="Q9" s="2">
        <v>550</v>
      </c>
      <c r="R9" s="2">
        <v>110</v>
      </c>
      <c r="S9" s="2">
        <v>180</v>
      </c>
      <c r="U9" s="2">
        <v>125</v>
      </c>
      <c r="V9" s="2">
        <v>80</v>
      </c>
      <c r="X9" s="2">
        <v>85</v>
      </c>
      <c r="Z9" s="2">
        <v>85</v>
      </c>
      <c r="AA9" s="2">
        <v>550</v>
      </c>
      <c r="AB9" s="2">
        <v>155</v>
      </c>
      <c r="AC9" s="2">
        <v>210</v>
      </c>
      <c r="AD9" s="2">
        <v>240</v>
      </c>
      <c r="AE9" s="2">
        <v>300</v>
      </c>
      <c r="AG9" s="2">
        <v>100</v>
      </c>
      <c r="AI9" s="2">
        <v>240</v>
      </c>
      <c r="AJ9" s="2">
        <v>140</v>
      </c>
      <c r="AK9" s="27"/>
      <c r="AL9" s="29">
        <v>3745</v>
      </c>
      <c r="AM9" s="6">
        <v>145.75460446196533</v>
      </c>
      <c r="AN9" s="27"/>
      <c r="AO9" s="27"/>
      <c r="AW9" s="4" t="s">
        <v>209</v>
      </c>
      <c r="AX9" s="6">
        <v>730.7579314760643</v>
      </c>
      <c r="AY9" s="98">
        <v>549.77</v>
      </c>
      <c r="AZ9" s="95">
        <v>1280.5279314760642</v>
      </c>
      <c r="BA9" s="28">
        <v>1280.5279314760642</v>
      </c>
      <c r="BB9" t="s">
        <v>212</v>
      </c>
      <c r="BD9" s="22">
        <v>730.7579314760643</v>
      </c>
      <c r="BE9" s="22">
        <v>549.77</v>
      </c>
      <c r="BG9" s="4" t="s">
        <v>201</v>
      </c>
      <c r="BH9" s="6">
        <v>100</v>
      </c>
      <c r="BI9" s="98"/>
      <c r="BJ9" s="95">
        <v>100</v>
      </c>
      <c r="BK9" s="28"/>
    </row>
    <row r="10" spans="1:63" outlineLevel="1">
      <c r="A10" t="s">
        <v>70</v>
      </c>
      <c r="B10" t="s">
        <v>21</v>
      </c>
      <c r="C10" s="73" t="s">
        <v>147</v>
      </c>
      <c r="D10" s="11"/>
      <c r="E10"/>
      <c r="F10" s="2">
        <v>120</v>
      </c>
      <c r="G10" s="2">
        <v>100</v>
      </c>
      <c r="J10" s="2">
        <v>60</v>
      </c>
      <c r="Q10" s="2">
        <v>60</v>
      </c>
      <c r="U10" s="2">
        <v>55</v>
      </c>
      <c r="Z10" s="2">
        <v>30</v>
      </c>
      <c r="AA10" s="2">
        <v>50</v>
      </c>
      <c r="AJ10"/>
      <c r="AK10" s="27"/>
      <c r="AL10" s="29">
        <v>475</v>
      </c>
      <c r="AM10" s="6">
        <v>18.486899097312023</v>
      </c>
      <c r="AN10" s="27"/>
      <c r="AO10" s="27"/>
      <c r="AW10" s="4" t="s">
        <v>136</v>
      </c>
      <c r="AX10" s="6">
        <v>188.76096973044906</v>
      </c>
      <c r="AY10" s="6">
        <v>234.55</v>
      </c>
      <c r="AZ10" s="96">
        <v>423.31096973044907</v>
      </c>
      <c r="BA10" s="109">
        <v>4910.3489087393746</v>
      </c>
      <c r="BB10" t="s">
        <v>213</v>
      </c>
      <c r="BD10" s="22">
        <v>188.76096973044906</v>
      </c>
      <c r="BE10" s="22">
        <v>234.55</v>
      </c>
      <c r="BG10" s="4" t="s">
        <v>136</v>
      </c>
      <c r="BH10" s="6">
        <v>150</v>
      </c>
      <c r="BI10" s="6">
        <v>0</v>
      </c>
      <c r="BJ10" s="96">
        <v>150</v>
      </c>
    </row>
    <row r="11" spans="1:63" outlineLevel="1">
      <c r="B11" t="s">
        <v>21</v>
      </c>
      <c r="C11" s="73" t="s">
        <v>205</v>
      </c>
      <c r="D11" s="11"/>
      <c r="E11"/>
      <c r="F11" s="2">
        <v>200</v>
      </c>
      <c r="G11" s="2">
        <v>290</v>
      </c>
      <c r="H11" s="2">
        <v>235</v>
      </c>
      <c r="I11" s="2">
        <v>700</v>
      </c>
      <c r="J11" s="2">
        <v>260</v>
      </c>
      <c r="L11" s="2">
        <v>495</v>
      </c>
      <c r="Q11" s="2">
        <v>90</v>
      </c>
      <c r="S11" s="2">
        <v>110</v>
      </c>
      <c r="U11" s="2">
        <v>110</v>
      </c>
      <c r="Z11" s="2">
        <v>50</v>
      </c>
      <c r="AB11" s="2">
        <v>85</v>
      </c>
      <c r="AC11" s="2">
        <v>57</v>
      </c>
      <c r="AD11" s="2">
        <v>10</v>
      </c>
      <c r="AF11" s="2">
        <v>85</v>
      </c>
      <c r="AG11" s="2">
        <v>90</v>
      </c>
      <c r="AH11" s="2">
        <v>430</v>
      </c>
      <c r="AI11" s="2">
        <v>160</v>
      </c>
      <c r="AJ11" s="2">
        <v>535</v>
      </c>
      <c r="AK11" s="27"/>
      <c r="AL11" s="29">
        <v>3992</v>
      </c>
      <c r="AM11" s="6">
        <v>155.36779199256756</v>
      </c>
      <c r="AN11" s="27"/>
      <c r="AO11" s="27"/>
      <c r="AW11" s="9"/>
      <c r="AX11" s="6"/>
      <c r="AY11" s="6"/>
      <c r="AZ11" s="6"/>
      <c r="BD11" s="132">
        <v>2808.9189087393752</v>
      </c>
      <c r="BG11" s="9"/>
      <c r="BH11" s="6"/>
      <c r="BI11" s="6"/>
      <c r="BJ11" s="6"/>
    </row>
    <row r="12" spans="1:63" outlineLevel="1">
      <c r="A12" t="s">
        <v>70</v>
      </c>
      <c r="B12" t="s">
        <v>21</v>
      </c>
      <c r="C12" s="73" t="s">
        <v>146</v>
      </c>
      <c r="D12" s="11"/>
      <c r="E12"/>
      <c r="G12" s="2">
        <v>60</v>
      </c>
      <c r="H12" s="2">
        <v>20</v>
      </c>
      <c r="I12" s="2">
        <v>100</v>
      </c>
      <c r="J12" s="2">
        <v>25</v>
      </c>
      <c r="K12" s="2">
        <v>90</v>
      </c>
      <c r="N12" s="2">
        <v>100</v>
      </c>
      <c r="P12" s="2">
        <v>120</v>
      </c>
      <c r="S12" s="2">
        <v>85</v>
      </c>
      <c r="T12" s="2">
        <v>25</v>
      </c>
      <c r="U12" s="2">
        <v>90</v>
      </c>
      <c r="V12" s="2">
        <v>130</v>
      </c>
      <c r="W12" s="2">
        <v>95</v>
      </c>
      <c r="X12" s="2">
        <v>120</v>
      </c>
      <c r="Y12" s="2">
        <v>40</v>
      </c>
      <c r="AA12" s="2">
        <v>25</v>
      </c>
      <c r="AB12" s="2">
        <v>210</v>
      </c>
      <c r="AC12" s="2">
        <v>15</v>
      </c>
      <c r="AD12" s="2">
        <v>90</v>
      </c>
      <c r="AE12" s="2">
        <v>100</v>
      </c>
      <c r="AF12" s="2">
        <v>100</v>
      </c>
      <c r="AI12" s="2">
        <v>25</v>
      </c>
      <c r="AJ12" s="2">
        <v>60</v>
      </c>
      <c r="AK12" s="27"/>
      <c r="AL12" s="29">
        <v>1725</v>
      </c>
      <c r="AM12" s="6">
        <v>67.136633563922615</v>
      </c>
      <c r="AN12" s="27"/>
      <c r="AO12" s="27"/>
    </row>
    <row r="13" spans="1:63" ht="15" outlineLevel="1" thickBot="1">
      <c r="A13" t="s">
        <v>70</v>
      </c>
      <c r="B13" t="s">
        <v>21</v>
      </c>
      <c r="C13" s="74" t="s">
        <v>148</v>
      </c>
      <c r="D13" s="11"/>
      <c r="E13"/>
      <c r="G13" s="2">
        <v>165</v>
      </c>
      <c r="J13" s="2">
        <v>20</v>
      </c>
      <c r="K13" s="2">
        <v>20</v>
      </c>
      <c r="N13" s="2">
        <v>100</v>
      </c>
      <c r="Q13" s="2">
        <v>50</v>
      </c>
      <c r="R13" s="2">
        <v>200</v>
      </c>
      <c r="S13" s="2">
        <v>15</v>
      </c>
      <c r="T13" s="2">
        <v>350</v>
      </c>
      <c r="U13" s="2">
        <v>15</v>
      </c>
      <c r="V13" s="2">
        <v>60</v>
      </c>
      <c r="W13" s="2">
        <v>500</v>
      </c>
      <c r="X13" s="2">
        <v>50</v>
      </c>
      <c r="Z13" s="2">
        <v>200</v>
      </c>
      <c r="AA13" s="2">
        <v>145</v>
      </c>
      <c r="AC13" s="2">
        <v>140</v>
      </c>
      <c r="AE13" s="2">
        <v>80</v>
      </c>
      <c r="AF13" s="2">
        <v>105</v>
      </c>
      <c r="AG13" s="2">
        <v>245</v>
      </c>
      <c r="AH13" s="2">
        <v>240</v>
      </c>
      <c r="AJ13" s="2">
        <v>50</v>
      </c>
      <c r="AK13" s="27">
        <v>50</v>
      </c>
      <c r="AL13" s="29">
        <v>2800</v>
      </c>
      <c r="AM13" s="6">
        <v>108.97540520520771</v>
      </c>
      <c r="AN13" s="27"/>
      <c r="AO13" s="27"/>
      <c r="AW13" s="4" t="s">
        <v>145</v>
      </c>
      <c r="AX13" s="6">
        <v>158.20893648541764</v>
      </c>
      <c r="AY13" s="6"/>
      <c r="AZ13" s="7">
        <v>158.20893648541764</v>
      </c>
      <c r="BA13" s="2" t="s">
        <v>145</v>
      </c>
      <c r="BD13" s="133">
        <v>158.20893648541764</v>
      </c>
      <c r="BG13" s="4" t="s">
        <v>145</v>
      </c>
      <c r="BH13" s="6">
        <v>0</v>
      </c>
      <c r="BI13" s="6"/>
      <c r="BJ13" s="6">
        <v>0</v>
      </c>
    </row>
    <row r="14" spans="1:63" outlineLevel="1">
      <c r="A14" t="s">
        <v>70</v>
      </c>
      <c r="B14" t="s">
        <v>21</v>
      </c>
      <c r="C14" s="72" t="s">
        <v>153</v>
      </c>
      <c r="D14" s="11"/>
      <c r="E14"/>
      <c r="F14" s="2">
        <v>500</v>
      </c>
      <c r="G14" s="2">
        <v>110</v>
      </c>
      <c r="I14" s="2">
        <v>40</v>
      </c>
      <c r="J14" s="2">
        <v>50</v>
      </c>
      <c r="K14" s="82">
        <v>12</v>
      </c>
      <c r="L14" s="2">
        <v>75</v>
      </c>
      <c r="M14" s="2">
        <v>80</v>
      </c>
      <c r="N14" s="2">
        <v>220</v>
      </c>
      <c r="O14" s="2">
        <v>75</v>
      </c>
      <c r="P14" s="2">
        <v>100</v>
      </c>
      <c r="R14" s="2">
        <v>145</v>
      </c>
      <c r="S14" s="2">
        <v>30</v>
      </c>
      <c r="T14" s="2">
        <v>100</v>
      </c>
      <c r="U14" s="2">
        <v>95</v>
      </c>
      <c r="W14" s="2">
        <v>120</v>
      </c>
      <c r="X14" s="2">
        <v>10</v>
      </c>
      <c r="Z14" s="2">
        <v>312</v>
      </c>
      <c r="AB14" s="2">
        <v>10</v>
      </c>
      <c r="AC14" s="2">
        <v>15</v>
      </c>
      <c r="AD14" s="2">
        <v>13</v>
      </c>
      <c r="AF14" s="2">
        <v>75</v>
      </c>
      <c r="AG14" s="2">
        <v>60</v>
      </c>
      <c r="AH14" s="2">
        <v>13</v>
      </c>
      <c r="AJ14"/>
      <c r="AK14" s="27"/>
      <c r="AL14" s="29">
        <v>2260</v>
      </c>
      <c r="AM14" s="6">
        <v>87.958719915631946</v>
      </c>
      <c r="AN14" s="27"/>
      <c r="AO14" s="27"/>
      <c r="AW14" s="4" t="s">
        <v>137</v>
      </c>
      <c r="AX14" s="6">
        <v>286.06043866367025</v>
      </c>
      <c r="AY14" s="6"/>
      <c r="AZ14" s="7">
        <v>286.06043866367025</v>
      </c>
      <c r="BA14" s="2" t="s">
        <v>137</v>
      </c>
      <c r="BD14" s="133">
        <v>286.06043866367025</v>
      </c>
      <c r="BG14" s="4" t="s">
        <v>137</v>
      </c>
      <c r="BH14" s="6">
        <v>0</v>
      </c>
      <c r="BI14" s="6"/>
      <c r="BJ14" s="6">
        <v>0</v>
      </c>
    </row>
    <row r="15" spans="1:63" outlineLevel="1">
      <c r="A15" t="s">
        <v>70</v>
      </c>
      <c r="B15" t="s">
        <v>21</v>
      </c>
      <c r="C15" s="73" t="s">
        <v>233</v>
      </c>
      <c r="D15" s="11"/>
      <c r="E15"/>
      <c r="F15" s="2">
        <v>500</v>
      </c>
      <c r="G15" s="2">
        <v>500</v>
      </c>
      <c r="H15" s="2">
        <v>500</v>
      </c>
      <c r="I15" s="2">
        <v>500</v>
      </c>
      <c r="J15" s="2">
        <v>500</v>
      </c>
      <c r="K15" s="2">
        <v>500</v>
      </c>
      <c r="L15" s="2">
        <v>500</v>
      </c>
      <c r="M15" s="2">
        <v>500</v>
      </c>
      <c r="N15" s="2">
        <v>500</v>
      </c>
      <c r="O15" s="2">
        <v>1740</v>
      </c>
      <c r="P15" s="2">
        <v>1740</v>
      </c>
      <c r="Q15" s="2">
        <v>1740</v>
      </c>
      <c r="R15" s="2">
        <v>500</v>
      </c>
      <c r="S15" s="2">
        <v>500</v>
      </c>
      <c r="T15" s="2">
        <v>500</v>
      </c>
      <c r="U15" s="2">
        <v>500</v>
      </c>
      <c r="V15" s="2">
        <v>500</v>
      </c>
      <c r="W15" s="2">
        <v>500</v>
      </c>
      <c r="X15" s="2">
        <v>500</v>
      </c>
      <c r="Y15" s="2">
        <v>500</v>
      </c>
      <c r="Z15" s="2">
        <v>500</v>
      </c>
      <c r="AA15" s="2">
        <v>500</v>
      </c>
      <c r="AB15" s="2">
        <v>500</v>
      </c>
      <c r="AC15" s="2">
        <v>500</v>
      </c>
      <c r="AD15" s="2">
        <v>500</v>
      </c>
      <c r="AE15" s="2">
        <v>1525</v>
      </c>
      <c r="AF15" s="2">
        <v>1525</v>
      </c>
      <c r="AG15" s="2">
        <v>500</v>
      </c>
      <c r="AH15" s="2">
        <v>500</v>
      </c>
      <c r="AI15" s="2">
        <v>500</v>
      </c>
      <c r="AJ15" s="2">
        <v>2000</v>
      </c>
      <c r="AK15" s="27"/>
      <c r="AL15" s="29">
        <v>22770</v>
      </c>
      <c r="AM15" s="6">
        <v>886.20356304377844</v>
      </c>
      <c r="AN15" s="27"/>
      <c r="AO15" s="27"/>
      <c r="AW15" s="4" t="s">
        <v>14</v>
      </c>
      <c r="AX15" s="28">
        <v>3253.188283888463</v>
      </c>
      <c r="AY15" s="28">
        <v>2101.4299999999998</v>
      </c>
      <c r="AZ15" s="28">
        <v>5354.6182838884633</v>
      </c>
      <c r="BB15" s="121" t="s">
        <v>229</v>
      </c>
      <c r="BC15" s="124"/>
      <c r="BD15" s="114">
        <v>3253.188283888463</v>
      </c>
      <c r="BE15" s="114">
        <v>2101.4299999999998</v>
      </c>
      <c r="BG15" s="4" t="s">
        <v>14</v>
      </c>
      <c r="BH15" s="28">
        <v>2650</v>
      </c>
      <c r="BI15" s="28">
        <v>800</v>
      </c>
      <c r="BJ15" s="28">
        <v>3450</v>
      </c>
    </row>
    <row r="16" spans="1:63" ht="15" outlineLevel="1" thickBot="1">
      <c r="A16" t="s">
        <v>70</v>
      </c>
      <c r="B16" t="s">
        <v>21</v>
      </c>
      <c r="C16" s="74" t="s">
        <v>149</v>
      </c>
      <c r="D16" s="11"/>
      <c r="E16"/>
      <c r="F16" s="2">
        <v>34</v>
      </c>
      <c r="G16" s="2">
        <v>180</v>
      </c>
      <c r="H16" s="2">
        <v>40</v>
      </c>
      <c r="K16" s="2">
        <v>40</v>
      </c>
      <c r="L16" s="2">
        <v>10</v>
      </c>
      <c r="N16" s="2">
        <v>25</v>
      </c>
      <c r="P16" s="2">
        <v>30</v>
      </c>
      <c r="R16" s="2">
        <v>85</v>
      </c>
      <c r="S16" s="2">
        <v>125</v>
      </c>
      <c r="T16" s="2">
        <v>80</v>
      </c>
      <c r="V16" s="2">
        <v>25</v>
      </c>
      <c r="X16" s="2">
        <v>36</v>
      </c>
      <c r="Y16" s="2">
        <v>25</v>
      </c>
      <c r="Z16" s="2">
        <v>100</v>
      </c>
      <c r="AA16" s="2">
        <v>25</v>
      </c>
      <c r="AB16" s="2">
        <v>25</v>
      </c>
      <c r="AC16" s="2">
        <v>25</v>
      </c>
      <c r="AD16" s="2">
        <v>40</v>
      </c>
      <c r="AF16" s="2">
        <v>100</v>
      </c>
      <c r="AG16" s="2">
        <v>30</v>
      </c>
      <c r="AH16" s="2">
        <v>30</v>
      </c>
      <c r="AI16" s="2">
        <v>30</v>
      </c>
      <c r="AJ16"/>
      <c r="AK16" s="27"/>
      <c r="AL16" s="29">
        <v>1140</v>
      </c>
      <c r="AM16" s="6">
        <v>44.368557833548856</v>
      </c>
      <c r="AN16" s="27"/>
      <c r="AO16" s="27"/>
      <c r="BB16" s="122">
        <v>5446.43</v>
      </c>
      <c r="BC16" s="125"/>
    </row>
    <row r="17" spans="1:59" outlineLevel="1">
      <c r="A17" t="s">
        <v>70</v>
      </c>
      <c r="B17" t="s">
        <v>23</v>
      </c>
      <c r="C17" s="72" t="s">
        <v>23</v>
      </c>
      <c r="D17" s="11"/>
      <c r="E17"/>
      <c r="Q17" s="2">
        <v>330</v>
      </c>
      <c r="Y17" s="2">
        <v>500</v>
      </c>
      <c r="AD17" s="2">
        <v>320</v>
      </c>
      <c r="AF17" s="2">
        <v>200</v>
      </c>
      <c r="AJ17"/>
      <c r="AK17" s="27">
        <v>694</v>
      </c>
      <c r="AL17" s="29">
        <v>2044</v>
      </c>
      <c r="AM17" s="6">
        <v>79.552045799801633</v>
      </c>
      <c r="AN17" s="27"/>
      <c r="AO17" s="27"/>
      <c r="AW17" s="4" t="s">
        <v>202</v>
      </c>
      <c r="AX17" s="113">
        <v>6.5774440998857511</v>
      </c>
      <c r="AY17" s="100">
        <v>130</v>
      </c>
      <c r="AZ17" s="28">
        <v>136.57744409988575</v>
      </c>
      <c r="BB17" s="122">
        <v>30</v>
      </c>
      <c r="BC17" s="125" t="s">
        <v>227</v>
      </c>
      <c r="BD17" s="118">
        <v>130</v>
      </c>
      <c r="BE17" s="6"/>
      <c r="BF17" s="2"/>
      <c r="BG17" s="28"/>
    </row>
    <row r="18" spans="1:59" outlineLevel="1">
      <c r="A18" t="s">
        <v>70</v>
      </c>
      <c r="B18" t="s">
        <v>23</v>
      </c>
      <c r="C18" s="73" t="s">
        <v>151</v>
      </c>
      <c r="D18" s="11"/>
      <c r="E18"/>
      <c r="G18" s="2">
        <v>100</v>
      </c>
      <c r="H18" s="2">
        <v>250</v>
      </c>
      <c r="N18" s="2">
        <v>200</v>
      </c>
      <c r="W18" s="2">
        <v>250</v>
      </c>
      <c r="AJ18"/>
      <c r="AK18" s="27"/>
      <c r="AL18" s="29">
        <v>800</v>
      </c>
      <c r="AM18" s="6">
        <v>31.135830058630773</v>
      </c>
      <c r="AN18" s="27"/>
      <c r="AO18" s="27"/>
      <c r="AX18" s="6">
        <v>3259.7657279883488</v>
      </c>
      <c r="AY18" s="6">
        <v>2231.4299999999998</v>
      </c>
      <c r="AZ18" s="6">
        <v>5491.1957279883491</v>
      </c>
      <c r="BB18" s="122">
        <v>5</v>
      </c>
      <c r="BC18" s="125" t="s">
        <v>64</v>
      </c>
      <c r="BD18" s="119">
        <v>3383.188283888463</v>
      </c>
      <c r="BE18" s="62">
        <v>2101.4299999999998</v>
      </c>
      <c r="BF18" s="6"/>
      <c r="BG18" s="6"/>
    </row>
    <row r="19" spans="1:59" ht="15" outlineLevel="1" thickBot="1">
      <c r="A19" t="s">
        <v>70</v>
      </c>
      <c r="B19" t="s">
        <v>23</v>
      </c>
      <c r="C19" s="74" t="s">
        <v>8</v>
      </c>
      <c r="D19" s="11"/>
      <c r="E19"/>
      <c r="AJ19"/>
      <c r="AK19" s="27"/>
      <c r="AL19" s="29">
        <v>0</v>
      </c>
      <c r="AM19" s="6">
        <v>0</v>
      </c>
      <c r="AN19" s="27"/>
      <c r="AO19" s="27"/>
      <c r="BB19" s="122">
        <v>5481.43</v>
      </c>
      <c r="BC19" s="126" t="s">
        <v>226</v>
      </c>
      <c r="BD19" s="128">
        <v>3.1882838884630473</v>
      </c>
      <c r="BE19" s="119">
        <v>5484.6182838884633</v>
      </c>
    </row>
    <row r="20" spans="1:59" outlineLevel="1">
      <c r="A20" t="s">
        <v>70</v>
      </c>
      <c r="B20" t="s">
        <v>25</v>
      </c>
      <c r="C20" s="72" t="s">
        <v>150</v>
      </c>
      <c r="D20" s="11"/>
      <c r="E20"/>
      <c r="F20" s="2">
        <v>400</v>
      </c>
      <c r="M20" s="2">
        <v>800</v>
      </c>
      <c r="O20" s="2">
        <v>200</v>
      </c>
      <c r="R20" s="2">
        <v>490</v>
      </c>
      <c r="Y20" s="2">
        <v>690</v>
      </c>
      <c r="AJ20">
        <v>260</v>
      </c>
      <c r="AK20" s="27"/>
      <c r="AL20" s="29">
        <v>2840</v>
      </c>
      <c r="AM20" s="6">
        <v>110.53219670813925</v>
      </c>
      <c r="AN20" s="27"/>
      <c r="AO20" s="27"/>
      <c r="AX20" t="s">
        <v>230</v>
      </c>
      <c r="BB20" s="123">
        <v>-3.1882838884621378</v>
      </c>
      <c r="BC20" s="127"/>
    </row>
    <row r="21" spans="1:59" ht="15" outlineLevel="1" thickBot="1">
      <c r="A21" t="s">
        <v>70</v>
      </c>
      <c r="B21" t="s">
        <v>25</v>
      </c>
      <c r="C21" s="74" t="s">
        <v>144</v>
      </c>
      <c r="D21" s="11"/>
      <c r="E21">
        <v>11284</v>
      </c>
      <c r="F21" s="6">
        <v>650</v>
      </c>
      <c r="O21" s="2">
        <v>6842</v>
      </c>
      <c r="AJ21"/>
      <c r="AK21" s="27"/>
      <c r="AL21" s="29">
        <v>18776</v>
      </c>
      <c r="AM21" s="6">
        <v>730.7579314760643</v>
      </c>
      <c r="AN21" s="27"/>
      <c r="AO21" s="27"/>
      <c r="AX21" s="9" t="s">
        <v>228</v>
      </c>
      <c r="BA21" t="s">
        <v>231</v>
      </c>
    </row>
    <row r="22" spans="1:59" outlineLevel="1">
      <c r="A22" t="s">
        <v>70</v>
      </c>
      <c r="B22" t="s">
        <v>24</v>
      </c>
      <c r="C22" s="72" t="s">
        <v>145</v>
      </c>
      <c r="D22" s="11"/>
      <c r="E22"/>
      <c r="F22" s="2">
        <v>600</v>
      </c>
      <c r="H22" s="2">
        <v>225</v>
      </c>
      <c r="O22" s="2">
        <v>300</v>
      </c>
      <c r="AC22" s="2">
        <v>150</v>
      </c>
      <c r="AF22" s="2">
        <v>50</v>
      </c>
      <c r="AG22" s="2">
        <v>240</v>
      </c>
      <c r="AH22" s="2">
        <v>1550</v>
      </c>
      <c r="AI22" s="2">
        <v>750</v>
      </c>
      <c r="AJ22" s="2">
        <v>200</v>
      </c>
      <c r="AK22" s="27"/>
      <c r="AL22" s="29">
        <v>4065</v>
      </c>
      <c r="AM22" s="6">
        <v>158.20893648541764</v>
      </c>
      <c r="AN22" s="27"/>
      <c r="AO22" s="27"/>
      <c r="AW22" s="117" t="s">
        <v>224</v>
      </c>
      <c r="AX22" s="6">
        <v>5484.6182838884624</v>
      </c>
      <c r="AY22" s="4">
        <v>580</v>
      </c>
      <c r="AZ22" s="110">
        <v>5481.43</v>
      </c>
      <c r="BA22" s="110">
        <v>5481.43</v>
      </c>
      <c r="BD22" s="120">
        <v>3383.188283888463</v>
      </c>
      <c r="BE22" s="62">
        <v>3380</v>
      </c>
      <c r="BF22" s="129">
        <v>3380</v>
      </c>
      <c r="BG22" s="4">
        <v>580</v>
      </c>
    </row>
    <row r="23" spans="1:59" outlineLevel="1">
      <c r="A23" t="s">
        <v>70</v>
      </c>
      <c r="B23" t="s">
        <v>24</v>
      </c>
      <c r="C23" s="73" t="s">
        <v>206</v>
      </c>
      <c r="D23" s="11"/>
      <c r="E23"/>
      <c r="I23" s="2">
        <v>500</v>
      </c>
      <c r="J23" s="2">
        <v>300</v>
      </c>
      <c r="L23" s="2">
        <v>900</v>
      </c>
      <c r="Q23" s="2">
        <v>500</v>
      </c>
      <c r="T23" s="2">
        <v>300</v>
      </c>
      <c r="W23" s="2">
        <v>1300</v>
      </c>
      <c r="Z23" s="2">
        <v>600</v>
      </c>
      <c r="AB23" s="2">
        <v>850</v>
      </c>
      <c r="AC23" s="2">
        <v>1500</v>
      </c>
      <c r="AF23" s="2">
        <v>600</v>
      </c>
      <c r="AJ23"/>
      <c r="AK23" s="27"/>
      <c r="AL23" s="29">
        <v>7350</v>
      </c>
      <c r="AM23" s="6">
        <v>286.06043866367025</v>
      </c>
      <c r="AN23" s="27"/>
      <c r="AO23" s="27"/>
      <c r="AW23" s="2" t="s">
        <v>61</v>
      </c>
      <c r="AX23" s="6">
        <v>4910.3489087393746</v>
      </c>
      <c r="AY23" s="4">
        <v>580</v>
      </c>
      <c r="AZ23" s="111">
        <v>-4910.3489087393746</v>
      </c>
      <c r="BA23" s="111">
        <v>-4910.3500000000004</v>
      </c>
      <c r="BD23" s="111">
        <v>-2808.9189087393752</v>
      </c>
      <c r="BE23" s="62">
        <v>-2808.9189087393752</v>
      </c>
      <c r="BF23" s="130">
        <v>-2808.92</v>
      </c>
      <c r="BG23" s="4">
        <v>580</v>
      </c>
    </row>
    <row r="24" spans="1:59" ht="15" outlineLevel="1" thickBot="1">
      <c r="A24" t="s">
        <v>70</v>
      </c>
      <c r="B24" t="s">
        <v>24</v>
      </c>
      <c r="C24" s="74" t="s">
        <v>136</v>
      </c>
      <c r="D24" s="11"/>
      <c r="E24" s="27"/>
      <c r="F24" s="27"/>
      <c r="L24" s="27"/>
      <c r="M24" s="27"/>
      <c r="O24" s="27"/>
      <c r="P24" s="27"/>
      <c r="Q24" s="27">
        <v>150</v>
      </c>
      <c r="R24" s="27"/>
      <c r="S24" s="27"/>
      <c r="T24" s="27"/>
      <c r="U24" s="27"/>
      <c r="V24" s="27"/>
      <c r="W24" s="27"/>
      <c r="Y24" s="27"/>
      <c r="Z24" s="27"/>
      <c r="AA24" s="27"/>
      <c r="AB24" s="27"/>
      <c r="AC24" s="27"/>
      <c r="AD24" s="27"/>
      <c r="AE24" s="27"/>
      <c r="AF24" s="27">
        <v>450</v>
      </c>
      <c r="AG24" s="27">
        <v>600</v>
      </c>
      <c r="AH24" s="27">
        <v>800</v>
      </c>
      <c r="AI24" s="27">
        <v>1250</v>
      </c>
      <c r="AJ24" s="27">
        <v>1600</v>
      </c>
      <c r="AK24" s="27"/>
      <c r="AL24" s="29">
        <v>4850</v>
      </c>
      <c r="AM24" s="6">
        <v>188.76096973044906</v>
      </c>
      <c r="AN24" s="27"/>
      <c r="AO24" s="27"/>
      <c r="AW24" s="2" t="s">
        <v>145</v>
      </c>
      <c r="AX24" s="6">
        <v>158.20893648541764</v>
      </c>
      <c r="AY24" s="4">
        <v>890</v>
      </c>
      <c r="AZ24" s="111">
        <v>-158.20893648541764</v>
      </c>
      <c r="BA24" s="111">
        <v>-158.21</v>
      </c>
      <c r="BD24" s="111">
        <v>-158.20893648541764</v>
      </c>
      <c r="BE24" s="62">
        <v>-158.20893648541764</v>
      </c>
      <c r="BF24" s="130">
        <v>-158.21</v>
      </c>
      <c r="BG24" s="4">
        <v>890</v>
      </c>
    </row>
    <row r="25" spans="1:59" outlineLevel="1">
      <c r="D25" s="2"/>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9">
        <v>0</v>
      </c>
      <c r="AM25" s="6">
        <v>0</v>
      </c>
      <c r="AN25" s="27"/>
      <c r="AW25" s="2" t="s">
        <v>137</v>
      </c>
      <c r="AX25" s="6">
        <v>286.06043866367025</v>
      </c>
      <c r="AY25" s="4">
        <v>140</v>
      </c>
      <c r="AZ25" s="115">
        <v>-282.87215477520812</v>
      </c>
      <c r="BA25" s="111">
        <v>-282.87</v>
      </c>
      <c r="BD25" s="111">
        <v>-286.06043866367025</v>
      </c>
      <c r="BE25" s="62">
        <v>-282.87215477520721</v>
      </c>
      <c r="BF25" s="130">
        <v>-282.87</v>
      </c>
      <c r="BG25" s="4">
        <v>140</v>
      </c>
    </row>
    <row r="26" spans="1:59" ht="15" outlineLevel="1" thickBot="1">
      <c r="C26" s="9" t="s">
        <v>14</v>
      </c>
      <c r="E26" s="29">
        <v>11284</v>
      </c>
      <c r="F26" s="29">
        <v>3129</v>
      </c>
      <c r="G26" s="29">
        <v>1925</v>
      </c>
      <c r="H26" s="29">
        <v>1295</v>
      </c>
      <c r="I26" s="29">
        <v>1840</v>
      </c>
      <c r="J26" s="29">
        <v>1215</v>
      </c>
      <c r="K26" s="29">
        <v>752</v>
      </c>
      <c r="L26" s="29">
        <v>1980</v>
      </c>
      <c r="M26" s="29">
        <v>1420</v>
      </c>
      <c r="N26" s="29">
        <v>1605</v>
      </c>
      <c r="O26" s="29">
        <v>9457</v>
      </c>
      <c r="P26" s="29">
        <v>1990</v>
      </c>
      <c r="Q26" s="29">
        <v>3470</v>
      </c>
      <c r="R26" s="29">
        <v>1640</v>
      </c>
      <c r="S26" s="29">
        <v>1415</v>
      </c>
      <c r="T26" s="29">
        <v>1355</v>
      </c>
      <c r="U26" s="29">
        <v>990</v>
      </c>
      <c r="V26" s="29">
        <v>1235</v>
      </c>
      <c r="W26" s="29">
        <v>2815</v>
      </c>
      <c r="X26" s="29">
        <v>991</v>
      </c>
      <c r="Y26" s="29">
        <v>1755</v>
      </c>
      <c r="Z26" s="29">
        <v>3317</v>
      </c>
      <c r="AA26" s="29">
        <v>-45</v>
      </c>
      <c r="AB26" s="29">
        <v>1885</v>
      </c>
      <c r="AC26" s="29">
        <v>2962</v>
      </c>
      <c r="AD26" s="29">
        <v>1763</v>
      </c>
      <c r="AE26" s="29">
        <v>2305</v>
      </c>
      <c r="AF26" s="29">
        <v>3350</v>
      </c>
      <c r="AG26" s="29">
        <v>2385</v>
      </c>
      <c r="AH26" s="29">
        <v>3563</v>
      </c>
      <c r="AI26" s="29">
        <v>2955</v>
      </c>
      <c r="AJ26" s="29">
        <v>4845</v>
      </c>
      <c r="AK26" s="29">
        <v>744</v>
      </c>
      <c r="AL26" s="29">
        <v>83587</v>
      </c>
      <c r="AM26" s="6">
        <v>3253.188283888463</v>
      </c>
      <c r="AN26" s="27"/>
      <c r="AW26" s="2" t="s">
        <v>225</v>
      </c>
      <c r="AX26" s="6">
        <v>130</v>
      </c>
      <c r="AY26" s="4">
        <v>40</v>
      </c>
      <c r="AZ26" s="112">
        <v>-130</v>
      </c>
      <c r="BA26" s="112">
        <v>-130</v>
      </c>
      <c r="BD26" s="112">
        <v>-130</v>
      </c>
      <c r="BE26" s="62">
        <v>-130</v>
      </c>
      <c r="BF26" s="131">
        <v>-130</v>
      </c>
      <c r="BG26" s="4">
        <v>40</v>
      </c>
    </row>
    <row r="27" spans="1:59">
      <c r="A27" s="44" t="s">
        <v>94</v>
      </c>
      <c r="C27" t="s">
        <v>208</v>
      </c>
      <c r="E27" s="29">
        <v>0</v>
      </c>
      <c r="F27" s="29">
        <v>979</v>
      </c>
      <c r="G27" s="29">
        <v>1425</v>
      </c>
      <c r="H27" s="29">
        <v>570</v>
      </c>
      <c r="I27" s="29">
        <v>840</v>
      </c>
      <c r="J27" s="29">
        <v>415</v>
      </c>
      <c r="K27" s="29">
        <v>252</v>
      </c>
      <c r="L27" s="29">
        <v>580</v>
      </c>
      <c r="M27" s="29">
        <v>120</v>
      </c>
      <c r="N27" s="29">
        <v>1105</v>
      </c>
      <c r="O27" s="29">
        <v>375</v>
      </c>
      <c r="P27" s="29">
        <v>250</v>
      </c>
      <c r="Q27" s="29">
        <v>1080</v>
      </c>
      <c r="R27" s="29">
        <v>650</v>
      </c>
      <c r="S27" s="29">
        <v>915</v>
      </c>
      <c r="T27" s="29">
        <v>555</v>
      </c>
      <c r="U27" s="29">
        <v>490</v>
      </c>
      <c r="V27" s="29">
        <v>735</v>
      </c>
      <c r="W27" s="29">
        <v>1015</v>
      </c>
      <c r="X27" s="29">
        <v>491</v>
      </c>
      <c r="Y27" s="29">
        <v>565</v>
      </c>
      <c r="Z27" s="29">
        <v>2217</v>
      </c>
      <c r="AA27" s="29">
        <v>-545</v>
      </c>
      <c r="AB27" s="29">
        <v>535</v>
      </c>
      <c r="AC27" s="29">
        <v>812</v>
      </c>
      <c r="AD27" s="29">
        <v>1263</v>
      </c>
      <c r="AE27" s="29">
        <v>780</v>
      </c>
      <c r="AF27" s="29">
        <v>725</v>
      </c>
      <c r="AG27" s="29">
        <v>1045</v>
      </c>
      <c r="AH27" s="29">
        <v>713</v>
      </c>
      <c r="AI27" s="29">
        <v>455</v>
      </c>
      <c r="AJ27" s="29">
        <v>785</v>
      </c>
      <c r="AK27" s="29">
        <v>744</v>
      </c>
      <c r="AL27" s="29">
        <v>22936</v>
      </c>
      <c r="AM27" s="6">
        <v>892.66424778094438</v>
      </c>
      <c r="AN27" s="27"/>
    </row>
    <row r="28" spans="1:59">
      <c r="A28" s="44"/>
      <c r="C28" s="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6"/>
      <c r="AN28" s="27"/>
      <c r="AW28" s="116" t="s">
        <v>232</v>
      </c>
      <c r="AX28" s="94"/>
      <c r="AY28" s="94"/>
    </row>
    <row r="29" spans="1:59" hidden="1" outlineLevel="1"/>
    <row r="30" spans="1:59" hidden="1" outlineLevel="1">
      <c r="A30" t="s">
        <v>70</v>
      </c>
      <c r="C30" t="s">
        <v>21</v>
      </c>
      <c r="E30" s="2">
        <v>0</v>
      </c>
      <c r="F30" s="2">
        <v>1479</v>
      </c>
      <c r="G30" s="2">
        <v>1825</v>
      </c>
      <c r="H30" s="2">
        <v>820</v>
      </c>
      <c r="I30" s="2">
        <v>1340</v>
      </c>
      <c r="J30" s="2">
        <v>915</v>
      </c>
      <c r="K30" s="2">
        <v>752</v>
      </c>
      <c r="L30" s="2">
        <v>1080</v>
      </c>
      <c r="M30" s="2">
        <v>620</v>
      </c>
      <c r="N30" s="2">
        <v>1405</v>
      </c>
      <c r="O30" s="2">
        <v>2115</v>
      </c>
      <c r="P30" s="2">
        <v>1990</v>
      </c>
      <c r="Q30" s="2">
        <v>2490</v>
      </c>
      <c r="R30" s="2">
        <v>1150</v>
      </c>
      <c r="S30" s="2">
        <v>1415</v>
      </c>
      <c r="T30" s="2">
        <v>1055</v>
      </c>
      <c r="U30" s="2">
        <v>990</v>
      </c>
      <c r="V30" s="2">
        <v>1235</v>
      </c>
      <c r="W30" s="2">
        <v>1265</v>
      </c>
      <c r="X30" s="2">
        <v>991</v>
      </c>
      <c r="Y30" s="2">
        <v>565</v>
      </c>
      <c r="Z30" s="2">
        <v>2717</v>
      </c>
      <c r="AA30" s="2">
        <v>-45</v>
      </c>
      <c r="AB30" s="2">
        <v>1035</v>
      </c>
      <c r="AC30" s="2">
        <v>1312</v>
      </c>
      <c r="AD30" s="2">
        <v>1443</v>
      </c>
      <c r="AE30" s="2">
        <v>2305</v>
      </c>
      <c r="AF30" s="2">
        <v>2050</v>
      </c>
      <c r="AG30" s="2">
        <v>1545</v>
      </c>
      <c r="AH30" s="2">
        <v>1213</v>
      </c>
      <c r="AI30" s="2">
        <v>955</v>
      </c>
      <c r="AJ30" s="2">
        <v>2785</v>
      </c>
      <c r="AK30" s="2">
        <v>50</v>
      </c>
      <c r="AL30" s="29">
        <v>42862</v>
      </c>
      <c r="AM30" s="6">
        <v>1668.1799349662904</v>
      </c>
    </row>
    <row r="31" spans="1:59" hidden="1" outlineLevel="1">
      <c r="A31" t="s">
        <v>70</v>
      </c>
      <c r="C31" t="s">
        <v>23</v>
      </c>
      <c r="E31" s="2">
        <v>0</v>
      </c>
      <c r="F31" s="2">
        <v>0</v>
      </c>
      <c r="G31" s="2">
        <v>100</v>
      </c>
      <c r="H31" s="2">
        <v>250</v>
      </c>
      <c r="I31" s="2">
        <v>0</v>
      </c>
      <c r="J31" s="2">
        <v>0</v>
      </c>
      <c r="K31" s="2">
        <v>0</v>
      </c>
      <c r="L31" s="2">
        <v>0</v>
      </c>
      <c r="M31" s="2">
        <v>0</v>
      </c>
      <c r="N31" s="2">
        <v>200</v>
      </c>
      <c r="O31" s="2">
        <v>0</v>
      </c>
      <c r="P31" s="2">
        <v>0</v>
      </c>
      <c r="Q31" s="2">
        <v>330</v>
      </c>
      <c r="R31" s="2">
        <v>0</v>
      </c>
      <c r="S31" s="2">
        <v>0</v>
      </c>
      <c r="T31" s="2">
        <v>0</v>
      </c>
      <c r="U31" s="2">
        <v>0</v>
      </c>
      <c r="V31" s="2">
        <v>0</v>
      </c>
      <c r="W31" s="2">
        <v>250</v>
      </c>
      <c r="X31" s="2">
        <v>0</v>
      </c>
      <c r="Y31" s="2">
        <v>500</v>
      </c>
      <c r="Z31" s="2">
        <v>0</v>
      </c>
      <c r="AA31" s="2">
        <v>0</v>
      </c>
      <c r="AB31" s="2">
        <v>0</v>
      </c>
      <c r="AC31" s="2">
        <v>0</v>
      </c>
      <c r="AD31" s="2">
        <v>320</v>
      </c>
      <c r="AE31" s="2">
        <v>0</v>
      </c>
      <c r="AF31" s="2">
        <v>200</v>
      </c>
      <c r="AG31" s="2">
        <v>0</v>
      </c>
      <c r="AH31" s="2">
        <v>0</v>
      </c>
      <c r="AI31" s="2">
        <v>0</v>
      </c>
      <c r="AJ31" s="2">
        <v>0</v>
      </c>
      <c r="AK31" s="2">
        <v>694</v>
      </c>
      <c r="AL31" s="29">
        <v>2844</v>
      </c>
      <c r="AM31" s="6">
        <v>110.68787585843241</v>
      </c>
    </row>
    <row r="32" spans="1:59" hidden="1" outlineLevel="1">
      <c r="A32" t="s">
        <v>70</v>
      </c>
      <c r="C32" t="s">
        <v>25</v>
      </c>
      <c r="E32" s="2">
        <v>11284</v>
      </c>
      <c r="F32" s="2">
        <v>1050</v>
      </c>
      <c r="G32" s="2">
        <v>0</v>
      </c>
      <c r="H32" s="2">
        <v>0</v>
      </c>
      <c r="I32" s="2">
        <v>0</v>
      </c>
      <c r="J32" s="2">
        <v>0</v>
      </c>
      <c r="K32" s="2">
        <v>0</v>
      </c>
      <c r="L32" s="2">
        <v>0</v>
      </c>
      <c r="M32" s="2">
        <v>800</v>
      </c>
      <c r="N32" s="2">
        <v>0</v>
      </c>
      <c r="O32" s="2">
        <v>7042</v>
      </c>
      <c r="P32" s="2">
        <v>0</v>
      </c>
      <c r="Q32" s="2">
        <v>0</v>
      </c>
      <c r="R32" s="2">
        <v>490</v>
      </c>
      <c r="S32" s="2">
        <v>0</v>
      </c>
      <c r="T32" s="2">
        <v>0</v>
      </c>
      <c r="U32" s="2">
        <v>0</v>
      </c>
      <c r="V32" s="2">
        <v>0</v>
      </c>
      <c r="W32" s="2">
        <v>0</v>
      </c>
      <c r="X32" s="2">
        <v>0</v>
      </c>
      <c r="Y32" s="2">
        <v>690</v>
      </c>
      <c r="Z32" s="2">
        <v>0</v>
      </c>
      <c r="AA32" s="2">
        <v>0</v>
      </c>
      <c r="AB32" s="2">
        <v>0</v>
      </c>
      <c r="AC32" s="2">
        <v>0</v>
      </c>
      <c r="AD32" s="2">
        <v>0</v>
      </c>
      <c r="AE32" s="2">
        <v>0</v>
      </c>
      <c r="AF32" s="2">
        <v>0</v>
      </c>
      <c r="AG32" s="2">
        <v>0</v>
      </c>
      <c r="AH32" s="2">
        <v>0</v>
      </c>
      <c r="AI32" s="2">
        <v>0</v>
      </c>
      <c r="AJ32" s="2">
        <v>260</v>
      </c>
      <c r="AK32" s="2">
        <v>0</v>
      </c>
      <c r="AL32" s="29">
        <v>21616</v>
      </c>
      <c r="AM32" s="6">
        <v>841.29012818420358</v>
      </c>
    </row>
    <row r="33" spans="1:50" hidden="1" outlineLevel="1">
      <c r="A33" t="s">
        <v>70</v>
      </c>
      <c r="C33" t="s">
        <v>26</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9">
        <v>0</v>
      </c>
      <c r="AM33" s="6">
        <v>0</v>
      </c>
    </row>
    <row r="34" spans="1:50" hidden="1" outlineLevel="1">
      <c r="A34" t="s">
        <v>70</v>
      </c>
      <c r="C34" t="s">
        <v>24</v>
      </c>
      <c r="E34" s="2">
        <v>0</v>
      </c>
      <c r="F34" s="2">
        <v>600</v>
      </c>
      <c r="G34" s="2">
        <v>0</v>
      </c>
      <c r="H34" s="2">
        <v>225</v>
      </c>
      <c r="I34" s="2">
        <v>500</v>
      </c>
      <c r="J34" s="2">
        <v>300</v>
      </c>
      <c r="K34" s="2">
        <v>0</v>
      </c>
      <c r="L34" s="2">
        <v>900</v>
      </c>
      <c r="M34" s="2">
        <v>0</v>
      </c>
      <c r="N34" s="2">
        <v>0</v>
      </c>
      <c r="O34" s="2">
        <v>300</v>
      </c>
      <c r="P34" s="2">
        <v>0</v>
      </c>
      <c r="Q34" s="2">
        <v>650</v>
      </c>
      <c r="R34" s="2">
        <v>0</v>
      </c>
      <c r="S34" s="2">
        <v>0</v>
      </c>
      <c r="T34" s="2">
        <v>300</v>
      </c>
      <c r="U34" s="2">
        <v>0</v>
      </c>
      <c r="V34" s="2">
        <v>0</v>
      </c>
      <c r="W34" s="2">
        <v>1300</v>
      </c>
      <c r="X34" s="2">
        <v>0</v>
      </c>
      <c r="Y34" s="2">
        <v>0</v>
      </c>
      <c r="Z34" s="2">
        <v>600</v>
      </c>
      <c r="AA34" s="2">
        <v>0</v>
      </c>
      <c r="AB34" s="2">
        <v>850</v>
      </c>
      <c r="AC34" s="2">
        <v>1650</v>
      </c>
      <c r="AD34" s="2">
        <v>0</v>
      </c>
      <c r="AE34" s="2">
        <v>0</v>
      </c>
      <c r="AF34" s="2">
        <v>1100</v>
      </c>
      <c r="AG34" s="2">
        <v>840</v>
      </c>
      <c r="AH34" s="2">
        <v>2350</v>
      </c>
      <c r="AI34" s="2">
        <v>2000</v>
      </c>
      <c r="AJ34" s="2">
        <v>1800</v>
      </c>
      <c r="AK34" s="2">
        <v>0</v>
      </c>
      <c r="AL34" s="29">
        <v>16265</v>
      </c>
      <c r="AM34" s="6">
        <v>633.03034487953698</v>
      </c>
    </row>
    <row r="35" spans="1:50" hidden="1" outlineLevel="1">
      <c r="C35" s="9" t="s">
        <v>14</v>
      </c>
      <c r="E35" s="4">
        <v>11284</v>
      </c>
      <c r="F35" s="4">
        <v>3129</v>
      </c>
      <c r="G35" s="4">
        <v>1925</v>
      </c>
      <c r="H35" s="4">
        <v>1295</v>
      </c>
      <c r="I35" s="4">
        <v>1840</v>
      </c>
      <c r="J35" s="4">
        <v>1215</v>
      </c>
      <c r="K35" s="4">
        <v>752</v>
      </c>
      <c r="L35" s="4">
        <v>1980</v>
      </c>
      <c r="M35" s="4">
        <v>1420</v>
      </c>
      <c r="N35" s="4">
        <v>1605</v>
      </c>
      <c r="O35" s="4">
        <v>9457</v>
      </c>
      <c r="P35" s="4">
        <v>1990</v>
      </c>
      <c r="Q35" s="4">
        <v>3470</v>
      </c>
      <c r="R35" s="4">
        <v>1640</v>
      </c>
      <c r="S35" s="4">
        <v>1415</v>
      </c>
      <c r="T35" s="4">
        <v>1355</v>
      </c>
      <c r="U35" s="4">
        <v>990</v>
      </c>
      <c r="V35" s="4">
        <v>1235</v>
      </c>
      <c r="W35" s="4">
        <v>2815</v>
      </c>
      <c r="X35" s="4">
        <v>991</v>
      </c>
      <c r="Y35" s="4">
        <v>1755</v>
      </c>
      <c r="Z35" s="4">
        <v>3317</v>
      </c>
      <c r="AA35" s="4">
        <v>-45</v>
      </c>
      <c r="AB35" s="4">
        <v>1885</v>
      </c>
      <c r="AC35" s="4">
        <v>2962</v>
      </c>
      <c r="AD35" s="4">
        <v>1763</v>
      </c>
      <c r="AE35" s="4">
        <v>2305</v>
      </c>
      <c r="AF35" s="4">
        <v>3350</v>
      </c>
      <c r="AG35" s="4">
        <v>2385</v>
      </c>
      <c r="AH35" s="4">
        <v>3563</v>
      </c>
      <c r="AI35" s="4">
        <v>2955</v>
      </c>
      <c r="AJ35" s="4">
        <v>4845</v>
      </c>
      <c r="AK35" s="4">
        <v>744</v>
      </c>
      <c r="AL35" s="29">
        <v>83587</v>
      </c>
      <c r="AM35" s="6">
        <v>3253.188283888463</v>
      </c>
    </row>
    <row r="36" spans="1:50" collapsed="1">
      <c r="A36" s="9" t="s">
        <v>96</v>
      </c>
      <c r="C36" s="9"/>
      <c r="F36" s="4"/>
      <c r="G36" s="4"/>
      <c r="H36" s="4"/>
      <c r="I36" s="4"/>
      <c r="J36" s="4"/>
      <c r="K36" s="4"/>
      <c r="L36" s="4"/>
      <c r="M36" s="4"/>
      <c r="N36" s="4"/>
      <c r="O36" s="4"/>
      <c r="P36" s="4"/>
      <c r="Q36" s="4"/>
      <c r="R36" s="4"/>
      <c r="S36" s="4"/>
      <c r="T36" s="4"/>
      <c r="U36" s="4"/>
      <c r="V36" s="4"/>
      <c r="W36" s="4"/>
      <c r="X36" s="4"/>
      <c r="AM36" s="14"/>
    </row>
    <row r="37" spans="1:50">
      <c r="A37" s="9"/>
      <c r="C37" s="9"/>
      <c r="F37" s="4"/>
      <c r="G37" s="4"/>
      <c r="H37" s="4"/>
      <c r="I37" s="4"/>
      <c r="J37" s="4"/>
      <c r="K37" s="4"/>
      <c r="L37" s="4"/>
      <c r="M37" s="4"/>
      <c r="N37" s="4"/>
      <c r="O37" s="4"/>
      <c r="P37" s="4"/>
      <c r="Q37" s="4"/>
      <c r="R37" s="4"/>
      <c r="S37" s="4"/>
      <c r="T37" s="4"/>
      <c r="U37" s="4"/>
      <c r="V37" s="4"/>
      <c r="W37" s="4"/>
      <c r="X37" s="4"/>
      <c r="AM37" s="14"/>
    </row>
    <row r="38" spans="1:50" hidden="1" outlineLevel="1">
      <c r="A38" s="9"/>
      <c r="C38" s="9"/>
      <c r="F38" s="2" t="s">
        <v>89</v>
      </c>
      <c r="G38" s="2" t="s">
        <v>90</v>
      </c>
      <c r="H38" s="2" t="s">
        <v>84</v>
      </c>
      <c r="I38" s="2" t="s">
        <v>85</v>
      </c>
      <c r="J38" s="2" t="s">
        <v>86</v>
      </c>
      <c r="K38" s="2" t="s">
        <v>87</v>
      </c>
      <c r="L38" s="2" t="s">
        <v>88</v>
      </c>
      <c r="M38" s="2" t="s">
        <v>89</v>
      </c>
      <c r="N38" s="2" t="s">
        <v>90</v>
      </c>
      <c r="O38" s="2" t="s">
        <v>84</v>
      </c>
      <c r="P38" s="2" t="s">
        <v>85</v>
      </c>
      <c r="Q38" s="2" t="s">
        <v>86</v>
      </c>
      <c r="R38" s="2" t="s">
        <v>87</v>
      </c>
      <c r="S38" s="2" t="s">
        <v>88</v>
      </c>
      <c r="T38" s="2" t="s">
        <v>89</v>
      </c>
      <c r="U38" s="2" t="s">
        <v>90</v>
      </c>
      <c r="V38" s="2" t="s">
        <v>84</v>
      </c>
      <c r="W38" s="2" t="s">
        <v>85</v>
      </c>
      <c r="X38" s="2" t="s">
        <v>86</v>
      </c>
      <c r="Y38" s="2" t="s">
        <v>87</v>
      </c>
      <c r="Z38" s="2" t="s">
        <v>88</v>
      </c>
      <c r="AA38" s="2" t="s">
        <v>89</v>
      </c>
      <c r="AB38" s="2" t="s">
        <v>90</v>
      </c>
      <c r="AC38" s="2" t="s">
        <v>84</v>
      </c>
      <c r="AD38" s="2" t="s">
        <v>85</v>
      </c>
      <c r="AE38" s="2" t="s">
        <v>86</v>
      </c>
      <c r="AF38" s="2" t="s">
        <v>87</v>
      </c>
      <c r="AG38" s="2" t="s">
        <v>88</v>
      </c>
      <c r="AH38" s="2" t="s">
        <v>89</v>
      </c>
      <c r="AI38" s="2" t="s">
        <v>90</v>
      </c>
      <c r="AJ38" s="2" t="s">
        <v>84</v>
      </c>
      <c r="AK38" s="2" t="s">
        <v>85</v>
      </c>
      <c r="AL38" s="4" t="s">
        <v>9</v>
      </c>
      <c r="AM38" s="14"/>
    </row>
    <row r="39" spans="1:50" hidden="1" outlineLevel="1">
      <c r="C39" s="9"/>
      <c r="E39" s="39"/>
      <c r="F39" s="39">
        <v>43673</v>
      </c>
      <c r="G39" s="39">
        <v>43674</v>
      </c>
      <c r="H39" s="39">
        <v>43675</v>
      </c>
      <c r="I39" s="39">
        <v>43676</v>
      </c>
      <c r="J39" s="39">
        <v>43677</v>
      </c>
      <c r="K39" s="39">
        <v>43678</v>
      </c>
      <c r="L39" s="39">
        <v>43679</v>
      </c>
      <c r="M39" s="39">
        <v>43680</v>
      </c>
      <c r="N39" s="39">
        <v>43681</v>
      </c>
      <c r="O39" s="39">
        <v>43682</v>
      </c>
      <c r="P39" s="39">
        <v>43683</v>
      </c>
      <c r="Q39" s="39">
        <v>43684</v>
      </c>
      <c r="R39" s="39">
        <v>43685</v>
      </c>
      <c r="S39" s="39">
        <v>43686</v>
      </c>
      <c r="T39" s="39">
        <v>43687</v>
      </c>
      <c r="U39" s="39">
        <v>43688</v>
      </c>
      <c r="V39" s="39">
        <v>43689</v>
      </c>
      <c r="W39" s="39">
        <v>43690</v>
      </c>
      <c r="X39" s="39">
        <v>43691</v>
      </c>
      <c r="Y39" s="39">
        <v>43692</v>
      </c>
      <c r="Z39" s="39">
        <v>43693</v>
      </c>
      <c r="AA39" s="39">
        <v>43694</v>
      </c>
      <c r="AB39" s="39">
        <v>43695</v>
      </c>
      <c r="AC39" s="39">
        <v>43696</v>
      </c>
      <c r="AD39" s="39">
        <v>43697</v>
      </c>
      <c r="AE39" s="39">
        <v>43698</v>
      </c>
      <c r="AF39" s="39">
        <v>43699</v>
      </c>
      <c r="AG39" s="39">
        <v>43700</v>
      </c>
      <c r="AH39" s="39">
        <v>43701</v>
      </c>
      <c r="AI39" s="39">
        <v>43702</v>
      </c>
      <c r="AJ39" s="39">
        <v>43703</v>
      </c>
      <c r="AK39" s="39">
        <v>43704</v>
      </c>
      <c r="AM39" s="14"/>
    </row>
    <row r="40" spans="1:50" hidden="1" outlineLevel="1">
      <c r="F40" s="2" t="s">
        <v>52</v>
      </c>
      <c r="G40" s="2" t="s">
        <v>52</v>
      </c>
      <c r="H40" s="2" t="s">
        <v>52</v>
      </c>
      <c r="I40" s="2" t="s">
        <v>52</v>
      </c>
      <c r="J40" s="2" t="s">
        <v>52</v>
      </c>
      <c r="K40" s="2" t="s">
        <v>52</v>
      </c>
      <c r="L40" s="2" t="s">
        <v>52</v>
      </c>
      <c r="M40" s="2" t="s">
        <v>52</v>
      </c>
      <c r="N40" s="2" t="s">
        <v>52</v>
      </c>
      <c r="O40" s="2" t="s">
        <v>214</v>
      </c>
      <c r="P40" s="2" t="s">
        <v>214</v>
      </c>
      <c r="Q40" s="2" t="s">
        <v>214</v>
      </c>
      <c r="R40" s="2" t="s">
        <v>52</v>
      </c>
      <c r="S40" s="2" t="s">
        <v>52</v>
      </c>
      <c r="T40" s="2" t="s">
        <v>52</v>
      </c>
      <c r="U40" s="2" t="s">
        <v>52</v>
      </c>
      <c r="V40" s="2" t="s">
        <v>52</v>
      </c>
      <c r="W40" s="2" t="s">
        <v>52</v>
      </c>
      <c r="X40" s="2" t="s">
        <v>52</v>
      </c>
      <c r="Y40" s="2" t="s">
        <v>52</v>
      </c>
      <c r="Z40" s="2" t="s">
        <v>52</v>
      </c>
      <c r="AA40" s="2" t="s">
        <v>52</v>
      </c>
      <c r="AB40" s="2" t="s">
        <v>52</v>
      </c>
      <c r="AC40" s="2" t="s">
        <v>52</v>
      </c>
      <c r="AD40" s="2" t="s">
        <v>211</v>
      </c>
      <c r="AE40" s="2" t="s">
        <v>211</v>
      </c>
      <c r="AF40" s="2" t="s">
        <v>52</v>
      </c>
      <c r="AG40" s="2" t="s">
        <v>52</v>
      </c>
      <c r="AH40" s="2" t="s">
        <v>52</v>
      </c>
      <c r="AI40" s="2" t="s">
        <v>52</v>
      </c>
      <c r="AJ40" s="2" t="s">
        <v>52</v>
      </c>
      <c r="AK40" s="2" t="s">
        <v>68</v>
      </c>
    </row>
    <row r="41" spans="1:50" hidden="1" outlineLevel="1">
      <c r="C41" s="9" t="s">
        <v>33</v>
      </c>
      <c r="D41" s="2">
        <v>0</v>
      </c>
      <c r="F41" s="2">
        <v>1</v>
      </c>
      <c r="G41" s="2">
        <v>2</v>
      </c>
      <c r="H41" s="2">
        <v>3</v>
      </c>
      <c r="I41" s="2">
        <v>4</v>
      </c>
      <c r="J41" s="2">
        <v>5</v>
      </c>
      <c r="K41" s="2">
        <v>6</v>
      </c>
      <c r="L41" s="2">
        <v>7</v>
      </c>
      <c r="M41" s="2">
        <v>8</v>
      </c>
      <c r="N41" s="2">
        <v>9</v>
      </c>
      <c r="O41" s="2">
        <v>10</v>
      </c>
      <c r="P41" s="2">
        <v>11</v>
      </c>
      <c r="Q41" s="2">
        <v>12</v>
      </c>
      <c r="R41" s="2">
        <v>13</v>
      </c>
      <c r="S41" s="2">
        <v>14</v>
      </c>
      <c r="T41" s="2">
        <v>15</v>
      </c>
      <c r="U41" s="2">
        <v>16</v>
      </c>
      <c r="V41" s="2">
        <v>17</v>
      </c>
      <c r="W41" s="2">
        <v>18</v>
      </c>
      <c r="X41" s="2">
        <v>19</v>
      </c>
      <c r="Y41" s="2">
        <v>20</v>
      </c>
      <c r="Z41" s="2">
        <v>21</v>
      </c>
      <c r="AA41" s="2">
        <v>22</v>
      </c>
      <c r="AB41" s="2">
        <v>23</v>
      </c>
      <c r="AC41" s="2">
        <v>24</v>
      </c>
      <c r="AD41" s="2">
        <v>25</v>
      </c>
      <c r="AE41" s="2">
        <v>26</v>
      </c>
      <c r="AF41" s="2">
        <v>27</v>
      </c>
      <c r="AG41" s="2">
        <v>28</v>
      </c>
      <c r="AH41" s="2">
        <v>29</v>
      </c>
      <c r="AI41" s="2">
        <v>30</v>
      </c>
      <c r="AJ41" s="2">
        <v>31</v>
      </c>
      <c r="AK41" s="2">
        <v>32</v>
      </c>
      <c r="AW41" s="102" t="s">
        <v>215</v>
      </c>
    </row>
    <row r="42" spans="1:50" hidden="1" outlineLevel="1">
      <c r="A42" t="s">
        <v>9</v>
      </c>
      <c r="B42" t="s">
        <v>21</v>
      </c>
      <c r="C42" s="72" t="s">
        <v>142</v>
      </c>
      <c r="E42" s="6"/>
      <c r="F42" s="6"/>
      <c r="G42" s="6"/>
      <c r="H42" s="6"/>
      <c r="I42" s="6"/>
      <c r="J42" s="6"/>
      <c r="K42" s="6"/>
      <c r="L42"/>
      <c r="M42"/>
      <c r="N42"/>
      <c r="O42" s="6"/>
      <c r="P42" s="6"/>
      <c r="Q42" s="6"/>
      <c r="R42" s="6"/>
      <c r="S42" s="6"/>
      <c r="T42" s="6"/>
      <c r="U42" s="6"/>
      <c r="V42" s="6"/>
      <c r="W42" s="6"/>
      <c r="X42" s="6"/>
      <c r="Y42" s="6"/>
      <c r="Z42" s="6"/>
      <c r="AA42" s="6"/>
      <c r="AB42" s="6"/>
      <c r="AC42" s="6"/>
      <c r="AD42" s="6"/>
      <c r="AE42" s="6"/>
      <c r="AF42" s="6"/>
      <c r="AG42" s="6"/>
      <c r="AH42" s="6"/>
      <c r="AI42" s="6"/>
      <c r="AJ42" s="6"/>
      <c r="AK42" s="6">
        <v>5</v>
      </c>
      <c r="AL42" s="29">
        <v>5</v>
      </c>
      <c r="AV42" s="9" t="s">
        <v>134</v>
      </c>
      <c r="AW42" s="102" t="s">
        <v>216</v>
      </c>
    </row>
    <row r="43" spans="1:50" hidden="1" outlineLevel="1">
      <c r="A43" t="s">
        <v>9</v>
      </c>
      <c r="B43" t="s">
        <v>21</v>
      </c>
      <c r="C43" s="73" t="s">
        <v>203</v>
      </c>
      <c r="E43" s="6"/>
      <c r="F43" s="6"/>
      <c r="G43" s="6"/>
      <c r="H43" s="6"/>
      <c r="I43" s="6"/>
      <c r="J43" s="6"/>
      <c r="K43" s="6"/>
      <c r="L43"/>
      <c r="M43"/>
      <c r="N43"/>
      <c r="O43" s="6"/>
      <c r="P43" s="6"/>
      <c r="Q43" s="6"/>
      <c r="R43" s="6"/>
      <c r="S43" s="6"/>
      <c r="T43" s="6"/>
      <c r="U43" s="6"/>
      <c r="V43" s="6"/>
      <c r="W43" s="6"/>
      <c r="X43" s="6"/>
      <c r="Y43" s="6"/>
      <c r="Z43" s="6"/>
      <c r="AA43" s="6"/>
      <c r="AB43" s="6"/>
      <c r="AC43" s="6"/>
      <c r="AD43" s="6"/>
      <c r="AE43" s="6"/>
      <c r="AF43" s="6"/>
      <c r="AG43" s="93"/>
      <c r="AH43" s="6"/>
      <c r="AI43" s="6"/>
      <c r="AJ43" s="6"/>
      <c r="AK43" s="6"/>
      <c r="AL43" s="29">
        <v>0</v>
      </c>
      <c r="AV43" s="101">
        <v>-19.11</v>
      </c>
      <c r="AW43" s="103" t="s">
        <v>220</v>
      </c>
    </row>
    <row r="44" spans="1:50" hidden="1" outlineLevel="1">
      <c r="A44" t="s">
        <v>9</v>
      </c>
      <c r="B44" t="s">
        <v>21</v>
      </c>
      <c r="C44" s="73" t="s">
        <v>204</v>
      </c>
      <c r="E44" s="6"/>
      <c r="F44" s="6"/>
      <c r="G44" s="6"/>
      <c r="H44" s="6"/>
      <c r="I44" s="6"/>
      <c r="J44" s="6"/>
      <c r="K44" s="6"/>
      <c r="L44"/>
      <c r="M44"/>
      <c r="N44"/>
      <c r="O44" s="6"/>
      <c r="P44" s="6"/>
      <c r="Q44" s="6"/>
      <c r="R44" s="6"/>
      <c r="S44" s="6"/>
      <c r="T44" s="6"/>
      <c r="U44" s="6"/>
      <c r="V44" s="6"/>
      <c r="W44" s="6"/>
      <c r="X44" s="6"/>
      <c r="Y44" s="6"/>
      <c r="Z44" s="6"/>
      <c r="AA44" s="6"/>
      <c r="AB44" s="6"/>
      <c r="AC44" s="6"/>
      <c r="AD44" s="6"/>
      <c r="AE44" s="6"/>
      <c r="AF44" s="6"/>
      <c r="AG44" s="93"/>
      <c r="AH44" s="6"/>
      <c r="AI44" s="6"/>
      <c r="AJ44" s="6"/>
      <c r="AK44" s="6"/>
      <c r="AL44" s="29">
        <v>0</v>
      </c>
      <c r="AV44" s="101">
        <v>-1663</v>
      </c>
      <c r="AW44" s="103" t="s">
        <v>217</v>
      </c>
    </row>
    <row r="45" spans="1:50" hidden="1" outlineLevel="1">
      <c r="A45" t="s">
        <v>9</v>
      </c>
      <c r="B45" t="s">
        <v>21</v>
      </c>
      <c r="C45" s="73" t="s">
        <v>147</v>
      </c>
      <c r="E45" s="6"/>
      <c r="F45" s="6"/>
      <c r="G45" s="6"/>
      <c r="H45" s="6"/>
      <c r="I45" s="6"/>
      <c r="J45" s="6"/>
      <c r="K45" s="6"/>
      <c r="L45"/>
      <c r="M45"/>
      <c r="N45"/>
      <c r="O45" s="6"/>
      <c r="P45" s="6"/>
      <c r="Q45" s="6"/>
      <c r="R45" s="6"/>
      <c r="S45" s="6"/>
      <c r="T45" s="6"/>
      <c r="U45" s="6"/>
      <c r="V45" s="6"/>
      <c r="W45" s="6"/>
      <c r="X45" s="6"/>
      <c r="Y45" s="6"/>
      <c r="Z45" s="6"/>
      <c r="AA45" s="6"/>
      <c r="AB45" s="6"/>
      <c r="AC45" s="6"/>
      <c r="AD45" s="6"/>
      <c r="AE45" s="6"/>
      <c r="AF45" s="6"/>
      <c r="AG45" s="6"/>
      <c r="AH45" s="6"/>
      <c r="AI45" s="6"/>
      <c r="AJ45" s="6"/>
      <c r="AK45" s="6"/>
      <c r="AL45" s="29">
        <v>0</v>
      </c>
      <c r="AV45" s="105">
        <v>-35</v>
      </c>
      <c r="AW45" s="103" t="s">
        <v>218</v>
      </c>
    </row>
    <row r="46" spans="1:50" hidden="1" outlineLevel="1">
      <c r="A46" t="s">
        <v>9</v>
      </c>
      <c r="B46" t="s">
        <v>21</v>
      </c>
      <c r="C46" s="73" t="s">
        <v>205</v>
      </c>
      <c r="E46" s="6"/>
      <c r="F46" s="6"/>
      <c r="G46" s="6"/>
      <c r="H46" s="6"/>
      <c r="I46" s="6"/>
      <c r="J46" s="6"/>
      <c r="K46" s="6"/>
      <c r="L46"/>
      <c r="M46"/>
      <c r="N46"/>
      <c r="O46" s="6"/>
      <c r="P46" s="6"/>
      <c r="Q46" s="6"/>
      <c r="R46" s="6"/>
      <c r="S46" s="6"/>
      <c r="T46" s="6"/>
      <c r="U46" s="6"/>
      <c r="V46" s="6"/>
      <c r="W46" s="6"/>
      <c r="X46" s="6"/>
      <c r="Y46" s="6"/>
      <c r="Z46" s="6"/>
      <c r="AA46" s="6"/>
      <c r="AB46" s="6"/>
      <c r="AC46" s="6"/>
      <c r="AD46" s="6"/>
      <c r="AE46" s="6"/>
      <c r="AF46" s="6"/>
      <c r="AG46" s="6"/>
      <c r="AH46" s="6"/>
      <c r="AI46" s="6"/>
      <c r="AJ46" s="6"/>
      <c r="AK46" s="6"/>
      <c r="AL46" s="29">
        <v>0</v>
      </c>
      <c r="AV46" s="106">
        <v>-125</v>
      </c>
      <c r="AW46" s="102" t="s">
        <v>219</v>
      </c>
    </row>
    <row r="47" spans="1:50" hidden="1" outlineLevel="1">
      <c r="A47" t="s">
        <v>9</v>
      </c>
      <c r="B47" t="s">
        <v>21</v>
      </c>
      <c r="C47" s="73" t="s">
        <v>146</v>
      </c>
      <c r="E47" s="6"/>
      <c r="F47" s="6"/>
      <c r="G47" s="6"/>
      <c r="H47" s="6"/>
      <c r="I47" s="6"/>
      <c r="J47" s="6"/>
      <c r="K47" s="6"/>
      <c r="L47"/>
      <c r="M47"/>
      <c r="N47"/>
      <c r="O47" s="6"/>
      <c r="P47" s="6"/>
      <c r="Q47" s="6"/>
      <c r="R47" s="6"/>
      <c r="S47" s="6"/>
      <c r="T47" s="6"/>
      <c r="U47" s="6"/>
      <c r="V47" s="6"/>
      <c r="W47" s="6"/>
      <c r="X47" s="6"/>
      <c r="Y47" s="6"/>
      <c r="Z47" s="6"/>
      <c r="AA47" s="6"/>
      <c r="AB47" s="6"/>
      <c r="AC47" s="6"/>
      <c r="AD47" s="6"/>
      <c r="AE47" s="6"/>
      <c r="AF47" s="6"/>
      <c r="AG47" s="6"/>
      <c r="AH47" s="6"/>
      <c r="AI47" s="6"/>
      <c r="AJ47" s="6"/>
      <c r="AK47" s="6"/>
      <c r="AL47" s="29">
        <v>0</v>
      </c>
      <c r="AV47" s="107">
        <v>-74.55</v>
      </c>
      <c r="AW47" s="103" t="s">
        <v>221</v>
      </c>
      <c r="AX47" t="s">
        <v>222</v>
      </c>
    </row>
    <row r="48" spans="1:50" ht="15" hidden="1" outlineLevel="1" thickBot="1">
      <c r="A48" t="s">
        <v>9</v>
      </c>
      <c r="B48" t="s">
        <v>21</v>
      </c>
      <c r="C48" s="74" t="s">
        <v>148</v>
      </c>
      <c r="E48" s="6"/>
      <c r="F48" s="6"/>
      <c r="G48" s="6"/>
      <c r="H48" s="6"/>
      <c r="I48" s="6"/>
      <c r="J48" s="6"/>
      <c r="K48" s="6"/>
      <c r="L48"/>
      <c r="M48"/>
      <c r="N48"/>
      <c r="O48" s="6"/>
      <c r="P48" s="6"/>
      <c r="Q48" s="6"/>
      <c r="R48" s="6"/>
      <c r="S48" s="6"/>
      <c r="T48" s="6"/>
      <c r="U48" s="6"/>
      <c r="V48" s="6"/>
      <c r="W48" s="6"/>
      <c r="X48" s="6"/>
      <c r="Y48" s="6"/>
      <c r="Z48" s="6"/>
      <c r="AA48" s="6"/>
      <c r="AB48" s="6"/>
      <c r="AC48" s="6"/>
      <c r="AD48" s="6"/>
      <c r="AE48" s="6"/>
      <c r="AF48" s="6"/>
      <c r="AG48" s="6"/>
      <c r="AH48" s="6"/>
      <c r="AI48" s="6"/>
      <c r="AJ48" s="6"/>
      <c r="AK48" s="6"/>
      <c r="AL48" s="29">
        <v>0</v>
      </c>
      <c r="AV48" s="101">
        <v>-149.77000000000001</v>
      </c>
      <c r="AW48" s="103" t="s">
        <v>223</v>
      </c>
      <c r="AX48" t="s">
        <v>222</v>
      </c>
    </row>
    <row r="49" spans="1:48" hidden="1" outlineLevel="1">
      <c r="A49" t="s">
        <v>9</v>
      </c>
      <c r="B49" t="s">
        <v>21</v>
      </c>
      <c r="C49" s="72" t="s">
        <v>153</v>
      </c>
      <c r="E49" s="6"/>
      <c r="F49" s="6"/>
      <c r="G49" s="6"/>
      <c r="H49" s="6"/>
      <c r="I49" s="6"/>
      <c r="J49" s="6"/>
      <c r="K49" s="6"/>
      <c r="L49"/>
      <c r="M49"/>
      <c r="N49"/>
      <c r="O49" s="6"/>
      <c r="P49" s="6"/>
      <c r="Q49" s="6"/>
      <c r="R49" s="6"/>
      <c r="S49" s="6"/>
      <c r="T49" s="6"/>
      <c r="U49" s="6"/>
      <c r="V49" s="6"/>
      <c r="W49" s="6"/>
      <c r="X49" s="6"/>
      <c r="Y49" s="6"/>
      <c r="Z49" s="6"/>
      <c r="AA49" s="6"/>
      <c r="AB49" s="6"/>
      <c r="AC49" s="6"/>
      <c r="AD49" s="6"/>
      <c r="AE49" s="6"/>
      <c r="AF49" s="6"/>
      <c r="AG49" s="6"/>
      <c r="AH49" s="6"/>
      <c r="AI49" s="6"/>
      <c r="AJ49" s="6"/>
      <c r="AK49" s="6"/>
      <c r="AL49" s="28">
        <v>0</v>
      </c>
      <c r="AV49" s="108">
        <v>-30</v>
      </c>
    </row>
    <row r="50" spans="1:48" hidden="1" outlineLevel="1">
      <c r="A50" t="s">
        <v>9</v>
      </c>
      <c r="B50" t="s">
        <v>21</v>
      </c>
      <c r="C50" s="73" t="s">
        <v>139</v>
      </c>
      <c r="E50" s="6">
        <v>149.77000000000001</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28">
        <v>149.77000000000001</v>
      </c>
      <c r="AV50" s="108">
        <v>-5</v>
      </c>
    </row>
    <row r="51" spans="1:48" ht="15" hidden="1" outlineLevel="1" thickBot="1">
      <c r="A51" t="s">
        <v>9</v>
      </c>
      <c r="B51" t="s">
        <v>21</v>
      </c>
      <c r="C51" s="74" t="s">
        <v>149</v>
      </c>
      <c r="E51" s="6"/>
      <c r="F51" s="6"/>
      <c r="G51" s="6"/>
      <c r="H51" s="6"/>
      <c r="I51" s="6"/>
      <c r="J51" s="6"/>
      <c r="K51" s="6"/>
      <c r="L51"/>
      <c r="M51"/>
      <c r="N51"/>
      <c r="O51" s="6"/>
      <c r="P51" s="6"/>
      <c r="Q51" s="6"/>
      <c r="R51" s="6"/>
      <c r="S51" s="6"/>
      <c r="T51" s="6"/>
      <c r="U51" s="6"/>
      <c r="V51" s="6"/>
      <c r="W51" s="6"/>
      <c r="X51" s="6"/>
      <c r="Y51" s="6"/>
      <c r="Z51" s="6"/>
      <c r="AA51" s="6"/>
      <c r="AB51" s="6"/>
      <c r="AC51" s="6"/>
      <c r="AD51" s="6"/>
      <c r="AE51" s="6"/>
      <c r="AF51" s="6"/>
      <c r="AG51" s="6"/>
      <c r="AH51" s="6"/>
      <c r="AI51" s="6"/>
      <c r="AJ51" s="6"/>
      <c r="AK51" s="6"/>
      <c r="AL51" s="28">
        <v>0</v>
      </c>
      <c r="AV51" s="104">
        <v>-2101.4299999999998</v>
      </c>
    </row>
    <row r="52" spans="1:48" hidden="1" outlineLevel="1">
      <c r="A52" t="s">
        <v>9</v>
      </c>
      <c r="B52" t="s">
        <v>23</v>
      </c>
      <c r="C52" s="72" t="s">
        <v>23</v>
      </c>
      <c r="E52" s="6"/>
      <c r="F52" s="6"/>
      <c r="G52" s="6"/>
      <c r="H52" s="6"/>
      <c r="I52" s="6"/>
      <c r="J52" s="6"/>
      <c r="K52" s="6"/>
      <c r="L52"/>
      <c r="M52"/>
      <c r="N52"/>
      <c r="O52" s="6"/>
      <c r="P52" s="6"/>
      <c r="Q52" s="6"/>
      <c r="R52" s="6"/>
      <c r="S52" s="6"/>
      <c r="T52" s="6"/>
      <c r="U52" s="6"/>
      <c r="V52" s="6"/>
      <c r="W52" s="6"/>
      <c r="X52" s="6"/>
      <c r="Y52" s="6"/>
      <c r="Z52" s="6"/>
      <c r="AA52" s="6"/>
      <c r="AB52" s="6"/>
      <c r="AC52" s="6"/>
      <c r="AD52" s="6"/>
      <c r="AE52" s="6"/>
      <c r="AF52" s="6"/>
      <c r="AG52" s="6"/>
      <c r="AH52" s="6"/>
      <c r="AI52" s="6"/>
      <c r="AJ52" s="6"/>
      <c r="AK52" s="6"/>
      <c r="AL52" s="28">
        <v>0</v>
      </c>
    </row>
    <row r="53" spans="1:48" hidden="1" outlineLevel="1">
      <c r="A53" t="s">
        <v>9</v>
      </c>
      <c r="B53" t="s">
        <v>23</v>
      </c>
      <c r="C53" s="73" t="s">
        <v>151</v>
      </c>
      <c r="E53" s="6"/>
      <c r="F53" s="6"/>
      <c r="G53" s="6"/>
      <c r="H53" s="6"/>
      <c r="I53" s="6"/>
      <c r="J53" s="6"/>
      <c r="K53" s="6"/>
      <c r="L53"/>
      <c r="M53"/>
      <c r="N53"/>
      <c r="O53" s="6"/>
      <c r="P53" s="6"/>
      <c r="Q53" s="6"/>
      <c r="R53" s="6"/>
      <c r="S53" s="6"/>
      <c r="T53" s="6"/>
      <c r="U53" s="6"/>
      <c r="V53" s="6"/>
      <c r="W53" s="6"/>
      <c r="X53" s="6"/>
      <c r="Y53" s="6"/>
      <c r="Z53" s="6"/>
      <c r="AA53" s="6"/>
      <c r="AB53" s="6"/>
      <c r="AC53" s="6"/>
      <c r="AD53" s="6"/>
      <c r="AE53" s="6"/>
      <c r="AF53" s="6"/>
      <c r="AG53" s="6"/>
      <c r="AH53" s="6"/>
      <c r="AI53" s="6"/>
      <c r="AJ53" s="6"/>
      <c r="AK53" s="6"/>
      <c r="AL53" s="28">
        <v>0</v>
      </c>
    </row>
    <row r="54" spans="1:48" ht="15" hidden="1" outlineLevel="1" thickBot="1">
      <c r="A54" t="s">
        <v>9</v>
      </c>
      <c r="B54" t="s">
        <v>23</v>
      </c>
      <c r="C54" s="74" t="s">
        <v>8</v>
      </c>
      <c r="E54" s="6"/>
      <c r="F54" s="6"/>
      <c r="G54" s="6"/>
      <c r="H54" s="6"/>
      <c r="I54" s="6"/>
      <c r="J54" s="6"/>
      <c r="K54" s="6"/>
      <c r="L54"/>
      <c r="M54"/>
      <c r="N54"/>
      <c r="O54" s="6"/>
      <c r="P54" s="6"/>
      <c r="Q54" s="6"/>
      <c r="R54" s="6"/>
      <c r="S54" s="6"/>
      <c r="T54" s="6"/>
      <c r="U54" s="6"/>
      <c r="V54" s="6"/>
      <c r="W54" s="6"/>
      <c r="X54" s="6"/>
      <c r="Y54" s="6"/>
      <c r="Z54" s="6"/>
      <c r="AA54" s="6"/>
      <c r="AB54" s="6"/>
      <c r="AC54" s="6"/>
      <c r="AD54" s="6"/>
      <c r="AE54" s="6"/>
      <c r="AF54" s="6"/>
      <c r="AG54" s="6"/>
      <c r="AH54" s="6"/>
      <c r="AI54" s="6"/>
      <c r="AJ54" s="6"/>
      <c r="AK54" s="6"/>
      <c r="AL54" s="28">
        <v>0</v>
      </c>
    </row>
    <row r="55" spans="1:48" hidden="1" outlineLevel="1">
      <c r="A55" t="s">
        <v>9</v>
      </c>
      <c r="B55" t="s">
        <v>25</v>
      </c>
      <c r="C55" s="72" t="s">
        <v>150</v>
      </c>
      <c r="E55" s="6"/>
      <c r="F55" s="6"/>
      <c r="G55" s="6"/>
      <c r="H55" s="6"/>
      <c r="I55" s="6"/>
      <c r="J55" s="6"/>
      <c r="K55" s="6"/>
      <c r="L55"/>
      <c r="M55"/>
      <c r="N55"/>
      <c r="O55" s="6"/>
      <c r="P55" s="6"/>
      <c r="Q55" s="6"/>
      <c r="R55" s="6"/>
      <c r="S55" s="6"/>
      <c r="T55" s="6"/>
      <c r="U55" s="6"/>
      <c r="V55" s="6"/>
      <c r="W55" s="6"/>
      <c r="X55" s="6"/>
      <c r="Y55" s="6"/>
      <c r="Z55" s="6"/>
      <c r="AA55" s="6"/>
      <c r="AB55" s="6"/>
      <c r="AC55" s="6"/>
      <c r="AD55" s="6"/>
      <c r="AE55" s="6"/>
      <c r="AF55" s="6"/>
      <c r="AG55" s="6"/>
      <c r="AH55" s="6"/>
      <c r="AI55" s="6"/>
      <c r="AJ55" s="6"/>
      <c r="AK55" s="6">
        <v>30</v>
      </c>
      <c r="AL55" s="28">
        <v>30</v>
      </c>
    </row>
    <row r="56" spans="1:48" ht="15" hidden="1" outlineLevel="1" thickBot="1">
      <c r="A56" t="s">
        <v>9</v>
      </c>
      <c r="B56" t="s">
        <v>25</v>
      </c>
      <c r="C56" s="74" t="s">
        <v>144</v>
      </c>
      <c r="E56" s="6">
        <v>1663</v>
      </c>
      <c r="F56" s="6"/>
      <c r="G56" s="6">
        <v>19.11</v>
      </c>
      <c r="H56" s="6"/>
      <c r="I56" s="6"/>
      <c r="J56" s="6"/>
      <c r="K56" s="6"/>
      <c r="L56"/>
      <c r="M56"/>
      <c r="N56"/>
      <c r="O56" s="6"/>
      <c r="P56" s="6"/>
      <c r="Q56" s="6"/>
      <c r="R56" s="6"/>
      <c r="S56" s="6"/>
      <c r="T56" s="6"/>
      <c r="U56" s="6"/>
      <c r="V56" s="6"/>
      <c r="W56" s="6"/>
      <c r="X56" s="6"/>
      <c r="Y56" s="6"/>
      <c r="Z56" s="6"/>
      <c r="AA56" s="6"/>
      <c r="AB56" s="6"/>
      <c r="AC56" s="6"/>
      <c r="AD56" s="6"/>
      <c r="AE56" s="6"/>
      <c r="AF56" s="6"/>
      <c r="AG56" s="6"/>
      <c r="AH56" s="6"/>
      <c r="AI56" s="6"/>
      <c r="AJ56" s="6"/>
      <c r="AK56" s="6"/>
      <c r="AL56" s="28">
        <v>1682.11</v>
      </c>
    </row>
    <row r="57" spans="1:48" hidden="1" outlineLevel="1">
      <c r="A57" t="s">
        <v>9</v>
      </c>
      <c r="B57" t="s">
        <v>24</v>
      </c>
      <c r="C57" s="72" t="s">
        <v>145</v>
      </c>
      <c r="E57" s="6"/>
      <c r="F57" s="6"/>
      <c r="G57" s="6"/>
      <c r="H57" s="6"/>
      <c r="I57" s="6"/>
      <c r="J57" s="6"/>
      <c r="K57" s="6"/>
      <c r="L57"/>
      <c r="M57"/>
      <c r="N57"/>
      <c r="O57" s="6"/>
      <c r="P57" s="6"/>
      <c r="Q57" s="6"/>
      <c r="R57" s="6"/>
      <c r="S57" s="6"/>
      <c r="T57" s="6"/>
      <c r="U57" s="6"/>
      <c r="V57" s="6"/>
      <c r="W57" s="6"/>
      <c r="X57" s="6"/>
      <c r="Y57" s="6"/>
      <c r="Z57" s="6"/>
      <c r="AA57" s="6"/>
      <c r="AB57" s="6"/>
      <c r="AC57" s="6"/>
      <c r="AD57" s="6"/>
      <c r="AE57" s="6"/>
      <c r="AF57" s="6"/>
      <c r="AG57" s="6"/>
      <c r="AH57" s="6"/>
      <c r="AI57" s="6"/>
      <c r="AJ57" s="6"/>
      <c r="AK57" s="6"/>
      <c r="AL57" s="28">
        <v>0</v>
      </c>
    </row>
    <row r="58" spans="1:48" hidden="1" outlineLevel="1">
      <c r="A58" t="s">
        <v>9</v>
      </c>
      <c r="B58" t="s">
        <v>24</v>
      </c>
      <c r="C58" s="73" t="s">
        <v>206</v>
      </c>
      <c r="E58" s="6"/>
      <c r="F58" s="6"/>
      <c r="G58" s="6"/>
      <c r="H58" s="6"/>
      <c r="I58" s="6"/>
      <c r="J58" s="6"/>
      <c r="K58" s="6"/>
      <c r="L58"/>
      <c r="M58"/>
      <c r="N58"/>
      <c r="O58" s="6"/>
      <c r="P58" s="6"/>
      <c r="Q58" s="6"/>
      <c r="R58" s="6"/>
      <c r="S58" s="6"/>
      <c r="T58" s="6"/>
      <c r="U58" s="6"/>
      <c r="V58" s="6"/>
      <c r="W58" s="6"/>
      <c r="X58" s="6"/>
      <c r="Y58" s="6"/>
      <c r="Z58" s="6"/>
      <c r="AA58" s="6"/>
      <c r="AB58" s="6"/>
      <c r="AC58" s="6"/>
      <c r="AD58" s="6"/>
      <c r="AE58" s="6"/>
      <c r="AF58" s="6"/>
      <c r="AG58" s="6"/>
      <c r="AH58" s="6"/>
      <c r="AI58" s="6"/>
      <c r="AJ58" s="6"/>
      <c r="AK58" s="6"/>
      <c r="AL58" s="28">
        <v>0</v>
      </c>
    </row>
    <row r="59" spans="1:48" ht="15" hidden="1" outlineLevel="1" thickBot="1">
      <c r="A59" t="s">
        <v>9</v>
      </c>
      <c r="B59" t="s">
        <v>24</v>
      </c>
      <c r="C59" s="74" t="s">
        <v>136</v>
      </c>
      <c r="E59" s="6">
        <v>234.55</v>
      </c>
      <c r="F59" s="6"/>
      <c r="G59" s="6"/>
      <c r="H59" s="6"/>
      <c r="I59" s="6"/>
      <c r="J59" s="6"/>
      <c r="K59" s="6"/>
      <c r="L59"/>
      <c r="M59"/>
      <c r="N59"/>
      <c r="O59" s="6"/>
      <c r="P59" s="6"/>
      <c r="Q59" s="6"/>
      <c r="R59" s="6"/>
      <c r="S59" s="6"/>
      <c r="T59" s="6"/>
      <c r="U59" s="6"/>
      <c r="V59" s="6"/>
      <c r="W59" s="6"/>
      <c r="X59" s="6"/>
      <c r="Y59" s="6"/>
      <c r="Z59" s="6"/>
      <c r="AA59" s="6"/>
      <c r="AB59" s="6"/>
      <c r="AC59" s="6"/>
      <c r="AD59" s="6"/>
      <c r="AE59" s="6"/>
      <c r="AF59" s="6"/>
      <c r="AG59" s="6"/>
      <c r="AH59" s="6"/>
      <c r="AI59" s="6"/>
      <c r="AJ59" s="6"/>
      <c r="AK59" s="6"/>
      <c r="AL59" s="28">
        <v>234.55</v>
      </c>
    </row>
    <row r="60" spans="1:48" hidden="1" outlineLevel="2">
      <c r="E60" s="6"/>
      <c r="F60" s="6"/>
      <c r="G60" s="6"/>
      <c r="H60" s="6"/>
      <c r="I60" s="6"/>
      <c r="J60" s="6"/>
      <c r="K60" s="6"/>
      <c r="L60"/>
      <c r="M60"/>
      <c r="N60"/>
      <c r="O60"/>
      <c r="P60"/>
      <c r="Q60"/>
      <c r="R60"/>
      <c r="S60"/>
      <c r="T60"/>
      <c r="U60"/>
      <c r="V60"/>
      <c r="W60"/>
      <c r="X60"/>
      <c r="Y60"/>
      <c r="Z60"/>
      <c r="AA60"/>
      <c r="AB60"/>
      <c r="AC60"/>
      <c r="AD60"/>
      <c r="AE60"/>
      <c r="AF60"/>
      <c r="AG60"/>
      <c r="AH60"/>
      <c r="AI60"/>
      <c r="AJ60"/>
      <c r="AK60" s="6"/>
      <c r="AL60" s="28">
        <v>0</v>
      </c>
    </row>
    <row r="61" spans="1:48" hidden="1" outlineLevel="1">
      <c r="C61" s="9" t="s">
        <v>32</v>
      </c>
      <c r="D61" s="28">
        <v>0</v>
      </c>
      <c r="E61" s="28">
        <v>2047.32</v>
      </c>
      <c r="F61" s="28">
        <v>0</v>
      </c>
      <c r="G61" s="28">
        <v>19.11</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35</v>
      </c>
      <c r="AL61" s="28">
        <v>2101.4299999999998</v>
      </c>
    </row>
    <row r="62" spans="1:48" collapsed="1">
      <c r="A62" s="9" t="s">
        <v>75</v>
      </c>
    </row>
    <row r="64" spans="1:48" outlineLevel="1">
      <c r="E64" s="2" t="s">
        <v>88</v>
      </c>
      <c r="F64" s="2" t="s">
        <v>89</v>
      </c>
      <c r="G64" s="2" t="s">
        <v>90</v>
      </c>
      <c r="H64" s="2" t="s">
        <v>84</v>
      </c>
      <c r="I64" s="2" t="s">
        <v>85</v>
      </c>
      <c r="J64" s="2" t="s">
        <v>86</v>
      </c>
      <c r="K64" s="2" t="s">
        <v>87</v>
      </c>
      <c r="L64" s="2" t="s">
        <v>88</v>
      </c>
      <c r="M64" s="2" t="s">
        <v>89</v>
      </c>
      <c r="N64" s="2" t="s">
        <v>90</v>
      </c>
      <c r="O64" s="2" t="s">
        <v>84</v>
      </c>
      <c r="P64" s="2" t="s">
        <v>85</v>
      </c>
      <c r="Q64" s="2" t="s">
        <v>86</v>
      </c>
      <c r="R64" s="2" t="s">
        <v>87</v>
      </c>
      <c r="S64" s="2" t="s">
        <v>88</v>
      </c>
      <c r="T64" s="2" t="s">
        <v>89</v>
      </c>
      <c r="U64" s="2" t="s">
        <v>90</v>
      </c>
      <c r="V64" s="2" t="s">
        <v>84</v>
      </c>
      <c r="W64" s="2" t="s">
        <v>85</v>
      </c>
      <c r="X64" s="2" t="s">
        <v>86</v>
      </c>
      <c r="Y64" s="2" t="s">
        <v>87</v>
      </c>
      <c r="Z64" s="2" t="s">
        <v>88</v>
      </c>
      <c r="AA64" s="2" t="s">
        <v>89</v>
      </c>
      <c r="AB64" s="2" t="s">
        <v>90</v>
      </c>
      <c r="AC64" s="2" t="s">
        <v>84</v>
      </c>
      <c r="AD64" s="2" t="s">
        <v>85</v>
      </c>
      <c r="AE64" s="2" t="s">
        <v>86</v>
      </c>
      <c r="AF64" s="2" t="s">
        <v>87</v>
      </c>
      <c r="AG64" s="2" t="s">
        <v>88</v>
      </c>
      <c r="AH64" s="2" t="s">
        <v>89</v>
      </c>
      <c r="AI64" s="2" t="s">
        <v>90</v>
      </c>
      <c r="AJ64" s="2" t="s">
        <v>84</v>
      </c>
      <c r="AK64" s="2" t="s">
        <v>85</v>
      </c>
    </row>
    <row r="65" spans="2:41" outlineLevel="1">
      <c r="E65" s="39">
        <v>43672</v>
      </c>
      <c r="F65" s="39">
        <v>43673</v>
      </c>
      <c r="G65" s="39">
        <v>43674</v>
      </c>
      <c r="H65" s="39">
        <v>43675</v>
      </c>
      <c r="I65" s="39">
        <v>43676</v>
      </c>
      <c r="J65" s="39">
        <v>43677</v>
      </c>
      <c r="K65" s="39">
        <v>43678</v>
      </c>
      <c r="L65" s="39">
        <v>43679</v>
      </c>
      <c r="M65" s="39">
        <v>43680</v>
      </c>
      <c r="N65" s="39">
        <v>43681</v>
      </c>
      <c r="O65" s="39">
        <v>43682</v>
      </c>
      <c r="P65" s="39">
        <v>43683</v>
      </c>
      <c r="Q65" s="39">
        <v>43684</v>
      </c>
      <c r="R65" s="39">
        <v>43685</v>
      </c>
      <c r="S65" s="39">
        <v>43686</v>
      </c>
      <c r="T65" s="39">
        <v>43687</v>
      </c>
      <c r="U65" s="39">
        <v>43688</v>
      </c>
      <c r="V65" s="39">
        <v>43689</v>
      </c>
      <c r="W65" s="39">
        <v>43690</v>
      </c>
      <c r="X65" s="39">
        <v>43691</v>
      </c>
      <c r="Y65" s="39">
        <v>43692</v>
      </c>
      <c r="Z65" s="39">
        <v>43693</v>
      </c>
      <c r="AA65" s="39">
        <v>43694</v>
      </c>
      <c r="AB65" s="39">
        <v>43695</v>
      </c>
      <c r="AC65" s="39">
        <v>43696</v>
      </c>
      <c r="AD65" s="39">
        <v>43697</v>
      </c>
      <c r="AE65" s="39">
        <v>43698</v>
      </c>
      <c r="AF65" s="39">
        <v>43699</v>
      </c>
      <c r="AG65" s="39">
        <v>43700</v>
      </c>
      <c r="AH65" s="39">
        <v>43701</v>
      </c>
      <c r="AI65" s="39">
        <v>43702</v>
      </c>
      <c r="AJ65" s="39">
        <v>43703</v>
      </c>
      <c r="AK65" s="39">
        <v>43704</v>
      </c>
    </row>
    <row r="66" spans="2:41" ht="15" outlineLevel="1" thickBot="1">
      <c r="E66" s="2">
        <v>0</v>
      </c>
      <c r="F66" s="2">
        <v>1</v>
      </c>
      <c r="G66" s="2">
        <v>2</v>
      </c>
      <c r="H66" s="2">
        <v>3</v>
      </c>
      <c r="I66" s="2">
        <v>4</v>
      </c>
      <c r="J66" s="2">
        <v>5</v>
      </c>
      <c r="K66" s="2">
        <v>6</v>
      </c>
      <c r="L66" s="2">
        <v>7</v>
      </c>
      <c r="M66" s="2">
        <v>8</v>
      </c>
      <c r="N66" s="2">
        <v>9</v>
      </c>
      <c r="O66" s="2">
        <v>10</v>
      </c>
      <c r="P66" s="2">
        <v>11</v>
      </c>
      <c r="Q66" s="2">
        <v>12</v>
      </c>
      <c r="R66" s="2">
        <v>13</v>
      </c>
      <c r="S66" s="2">
        <v>14</v>
      </c>
      <c r="T66" s="2">
        <v>15</v>
      </c>
      <c r="U66" s="2">
        <v>16</v>
      </c>
      <c r="V66" s="2">
        <v>17</v>
      </c>
      <c r="W66" s="2">
        <v>18</v>
      </c>
      <c r="X66" s="2">
        <v>19</v>
      </c>
      <c r="Y66" s="2">
        <v>20</v>
      </c>
      <c r="Z66" s="2">
        <v>21</v>
      </c>
      <c r="AA66" s="2">
        <v>22</v>
      </c>
      <c r="AB66" s="2">
        <v>23</v>
      </c>
      <c r="AC66" s="2">
        <v>24</v>
      </c>
      <c r="AD66" s="2">
        <v>25</v>
      </c>
      <c r="AE66" s="2">
        <v>26</v>
      </c>
      <c r="AF66" s="2">
        <v>27</v>
      </c>
      <c r="AG66" s="2">
        <v>28</v>
      </c>
      <c r="AH66" s="2">
        <v>29</v>
      </c>
      <c r="AI66" s="2">
        <v>30</v>
      </c>
      <c r="AJ66" s="2">
        <v>31</v>
      </c>
      <c r="AK66" s="2">
        <v>32</v>
      </c>
    </row>
    <row r="67" spans="2:41" outlineLevel="1">
      <c r="B67" t="s">
        <v>21</v>
      </c>
      <c r="C67" s="72" t="s">
        <v>142</v>
      </c>
      <c r="D67" s="6">
        <v>0</v>
      </c>
      <c r="E67" s="6">
        <v>0</v>
      </c>
      <c r="F67" s="6">
        <v>0</v>
      </c>
      <c r="G67" s="6">
        <v>0</v>
      </c>
      <c r="H67" s="6">
        <v>0</v>
      </c>
      <c r="I67" s="6">
        <v>0</v>
      </c>
      <c r="J67" s="6">
        <v>0</v>
      </c>
      <c r="K67" s="6">
        <v>0</v>
      </c>
      <c r="L67" s="6">
        <v>0</v>
      </c>
      <c r="M67" s="6">
        <v>0</v>
      </c>
      <c r="N67" s="6">
        <v>0</v>
      </c>
      <c r="O67" s="6">
        <v>0</v>
      </c>
      <c r="P67" s="6">
        <v>0</v>
      </c>
      <c r="Q67" s="6">
        <v>0</v>
      </c>
      <c r="R67" s="6">
        <v>0</v>
      </c>
      <c r="S67" s="6">
        <v>0</v>
      </c>
      <c r="T67" s="6">
        <v>0</v>
      </c>
      <c r="U67" s="6">
        <v>0</v>
      </c>
      <c r="V67" s="6">
        <v>0</v>
      </c>
      <c r="W67" s="6">
        <v>0</v>
      </c>
      <c r="X67" s="6">
        <v>0</v>
      </c>
      <c r="Y67" s="6">
        <v>0</v>
      </c>
      <c r="Z67" s="6">
        <v>0</v>
      </c>
      <c r="AA67" s="6">
        <v>0</v>
      </c>
      <c r="AB67" s="6">
        <v>0</v>
      </c>
      <c r="AC67" s="6">
        <v>0</v>
      </c>
      <c r="AD67" s="6">
        <v>0</v>
      </c>
      <c r="AE67" s="6">
        <v>0</v>
      </c>
      <c r="AF67" s="6">
        <v>0</v>
      </c>
      <c r="AG67" s="6">
        <v>0</v>
      </c>
      <c r="AH67" s="6">
        <v>0</v>
      </c>
      <c r="AI67" s="6">
        <v>0</v>
      </c>
      <c r="AJ67" s="6">
        <v>0</v>
      </c>
      <c r="AK67" s="6">
        <v>5</v>
      </c>
      <c r="AL67" s="29">
        <v>5</v>
      </c>
      <c r="AN67" s="20">
        <v>0.83343484142299373</v>
      </c>
      <c r="AO67" s="20">
        <v>0.83343484142299373</v>
      </c>
    </row>
    <row r="68" spans="2:41" outlineLevel="1">
      <c r="B68" t="s">
        <v>21</v>
      </c>
      <c r="C68" s="73" t="s">
        <v>203</v>
      </c>
      <c r="D68" s="6">
        <v>0</v>
      </c>
      <c r="E68" s="6">
        <v>0</v>
      </c>
      <c r="F68" s="6">
        <v>4.8649734466610584</v>
      </c>
      <c r="G68" s="6">
        <v>16.346310780781156</v>
      </c>
      <c r="H68" s="6">
        <v>0</v>
      </c>
      <c r="I68" s="6">
        <v>0</v>
      </c>
      <c r="J68" s="6">
        <v>0</v>
      </c>
      <c r="K68" s="6">
        <v>2.335187254397308</v>
      </c>
      <c r="L68" s="6">
        <v>0</v>
      </c>
      <c r="M68" s="6">
        <v>0</v>
      </c>
      <c r="N68" s="6">
        <v>10.119144769055001</v>
      </c>
      <c r="O68" s="6">
        <v>0</v>
      </c>
      <c r="P68" s="6">
        <v>0</v>
      </c>
      <c r="Q68" s="6">
        <v>0</v>
      </c>
      <c r="R68" s="6">
        <v>4.2811766330617314</v>
      </c>
      <c r="S68" s="6">
        <v>14.400321402116733</v>
      </c>
      <c r="T68" s="6">
        <v>0</v>
      </c>
      <c r="U68" s="6">
        <v>0</v>
      </c>
      <c r="V68" s="6">
        <v>17.124706532246925</v>
      </c>
      <c r="W68" s="6">
        <v>1.9459893786644233</v>
      </c>
      <c r="X68" s="6">
        <v>7.3947596389248087</v>
      </c>
      <c r="Y68" s="6">
        <v>0</v>
      </c>
      <c r="Z68" s="6">
        <v>56.044494105535392</v>
      </c>
      <c r="AA68" s="6">
        <v>-52.152515348206549</v>
      </c>
      <c r="AB68" s="6">
        <v>1.9459893786644233</v>
      </c>
      <c r="AC68" s="6">
        <v>13.621925650650963</v>
      </c>
      <c r="AD68" s="6">
        <v>21.405883165308659</v>
      </c>
      <c r="AE68" s="6">
        <v>11.67593627198654</v>
      </c>
      <c r="AF68" s="6">
        <v>2.335187254397308</v>
      </c>
      <c r="AG68" s="6">
        <v>20.238289538110003</v>
      </c>
      <c r="AH68" s="6">
        <v>0</v>
      </c>
      <c r="AI68" s="6">
        <v>0</v>
      </c>
      <c r="AJ68" s="6">
        <v>0</v>
      </c>
      <c r="AK68" s="6">
        <v>0</v>
      </c>
      <c r="AL68" s="28">
        <v>153.92775985235588</v>
      </c>
      <c r="AN68" s="20">
        <v>18.682374890389067</v>
      </c>
      <c r="AO68" s="20">
        <v>18.682374890389067</v>
      </c>
    </row>
    <row r="69" spans="2:41" outlineLevel="1">
      <c r="B69" t="s">
        <v>21</v>
      </c>
      <c r="C69" s="73" t="s">
        <v>204</v>
      </c>
      <c r="D69" s="6"/>
      <c r="E69" s="6">
        <v>0</v>
      </c>
      <c r="F69" s="6">
        <v>0</v>
      </c>
      <c r="G69" s="6">
        <v>0</v>
      </c>
      <c r="H69" s="6">
        <v>0.97299468933221167</v>
      </c>
      <c r="I69" s="6">
        <v>0</v>
      </c>
      <c r="J69" s="6">
        <v>0</v>
      </c>
      <c r="K69" s="6">
        <v>1.167593627198654</v>
      </c>
      <c r="L69" s="6">
        <v>0</v>
      </c>
      <c r="M69" s="6">
        <v>1.5567915029315387</v>
      </c>
      <c r="N69" s="6">
        <v>7.7839575146576934</v>
      </c>
      <c r="O69" s="6">
        <v>11.67593627198654</v>
      </c>
      <c r="P69" s="6">
        <v>0</v>
      </c>
      <c r="Q69" s="6">
        <v>21.405883165308659</v>
      </c>
      <c r="R69" s="6">
        <v>4.2811766330617314</v>
      </c>
      <c r="S69" s="6">
        <v>7.005561763191924</v>
      </c>
      <c r="T69" s="6">
        <v>0</v>
      </c>
      <c r="U69" s="6">
        <v>4.8649734466610584</v>
      </c>
      <c r="V69" s="6">
        <v>3.1135830058630773</v>
      </c>
      <c r="W69" s="6">
        <v>0</v>
      </c>
      <c r="X69" s="6">
        <v>3.3081819437295197</v>
      </c>
      <c r="Y69" s="6">
        <v>0</v>
      </c>
      <c r="Z69" s="6">
        <v>3.3081819437295197</v>
      </c>
      <c r="AA69" s="6">
        <v>21.405883165308659</v>
      </c>
      <c r="AB69" s="6">
        <v>6.0325670738597124</v>
      </c>
      <c r="AC69" s="6">
        <v>8.173155390390578</v>
      </c>
      <c r="AD69" s="6">
        <v>9.340749017589232</v>
      </c>
      <c r="AE69" s="6">
        <v>11.67593627198654</v>
      </c>
      <c r="AF69" s="6">
        <v>0</v>
      </c>
      <c r="AG69" s="6">
        <v>3.8919787573288467</v>
      </c>
      <c r="AH69" s="6">
        <v>0</v>
      </c>
      <c r="AI69" s="6">
        <v>9.340749017589232</v>
      </c>
      <c r="AJ69" s="6">
        <v>5.4487702602603854</v>
      </c>
      <c r="AK69" s="6">
        <v>0</v>
      </c>
      <c r="AL69" s="28">
        <v>145.75460446196533</v>
      </c>
      <c r="AN69" s="20"/>
      <c r="AO69" s="20"/>
    </row>
    <row r="70" spans="2:41" outlineLevel="1">
      <c r="B70" t="s">
        <v>21</v>
      </c>
      <c r="C70" s="73" t="s">
        <v>147</v>
      </c>
      <c r="D70" s="6">
        <v>0</v>
      </c>
      <c r="E70" s="6">
        <v>0</v>
      </c>
      <c r="F70" s="6">
        <v>4.670374508794616</v>
      </c>
      <c r="G70" s="6">
        <v>3.8919787573288467</v>
      </c>
      <c r="H70" s="6">
        <v>0</v>
      </c>
      <c r="I70" s="6">
        <v>0</v>
      </c>
      <c r="J70" s="6">
        <v>2.335187254397308</v>
      </c>
      <c r="K70" s="6">
        <v>0</v>
      </c>
      <c r="L70" s="6">
        <v>0</v>
      </c>
      <c r="M70" s="6">
        <v>0</v>
      </c>
      <c r="N70" s="6">
        <v>0</v>
      </c>
      <c r="O70" s="6">
        <v>0</v>
      </c>
      <c r="P70" s="6">
        <v>0</v>
      </c>
      <c r="Q70" s="6">
        <v>2.335187254397308</v>
      </c>
      <c r="R70" s="6">
        <v>0</v>
      </c>
      <c r="S70" s="6">
        <v>0</v>
      </c>
      <c r="T70" s="6">
        <v>0</v>
      </c>
      <c r="U70" s="6">
        <v>2.1405883165308657</v>
      </c>
      <c r="V70" s="6">
        <v>0</v>
      </c>
      <c r="W70" s="6">
        <v>0</v>
      </c>
      <c r="X70" s="6">
        <v>0</v>
      </c>
      <c r="Y70" s="6">
        <v>0</v>
      </c>
      <c r="Z70" s="6">
        <v>1.167593627198654</v>
      </c>
      <c r="AA70" s="6">
        <v>1.9459893786644233</v>
      </c>
      <c r="AB70" s="6">
        <v>0</v>
      </c>
      <c r="AC70" s="6">
        <v>0</v>
      </c>
      <c r="AD70" s="6">
        <v>0</v>
      </c>
      <c r="AE70" s="6">
        <v>0</v>
      </c>
      <c r="AF70" s="6">
        <v>0</v>
      </c>
      <c r="AG70" s="6">
        <v>0</v>
      </c>
      <c r="AH70" s="6">
        <v>0</v>
      </c>
      <c r="AI70" s="6">
        <v>0</v>
      </c>
      <c r="AJ70" s="6">
        <v>0</v>
      </c>
      <c r="AK70" s="6">
        <v>0</v>
      </c>
      <c r="AL70" s="28">
        <v>18.486899097312019</v>
      </c>
      <c r="AN70" s="20">
        <v>3.2992914379172955</v>
      </c>
      <c r="AO70" s="20">
        <v>3.2992914379172955</v>
      </c>
    </row>
    <row r="71" spans="2:41" outlineLevel="1">
      <c r="B71" t="s">
        <v>21</v>
      </c>
      <c r="C71" s="73" t="s">
        <v>205</v>
      </c>
      <c r="D71" s="6"/>
      <c r="E71" s="6">
        <v>0</v>
      </c>
      <c r="F71" s="6">
        <v>7.7839575146576934</v>
      </c>
      <c r="G71" s="6">
        <v>11.286738396253655</v>
      </c>
      <c r="H71" s="6">
        <v>9.1461500797227906</v>
      </c>
      <c r="I71" s="6">
        <v>27.243851301301927</v>
      </c>
      <c r="J71" s="6">
        <v>10.119144769055001</v>
      </c>
      <c r="K71" s="6">
        <v>0</v>
      </c>
      <c r="L71" s="6">
        <v>19.265294848777792</v>
      </c>
      <c r="M71" s="6">
        <v>0</v>
      </c>
      <c r="N71" s="6">
        <v>0</v>
      </c>
      <c r="O71" s="6">
        <v>0</v>
      </c>
      <c r="P71" s="6">
        <v>0</v>
      </c>
      <c r="Q71" s="6">
        <v>3.502780881595962</v>
      </c>
      <c r="R71" s="6">
        <v>0</v>
      </c>
      <c r="S71" s="6">
        <v>4.2811766330617314</v>
      </c>
      <c r="T71" s="6">
        <v>0</v>
      </c>
      <c r="U71" s="6">
        <v>4.2811766330617314</v>
      </c>
      <c r="V71" s="6">
        <v>0</v>
      </c>
      <c r="W71" s="6">
        <v>0</v>
      </c>
      <c r="X71" s="6">
        <v>0</v>
      </c>
      <c r="Y71" s="6">
        <v>0</v>
      </c>
      <c r="Z71" s="6">
        <v>1.9459893786644233</v>
      </c>
      <c r="AA71" s="6">
        <v>0</v>
      </c>
      <c r="AB71" s="6">
        <v>3.3081819437295197</v>
      </c>
      <c r="AC71" s="6">
        <v>2.2184278916774427</v>
      </c>
      <c r="AD71" s="6">
        <v>0.38919787573288467</v>
      </c>
      <c r="AE71" s="6">
        <v>0</v>
      </c>
      <c r="AF71" s="6">
        <v>3.3081819437295197</v>
      </c>
      <c r="AG71" s="6">
        <v>3.502780881595962</v>
      </c>
      <c r="AH71" s="6">
        <v>16.735508656514043</v>
      </c>
      <c r="AI71" s="6">
        <v>6.2271660117261547</v>
      </c>
      <c r="AJ71" s="6">
        <v>20.822086351709331</v>
      </c>
      <c r="AK71" s="6">
        <v>0</v>
      </c>
      <c r="AL71" s="28">
        <v>155.36779199256756</v>
      </c>
      <c r="AN71" s="20"/>
      <c r="AO71" s="20"/>
    </row>
    <row r="72" spans="2:41" outlineLevel="1">
      <c r="B72" t="s">
        <v>21</v>
      </c>
      <c r="C72" s="73" t="s">
        <v>146</v>
      </c>
      <c r="D72" s="6">
        <v>0</v>
      </c>
      <c r="E72" s="6">
        <v>0</v>
      </c>
      <c r="F72" s="6">
        <v>0</v>
      </c>
      <c r="G72" s="6">
        <v>2.335187254397308</v>
      </c>
      <c r="H72" s="6">
        <v>0.77839575146576934</v>
      </c>
      <c r="I72" s="6">
        <v>3.8919787573288467</v>
      </c>
      <c r="J72" s="6">
        <v>0.97299468933221167</v>
      </c>
      <c r="K72" s="6">
        <v>3.502780881595962</v>
      </c>
      <c r="L72" s="6">
        <v>0</v>
      </c>
      <c r="M72" s="6">
        <v>0</v>
      </c>
      <c r="N72" s="6">
        <v>3.8919787573288467</v>
      </c>
      <c r="O72" s="6">
        <v>0</v>
      </c>
      <c r="P72" s="6">
        <v>4.670374508794616</v>
      </c>
      <c r="Q72" s="6">
        <v>0</v>
      </c>
      <c r="R72" s="6">
        <v>0</v>
      </c>
      <c r="S72" s="6">
        <v>3.3081819437295197</v>
      </c>
      <c r="T72" s="6">
        <v>0.97299468933221167</v>
      </c>
      <c r="U72" s="6">
        <v>3.502780881595962</v>
      </c>
      <c r="V72" s="6">
        <v>5.0595723845275007</v>
      </c>
      <c r="W72" s="6">
        <v>3.6973798194624043</v>
      </c>
      <c r="X72" s="6">
        <v>4.670374508794616</v>
      </c>
      <c r="Y72" s="6">
        <v>1.5567915029315387</v>
      </c>
      <c r="Z72" s="6">
        <v>0</v>
      </c>
      <c r="AA72" s="6">
        <v>0.97299468933221167</v>
      </c>
      <c r="AB72" s="6">
        <v>8.173155390390578</v>
      </c>
      <c r="AC72" s="6">
        <v>0.583796813599327</v>
      </c>
      <c r="AD72" s="6">
        <v>3.502780881595962</v>
      </c>
      <c r="AE72" s="6">
        <v>3.8919787573288467</v>
      </c>
      <c r="AF72" s="6">
        <v>3.8919787573288467</v>
      </c>
      <c r="AG72" s="6">
        <v>0</v>
      </c>
      <c r="AH72" s="6">
        <v>0</v>
      </c>
      <c r="AI72" s="6">
        <v>0.97299468933221167</v>
      </c>
      <c r="AJ72" s="6">
        <v>2.335187254397308</v>
      </c>
      <c r="AK72" s="6">
        <v>0</v>
      </c>
      <c r="AL72" s="28">
        <v>67.136633563922601</v>
      </c>
      <c r="AN72" s="20">
        <v>1.8520774253844301</v>
      </c>
      <c r="AO72" s="20">
        <v>1.8520774253844301</v>
      </c>
    </row>
    <row r="73" spans="2:41" ht="15" outlineLevel="1" thickBot="1">
      <c r="B73" t="s">
        <v>21</v>
      </c>
      <c r="C73" s="74" t="s">
        <v>148</v>
      </c>
      <c r="D73" s="6">
        <v>0</v>
      </c>
      <c r="E73" s="6">
        <v>0</v>
      </c>
      <c r="F73" s="6">
        <v>0</v>
      </c>
      <c r="G73" s="6">
        <v>6.421764949592597</v>
      </c>
      <c r="H73" s="6">
        <v>0</v>
      </c>
      <c r="I73" s="6">
        <v>0</v>
      </c>
      <c r="J73" s="6">
        <v>0.77839575146576934</v>
      </c>
      <c r="K73" s="6">
        <v>0.77839575146576934</v>
      </c>
      <c r="L73" s="6">
        <v>0</v>
      </c>
      <c r="M73" s="6">
        <v>0</v>
      </c>
      <c r="N73" s="6">
        <v>3.8919787573288467</v>
      </c>
      <c r="O73" s="6">
        <v>0</v>
      </c>
      <c r="P73" s="6">
        <v>0</v>
      </c>
      <c r="Q73" s="6">
        <v>1.9459893786644233</v>
      </c>
      <c r="R73" s="6">
        <v>7.7839575146576934</v>
      </c>
      <c r="S73" s="6">
        <v>0.583796813599327</v>
      </c>
      <c r="T73" s="6">
        <v>13.621925650650963</v>
      </c>
      <c r="U73" s="6">
        <v>0.583796813599327</v>
      </c>
      <c r="V73" s="6">
        <v>2.335187254397308</v>
      </c>
      <c r="W73" s="6">
        <v>19.459893786644233</v>
      </c>
      <c r="X73" s="6">
        <v>1.9459893786644233</v>
      </c>
      <c r="Y73" s="6">
        <v>0</v>
      </c>
      <c r="Z73" s="6">
        <v>7.7839575146576934</v>
      </c>
      <c r="AA73" s="6">
        <v>5.6433691981268277</v>
      </c>
      <c r="AB73" s="6">
        <v>0</v>
      </c>
      <c r="AC73" s="6">
        <v>5.4487702602603854</v>
      </c>
      <c r="AD73" s="6">
        <v>0</v>
      </c>
      <c r="AE73" s="6">
        <v>3.1135830058630773</v>
      </c>
      <c r="AF73" s="6">
        <v>4.086577695195289</v>
      </c>
      <c r="AG73" s="6">
        <v>9.5353479554556753</v>
      </c>
      <c r="AH73" s="6">
        <v>9.340749017589232</v>
      </c>
      <c r="AI73" s="6">
        <v>0</v>
      </c>
      <c r="AJ73" s="6">
        <v>1.9459893786644233</v>
      </c>
      <c r="AK73" s="6">
        <v>1.9459893786644233</v>
      </c>
      <c r="AL73" s="28">
        <v>108.97540520520772</v>
      </c>
      <c r="AN73" s="20">
        <v>6.3989275047032068</v>
      </c>
      <c r="AO73" s="20">
        <v>6.3989275047032068</v>
      </c>
    </row>
    <row r="74" spans="2:41" outlineLevel="1">
      <c r="B74" t="s">
        <v>21</v>
      </c>
      <c r="C74" s="72" t="s">
        <v>153</v>
      </c>
      <c r="D74" s="6">
        <v>0</v>
      </c>
      <c r="E74" s="6">
        <v>0</v>
      </c>
      <c r="F74" s="6">
        <v>19.459893786644233</v>
      </c>
      <c r="G74" s="6">
        <v>4.2811766330617314</v>
      </c>
      <c r="H74" s="6">
        <v>0</v>
      </c>
      <c r="I74" s="6">
        <v>1.5567915029315387</v>
      </c>
      <c r="J74" s="6">
        <v>1.9459893786644233</v>
      </c>
      <c r="K74" s="6">
        <v>0.46703745087946164</v>
      </c>
      <c r="L74" s="6">
        <v>2.918984067996635</v>
      </c>
      <c r="M74" s="6">
        <v>3.1135830058630773</v>
      </c>
      <c r="N74" s="6">
        <v>8.5623532661234627</v>
      </c>
      <c r="O74" s="6">
        <v>2.918984067996635</v>
      </c>
      <c r="P74" s="6">
        <v>3.8919787573288467</v>
      </c>
      <c r="Q74" s="6">
        <v>0</v>
      </c>
      <c r="R74" s="6">
        <v>5.6433691981268277</v>
      </c>
      <c r="S74" s="6">
        <v>1.167593627198654</v>
      </c>
      <c r="T74" s="6">
        <v>3.8919787573288467</v>
      </c>
      <c r="U74" s="6">
        <v>3.6973798194624043</v>
      </c>
      <c r="V74" s="6">
        <v>0</v>
      </c>
      <c r="W74" s="6">
        <v>4.670374508794616</v>
      </c>
      <c r="X74" s="6">
        <v>0.38919787573288467</v>
      </c>
      <c r="Y74" s="6">
        <v>0</v>
      </c>
      <c r="Z74" s="6">
        <v>12.142973722866003</v>
      </c>
      <c r="AA74" s="6">
        <v>0</v>
      </c>
      <c r="AB74" s="6">
        <v>0.38919787573288467</v>
      </c>
      <c r="AC74" s="6">
        <v>0.583796813599327</v>
      </c>
      <c r="AD74" s="6">
        <v>0.50595723845275009</v>
      </c>
      <c r="AE74" s="6">
        <v>0</v>
      </c>
      <c r="AF74" s="6">
        <v>2.918984067996635</v>
      </c>
      <c r="AG74" s="6">
        <v>2.335187254397308</v>
      </c>
      <c r="AH74" s="6">
        <v>0.50595723845275009</v>
      </c>
      <c r="AI74" s="6">
        <v>0</v>
      </c>
      <c r="AJ74" s="6">
        <v>0</v>
      </c>
      <c r="AK74" s="6">
        <v>0</v>
      </c>
      <c r="AL74" s="28">
        <v>87.958719915631946</v>
      </c>
      <c r="AN74" s="20">
        <v>3.4448640112150408</v>
      </c>
      <c r="AO74" s="23">
        <v>1.7224320056075204</v>
      </c>
    </row>
    <row r="75" spans="2:41" outlineLevel="1">
      <c r="B75" t="s">
        <v>21</v>
      </c>
      <c r="C75" s="73" t="s">
        <v>139</v>
      </c>
      <c r="D75" s="6">
        <v>0</v>
      </c>
      <c r="E75" s="6">
        <v>149.77000000000001</v>
      </c>
      <c r="F75" s="6">
        <v>0</v>
      </c>
      <c r="G75" s="6">
        <v>0</v>
      </c>
      <c r="H75" s="6">
        <v>0</v>
      </c>
      <c r="I75" s="6">
        <v>0</v>
      </c>
      <c r="J75" s="6">
        <v>0</v>
      </c>
      <c r="K75" s="6">
        <v>0</v>
      </c>
      <c r="L75" s="6">
        <v>0</v>
      </c>
      <c r="M75" s="6">
        <v>0</v>
      </c>
      <c r="N75" s="6">
        <v>0</v>
      </c>
      <c r="O75" s="6">
        <v>0</v>
      </c>
      <c r="P75" s="6">
        <v>0</v>
      </c>
      <c r="Q75" s="6">
        <v>0</v>
      </c>
      <c r="R75" s="6">
        <v>0</v>
      </c>
      <c r="S75" s="6">
        <v>0</v>
      </c>
      <c r="T75" s="6">
        <v>0</v>
      </c>
      <c r="U75" s="6">
        <v>0</v>
      </c>
      <c r="V75" s="6">
        <v>0</v>
      </c>
      <c r="W75" s="6">
        <v>0</v>
      </c>
      <c r="X75" s="6">
        <v>0</v>
      </c>
      <c r="Y75" s="6">
        <v>0</v>
      </c>
      <c r="Z75" s="6">
        <v>0</v>
      </c>
      <c r="AA75" s="6">
        <v>0</v>
      </c>
      <c r="AB75" s="6">
        <v>0</v>
      </c>
      <c r="AC75" s="6">
        <v>0</v>
      </c>
      <c r="AD75" s="6">
        <v>0</v>
      </c>
      <c r="AE75" s="6">
        <v>0</v>
      </c>
      <c r="AF75" s="6">
        <v>0</v>
      </c>
      <c r="AG75" s="6">
        <v>0</v>
      </c>
      <c r="AH75" s="6">
        <v>0</v>
      </c>
      <c r="AI75" s="6">
        <v>0</v>
      </c>
      <c r="AJ75" s="6">
        <v>0</v>
      </c>
      <c r="AK75" s="6">
        <v>0</v>
      </c>
      <c r="AL75" s="28">
        <v>149.77000000000001</v>
      </c>
      <c r="AN75" s="20">
        <v>57.548583167892943</v>
      </c>
      <c r="AO75" s="23">
        <v>28.774291583946471</v>
      </c>
    </row>
    <row r="76" spans="2:41" ht="15" outlineLevel="1" thickBot="1">
      <c r="B76" t="s">
        <v>21</v>
      </c>
      <c r="C76" s="74" t="s">
        <v>149</v>
      </c>
      <c r="D76" s="6">
        <v>0</v>
      </c>
      <c r="E76" s="6">
        <v>0</v>
      </c>
      <c r="F76" s="6">
        <v>1.323272777491808</v>
      </c>
      <c r="G76" s="6">
        <v>7.005561763191924</v>
      </c>
      <c r="H76" s="6">
        <v>1.5567915029315387</v>
      </c>
      <c r="I76" s="6">
        <v>0</v>
      </c>
      <c r="J76" s="6">
        <v>0</v>
      </c>
      <c r="K76" s="6">
        <v>1.5567915029315387</v>
      </c>
      <c r="L76" s="6">
        <v>0.38919787573288467</v>
      </c>
      <c r="M76" s="6">
        <v>0</v>
      </c>
      <c r="N76" s="6">
        <v>0.97299468933221167</v>
      </c>
      <c r="O76" s="6">
        <v>0</v>
      </c>
      <c r="P76" s="6">
        <v>1.167593627198654</v>
      </c>
      <c r="Q76" s="6">
        <v>0</v>
      </c>
      <c r="R76" s="6">
        <v>3.3081819437295197</v>
      </c>
      <c r="S76" s="6">
        <v>4.8649734466610584</v>
      </c>
      <c r="T76" s="6">
        <v>3.1135830058630773</v>
      </c>
      <c r="U76" s="6">
        <v>0</v>
      </c>
      <c r="V76" s="6">
        <v>0.97299468933221167</v>
      </c>
      <c r="W76" s="6">
        <v>0</v>
      </c>
      <c r="X76" s="6">
        <v>1.4011123526383849</v>
      </c>
      <c r="Y76" s="6">
        <v>0.97299468933221167</v>
      </c>
      <c r="Z76" s="6">
        <v>3.8919787573288467</v>
      </c>
      <c r="AA76" s="6">
        <v>0.97299468933221167</v>
      </c>
      <c r="AB76" s="6">
        <v>0.97299468933221167</v>
      </c>
      <c r="AC76" s="6">
        <v>0.97299468933221167</v>
      </c>
      <c r="AD76" s="6">
        <v>1.5567915029315387</v>
      </c>
      <c r="AE76" s="6">
        <v>0</v>
      </c>
      <c r="AF76" s="6">
        <v>3.8919787573288467</v>
      </c>
      <c r="AG76" s="6">
        <v>1.167593627198654</v>
      </c>
      <c r="AH76" s="6">
        <v>1.167593627198654</v>
      </c>
      <c r="AI76" s="6">
        <v>1.167593627198654</v>
      </c>
      <c r="AJ76" s="6">
        <v>0</v>
      </c>
      <c r="AK76" s="6">
        <v>0</v>
      </c>
      <c r="AL76" s="28">
        <v>44.368557833548863</v>
      </c>
      <c r="AN76" s="20">
        <v>0.71304980877300572</v>
      </c>
      <c r="AO76" s="23">
        <v>0.35652490438650286</v>
      </c>
    </row>
    <row r="77" spans="2:41" outlineLevel="1">
      <c r="B77" t="s">
        <v>23</v>
      </c>
      <c r="C77" s="72" t="s">
        <v>23</v>
      </c>
      <c r="D77" s="6">
        <v>0</v>
      </c>
      <c r="E77" s="6">
        <v>0</v>
      </c>
      <c r="F77" s="6">
        <v>0</v>
      </c>
      <c r="G77" s="6">
        <v>0</v>
      </c>
      <c r="H77" s="6">
        <v>0</v>
      </c>
      <c r="I77" s="6">
        <v>0</v>
      </c>
      <c r="J77" s="6">
        <v>0</v>
      </c>
      <c r="K77" s="6">
        <v>0</v>
      </c>
      <c r="L77" s="6">
        <v>0</v>
      </c>
      <c r="M77" s="6">
        <v>0</v>
      </c>
      <c r="N77" s="6">
        <v>0</v>
      </c>
      <c r="O77" s="6">
        <v>0</v>
      </c>
      <c r="P77" s="6">
        <v>0</v>
      </c>
      <c r="Q77" s="6">
        <v>12.843529899185194</v>
      </c>
      <c r="R77" s="6">
        <v>0</v>
      </c>
      <c r="S77" s="6">
        <v>0</v>
      </c>
      <c r="T77" s="6">
        <v>0</v>
      </c>
      <c r="U77" s="6">
        <v>0</v>
      </c>
      <c r="V77" s="6">
        <v>0</v>
      </c>
      <c r="W77" s="6">
        <v>0</v>
      </c>
      <c r="X77" s="6">
        <v>0</v>
      </c>
      <c r="Y77" s="6">
        <v>19.459893786644233</v>
      </c>
      <c r="Z77" s="6">
        <v>0</v>
      </c>
      <c r="AA77" s="6">
        <v>0</v>
      </c>
      <c r="AB77" s="6">
        <v>0</v>
      </c>
      <c r="AC77" s="6">
        <v>0</v>
      </c>
      <c r="AD77" s="6">
        <v>12.454332023452309</v>
      </c>
      <c r="AE77" s="6">
        <v>0</v>
      </c>
      <c r="AF77" s="6">
        <v>7.7839575146576934</v>
      </c>
      <c r="AG77" s="6">
        <v>0</v>
      </c>
      <c r="AH77" s="6">
        <v>0</v>
      </c>
      <c r="AI77" s="6">
        <v>0</v>
      </c>
      <c r="AJ77" s="6">
        <v>0</v>
      </c>
      <c r="AK77" s="6">
        <v>27.010332575862197</v>
      </c>
      <c r="AL77" s="28">
        <v>79.552045799801633</v>
      </c>
      <c r="AN77" s="20">
        <v>1.3890580690383227</v>
      </c>
      <c r="AO77" s="20">
        <v>1.3890580690383227</v>
      </c>
    </row>
    <row r="78" spans="2:41" outlineLevel="1">
      <c r="B78" t="s">
        <v>23</v>
      </c>
      <c r="C78" s="73" t="s">
        <v>151</v>
      </c>
      <c r="D78" s="6">
        <v>0</v>
      </c>
      <c r="E78" s="6">
        <v>0</v>
      </c>
      <c r="F78" s="6">
        <v>0</v>
      </c>
      <c r="G78" s="6">
        <v>3.8919787573288467</v>
      </c>
      <c r="H78" s="6">
        <v>9.7299468933221167</v>
      </c>
      <c r="I78" s="6">
        <v>0</v>
      </c>
      <c r="J78" s="6">
        <v>0</v>
      </c>
      <c r="K78" s="6">
        <v>0</v>
      </c>
      <c r="L78" s="6">
        <v>0</v>
      </c>
      <c r="M78" s="6">
        <v>0</v>
      </c>
      <c r="N78" s="6">
        <v>7.7839575146576934</v>
      </c>
      <c r="O78" s="6">
        <v>0</v>
      </c>
      <c r="P78" s="6">
        <v>0</v>
      </c>
      <c r="Q78" s="6">
        <v>0</v>
      </c>
      <c r="R78" s="6">
        <v>0</v>
      </c>
      <c r="S78" s="6">
        <v>0</v>
      </c>
      <c r="T78" s="6">
        <v>0</v>
      </c>
      <c r="U78" s="6">
        <v>0</v>
      </c>
      <c r="V78" s="6">
        <v>0</v>
      </c>
      <c r="W78" s="6">
        <v>9.7299468933221167</v>
      </c>
      <c r="X78" s="6">
        <v>0</v>
      </c>
      <c r="Y78" s="6">
        <v>0</v>
      </c>
      <c r="Z78" s="6">
        <v>0</v>
      </c>
      <c r="AA78" s="6">
        <v>0</v>
      </c>
      <c r="AB78" s="6">
        <v>0</v>
      </c>
      <c r="AC78" s="6">
        <v>0</v>
      </c>
      <c r="AD78" s="6">
        <v>0</v>
      </c>
      <c r="AE78" s="6">
        <v>0</v>
      </c>
      <c r="AF78" s="6">
        <v>0</v>
      </c>
      <c r="AG78" s="6">
        <v>0</v>
      </c>
      <c r="AH78" s="6">
        <v>0</v>
      </c>
      <c r="AI78" s="6">
        <v>0</v>
      </c>
      <c r="AJ78" s="6">
        <v>0</v>
      </c>
      <c r="AK78" s="6">
        <v>0</v>
      </c>
      <c r="AL78" s="28">
        <v>31.135830058630773</v>
      </c>
      <c r="AN78" s="20">
        <v>1.4816619403075444</v>
      </c>
      <c r="AO78" s="20">
        <v>1.4816619403075444</v>
      </c>
    </row>
    <row r="79" spans="2:41" ht="15" outlineLevel="1" thickBot="1">
      <c r="B79" t="s">
        <v>23</v>
      </c>
      <c r="C79" s="74" t="s">
        <v>8</v>
      </c>
      <c r="D79" s="6">
        <v>0</v>
      </c>
      <c r="E79" s="6">
        <v>149.77000000000001</v>
      </c>
      <c r="F79" s="6">
        <v>0</v>
      </c>
      <c r="G79" s="6">
        <v>0</v>
      </c>
      <c r="H79" s="6">
        <v>0</v>
      </c>
      <c r="I79" s="6">
        <v>0</v>
      </c>
      <c r="J79" s="6">
        <v>0</v>
      </c>
      <c r="K79" s="6">
        <v>0</v>
      </c>
      <c r="L79" s="6">
        <v>0</v>
      </c>
      <c r="M79" s="6">
        <v>0</v>
      </c>
      <c r="N79" s="6">
        <v>0</v>
      </c>
      <c r="O79" s="6">
        <v>0</v>
      </c>
      <c r="P79" s="6">
        <v>0</v>
      </c>
      <c r="Q79" s="6">
        <v>0</v>
      </c>
      <c r="R79" s="6">
        <v>0</v>
      </c>
      <c r="S79" s="6">
        <v>0</v>
      </c>
      <c r="T79" s="6">
        <v>0</v>
      </c>
      <c r="U79" s="6">
        <v>0</v>
      </c>
      <c r="V79" s="6">
        <v>0</v>
      </c>
      <c r="W79" s="6">
        <v>0</v>
      </c>
      <c r="X79" s="6">
        <v>0</v>
      </c>
      <c r="Y79" s="6">
        <v>0</v>
      </c>
      <c r="Z79" s="6">
        <v>0</v>
      </c>
      <c r="AA79" s="6">
        <v>0</v>
      </c>
      <c r="AB79" s="6">
        <v>0</v>
      </c>
      <c r="AC79" s="6">
        <v>0</v>
      </c>
      <c r="AD79" s="6">
        <v>0</v>
      </c>
      <c r="AE79" s="6">
        <v>0</v>
      </c>
      <c r="AF79" s="6">
        <v>0</v>
      </c>
      <c r="AG79" s="6">
        <v>0</v>
      </c>
      <c r="AH79" s="6">
        <v>0</v>
      </c>
      <c r="AI79" s="6">
        <v>0</v>
      </c>
      <c r="AJ79" s="6">
        <v>0</v>
      </c>
      <c r="AK79" s="6">
        <v>0</v>
      </c>
      <c r="AL79" s="28">
        <v>149.77000000000001</v>
      </c>
      <c r="AN79" s="20">
        <v>0</v>
      </c>
      <c r="AO79" s="20">
        <v>0</v>
      </c>
    </row>
    <row r="80" spans="2:41" outlineLevel="1">
      <c r="B80" t="s">
        <v>25</v>
      </c>
      <c r="C80" s="72" t="s">
        <v>150</v>
      </c>
      <c r="D80" s="6">
        <v>0</v>
      </c>
      <c r="E80" s="6">
        <v>0</v>
      </c>
      <c r="F80" s="6">
        <v>15.567915029315387</v>
      </c>
      <c r="G80" s="6">
        <v>0</v>
      </c>
      <c r="H80" s="6">
        <v>0</v>
      </c>
      <c r="I80" s="6">
        <v>0</v>
      </c>
      <c r="J80" s="6">
        <v>0</v>
      </c>
      <c r="K80" s="6">
        <v>0</v>
      </c>
      <c r="L80" s="6">
        <v>0</v>
      </c>
      <c r="M80" s="6">
        <v>31.135830058630773</v>
      </c>
      <c r="N80" s="6">
        <v>0</v>
      </c>
      <c r="O80" s="6">
        <v>7.7839575146576934</v>
      </c>
      <c r="P80" s="6">
        <v>0</v>
      </c>
      <c r="Q80" s="6">
        <v>0</v>
      </c>
      <c r="R80" s="6">
        <v>19.070695910911351</v>
      </c>
      <c r="S80" s="6">
        <v>0</v>
      </c>
      <c r="T80" s="6">
        <v>0</v>
      </c>
      <c r="U80" s="6">
        <v>0</v>
      </c>
      <c r="V80" s="6">
        <v>0</v>
      </c>
      <c r="W80" s="6">
        <v>0</v>
      </c>
      <c r="X80" s="6">
        <v>0</v>
      </c>
      <c r="Y80" s="6">
        <v>26.854653425569044</v>
      </c>
      <c r="Z80" s="6">
        <v>0</v>
      </c>
      <c r="AA80" s="6">
        <v>0</v>
      </c>
      <c r="AB80" s="6">
        <v>0</v>
      </c>
      <c r="AC80" s="6">
        <v>0</v>
      </c>
      <c r="AD80" s="6">
        <v>0</v>
      </c>
      <c r="AE80" s="6">
        <v>0</v>
      </c>
      <c r="AF80" s="6">
        <v>0</v>
      </c>
      <c r="AG80" s="6">
        <v>0</v>
      </c>
      <c r="AH80" s="6">
        <v>0</v>
      </c>
      <c r="AI80" s="6">
        <v>0</v>
      </c>
      <c r="AJ80" s="6">
        <v>10.119144769055001</v>
      </c>
      <c r="AK80" s="6">
        <v>30</v>
      </c>
      <c r="AL80" s="28">
        <v>140.53219670813922</v>
      </c>
      <c r="AN80" s="20">
        <v>9.6011457449589646</v>
      </c>
      <c r="AO80" s="20">
        <v>9.6011457449589646</v>
      </c>
    </row>
    <row r="81" spans="1:44" ht="15" outlineLevel="1" thickBot="1">
      <c r="B81" t="s">
        <v>25</v>
      </c>
      <c r="C81" s="74" t="s">
        <v>144</v>
      </c>
      <c r="D81" s="6">
        <v>0</v>
      </c>
      <c r="E81" s="6">
        <v>2102.1708829769868</v>
      </c>
      <c r="F81" s="6">
        <v>25.297861922637505</v>
      </c>
      <c r="G81" s="6">
        <v>19.11</v>
      </c>
      <c r="H81" s="6">
        <v>0</v>
      </c>
      <c r="I81" s="6">
        <v>0</v>
      </c>
      <c r="J81" s="6">
        <v>0</v>
      </c>
      <c r="K81" s="6">
        <v>0</v>
      </c>
      <c r="L81" s="6">
        <v>0</v>
      </c>
      <c r="M81" s="6">
        <v>0</v>
      </c>
      <c r="N81" s="6">
        <v>0</v>
      </c>
      <c r="O81" s="6">
        <v>266.2891865764397</v>
      </c>
      <c r="P81" s="6">
        <v>0</v>
      </c>
      <c r="Q81" s="6">
        <v>0</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28">
        <v>2412.8679314760639</v>
      </c>
      <c r="AN81" s="20">
        <v>38.214285714285715</v>
      </c>
      <c r="AO81" s="20">
        <v>38.214285714285715</v>
      </c>
    </row>
    <row r="82" spans="1:44" outlineLevel="1">
      <c r="B82" t="s">
        <v>24</v>
      </c>
      <c r="C82" s="72" t="s">
        <v>145</v>
      </c>
      <c r="D82" s="6">
        <v>0</v>
      </c>
      <c r="E82" s="6">
        <v>0</v>
      </c>
      <c r="F82" s="6">
        <v>23.35187254397308</v>
      </c>
      <c r="G82" s="6">
        <v>0</v>
      </c>
      <c r="H82" s="6">
        <v>8.7569522039899059</v>
      </c>
      <c r="I82" s="6">
        <v>0</v>
      </c>
      <c r="J82" s="6">
        <v>0</v>
      </c>
      <c r="K82" s="6">
        <v>0</v>
      </c>
      <c r="L82" s="6">
        <v>0</v>
      </c>
      <c r="M82" s="6">
        <v>0</v>
      </c>
      <c r="N82" s="6">
        <v>0</v>
      </c>
      <c r="O82" s="6">
        <v>11.67593627198654</v>
      </c>
      <c r="P82" s="6">
        <v>0</v>
      </c>
      <c r="Q82" s="6">
        <v>0</v>
      </c>
      <c r="R82" s="6">
        <v>0</v>
      </c>
      <c r="S82" s="6">
        <v>0</v>
      </c>
      <c r="T82" s="6">
        <v>0</v>
      </c>
      <c r="U82" s="6">
        <v>0</v>
      </c>
      <c r="V82" s="6">
        <v>0</v>
      </c>
      <c r="W82" s="6">
        <v>0</v>
      </c>
      <c r="X82" s="6">
        <v>0</v>
      </c>
      <c r="Y82" s="6">
        <v>0</v>
      </c>
      <c r="Z82" s="6">
        <v>0</v>
      </c>
      <c r="AA82" s="6">
        <v>0</v>
      </c>
      <c r="AB82" s="6">
        <v>0</v>
      </c>
      <c r="AC82" s="6">
        <v>5.83796813599327</v>
      </c>
      <c r="AD82" s="6">
        <v>0</v>
      </c>
      <c r="AE82" s="6">
        <v>0</v>
      </c>
      <c r="AF82" s="6">
        <v>1.9459893786644233</v>
      </c>
      <c r="AG82" s="6">
        <v>9.340749017589232</v>
      </c>
      <c r="AH82" s="6">
        <v>60.325670738597125</v>
      </c>
      <c r="AI82" s="6">
        <v>29.189840679966352</v>
      </c>
      <c r="AJ82" s="6">
        <v>7.7839575146576934</v>
      </c>
      <c r="AK82" s="6">
        <v>0</v>
      </c>
      <c r="AL82" s="28">
        <v>158.20893648541761</v>
      </c>
      <c r="AN82" s="20">
        <v>6.8341656996685485</v>
      </c>
      <c r="AO82" s="20">
        <v>6.8341656996685485</v>
      </c>
    </row>
    <row r="83" spans="1:44" outlineLevel="2">
      <c r="B83" t="s">
        <v>24</v>
      </c>
      <c r="C83" s="73" t="s">
        <v>206</v>
      </c>
      <c r="D83" s="6">
        <v>0</v>
      </c>
      <c r="E83" s="6">
        <v>0</v>
      </c>
      <c r="F83" s="6">
        <v>0</v>
      </c>
      <c r="G83" s="6">
        <v>0</v>
      </c>
      <c r="H83" s="6">
        <v>0</v>
      </c>
      <c r="I83" s="6">
        <v>19.459893786644233</v>
      </c>
      <c r="J83" s="6">
        <v>11.67593627198654</v>
      </c>
      <c r="K83" s="6">
        <v>0</v>
      </c>
      <c r="L83" s="6">
        <v>35.027808815959624</v>
      </c>
      <c r="M83" s="6">
        <v>0</v>
      </c>
      <c r="N83" s="6">
        <v>0</v>
      </c>
      <c r="O83" s="6">
        <v>0</v>
      </c>
      <c r="P83" s="6">
        <v>0</v>
      </c>
      <c r="Q83" s="6">
        <v>19.459893786644233</v>
      </c>
      <c r="R83" s="6">
        <v>0</v>
      </c>
      <c r="S83" s="6">
        <v>0</v>
      </c>
      <c r="T83" s="6">
        <v>11.67593627198654</v>
      </c>
      <c r="U83" s="6">
        <v>0</v>
      </c>
      <c r="V83" s="6">
        <v>0</v>
      </c>
      <c r="W83" s="6">
        <v>50.59572384527501</v>
      </c>
      <c r="X83" s="6">
        <v>0</v>
      </c>
      <c r="Y83" s="6">
        <v>0</v>
      </c>
      <c r="Z83" s="6">
        <v>23.35187254397308</v>
      </c>
      <c r="AA83" s="6">
        <v>0</v>
      </c>
      <c r="AB83" s="6">
        <v>33.081819437295202</v>
      </c>
      <c r="AC83" s="6">
        <v>58.379681359932704</v>
      </c>
      <c r="AD83" s="6">
        <v>0</v>
      </c>
      <c r="AE83" s="6">
        <v>0</v>
      </c>
      <c r="AF83" s="6">
        <v>23.35187254397308</v>
      </c>
      <c r="AG83" s="6">
        <v>0</v>
      </c>
      <c r="AH83" s="6">
        <v>0</v>
      </c>
      <c r="AI83" s="6">
        <v>0</v>
      </c>
      <c r="AJ83" s="6">
        <v>0</v>
      </c>
      <c r="AK83" s="6">
        <v>0</v>
      </c>
      <c r="AL83" s="28">
        <v>286.0604386636702</v>
      </c>
      <c r="AN83" s="20">
        <v>5.8247835028340331</v>
      </c>
      <c r="AO83" s="20">
        <v>5.8247835028340331</v>
      </c>
    </row>
    <row r="84" spans="1:44" ht="15" outlineLevel="1" thickBot="1">
      <c r="B84" t="s">
        <v>24</v>
      </c>
      <c r="C84" s="74" t="s">
        <v>136</v>
      </c>
      <c r="D84" s="6"/>
      <c r="E84" s="6">
        <v>234.55</v>
      </c>
      <c r="F84" s="6">
        <v>0</v>
      </c>
      <c r="G84" s="6">
        <v>0</v>
      </c>
      <c r="H84" s="6">
        <v>0</v>
      </c>
      <c r="I84" s="6">
        <v>0</v>
      </c>
      <c r="J84" s="6">
        <v>0</v>
      </c>
      <c r="K84" s="6">
        <v>0</v>
      </c>
      <c r="L84" s="6">
        <v>0</v>
      </c>
      <c r="M84" s="6">
        <v>0</v>
      </c>
      <c r="N84" s="6">
        <v>0</v>
      </c>
      <c r="O84" s="6">
        <v>0</v>
      </c>
      <c r="P84" s="6">
        <v>0</v>
      </c>
      <c r="Q84" s="6">
        <v>5.83796813599327</v>
      </c>
      <c r="R84" s="6">
        <v>0</v>
      </c>
      <c r="S84" s="6">
        <v>0</v>
      </c>
      <c r="T84" s="6">
        <v>0</v>
      </c>
      <c r="U84" s="6">
        <v>0</v>
      </c>
      <c r="V84" s="6">
        <v>0</v>
      </c>
      <c r="W84" s="6">
        <v>0</v>
      </c>
      <c r="X84" s="6">
        <v>0</v>
      </c>
      <c r="Y84" s="6">
        <v>0</v>
      </c>
      <c r="Z84" s="6">
        <v>0</v>
      </c>
      <c r="AA84" s="6">
        <v>0</v>
      </c>
      <c r="AB84" s="6">
        <v>0</v>
      </c>
      <c r="AC84" s="6">
        <v>0</v>
      </c>
      <c r="AD84" s="6">
        <v>0</v>
      </c>
      <c r="AE84" s="6">
        <v>0</v>
      </c>
      <c r="AF84" s="6">
        <v>17.513904407979812</v>
      </c>
      <c r="AG84" s="6">
        <v>23.35187254397308</v>
      </c>
      <c r="AH84" s="6">
        <v>31.135830058630773</v>
      </c>
      <c r="AI84" s="6">
        <v>48.649734466610589</v>
      </c>
      <c r="AJ84" s="6">
        <v>62.271660117261547</v>
      </c>
      <c r="AK84" s="6">
        <v>0</v>
      </c>
      <c r="AL84" s="28">
        <v>423.31096973044907</v>
      </c>
      <c r="AM84" s="16">
        <v>0</v>
      </c>
    </row>
    <row r="85" spans="1:44" outlineLevel="1">
      <c r="C85" s="9" t="s">
        <v>14</v>
      </c>
      <c r="D85" s="28">
        <v>0</v>
      </c>
      <c r="E85" s="28">
        <v>2636.260882976987</v>
      </c>
      <c r="F85" s="28">
        <v>102.32012153017538</v>
      </c>
      <c r="G85" s="28">
        <v>74.570697291936057</v>
      </c>
      <c r="H85" s="28">
        <v>30.941231120764328</v>
      </c>
      <c r="I85" s="28">
        <v>52.152515348206549</v>
      </c>
      <c r="J85" s="28">
        <v>27.827648114901255</v>
      </c>
      <c r="K85" s="28">
        <v>9.8077864684686933</v>
      </c>
      <c r="L85" s="28">
        <v>57.601285608466938</v>
      </c>
      <c r="M85" s="28">
        <v>35.806204567425389</v>
      </c>
      <c r="N85" s="28">
        <v>43.006365268483755</v>
      </c>
      <c r="O85" s="28">
        <v>300.34400070306708</v>
      </c>
      <c r="P85" s="28">
        <v>9.7299468933221167</v>
      </c>
      <c r="Q85" s="28">
        <v>67.331232501789046</v>
      </c>
      <c r="R85" s="28">
        <v>44.368557833548849</v>
      </c>
      <c r="S85" s="28">
        <v>35.611605629558952</v>
      </c>
      <c r="T85" s="28">
        <v>33.27641837516164</v>
      </c>
      <c r="U85" s="28">
        <v>19.070695910911351</v>
      </c>
      <c r="V85" s="28">
        <v>28.60604386636702</v>
      </c>
      <c r="W85" s="28">
        <v>90.099308232162798</v>
      </c>
      <c r="X85" s="28">
        <v>19.109615698484639</v>
      </c>
      <c r="Y85" s="28">
        <v>48.844333404477027</v>
      </c>
      <c r="Z85" s="28">
        <v>109.63704159395363</v>
      </c>
      <c r="AA85" s="28">
        <v>-21.211284227442221</v>
      </c>
      <c r="AB85" s="28">
        <v>53.903905789004533</v>
      </c>
      <c r="AC85" s="28">
        <v>95.820517005436216</v>
      </c>
      <c r="AD85" s="28">
        <v>49.155691705063333</v>
      </c>
      <c r="AE85" s="28">
        <v>30.357434307165004</v>
      </c>
      <c r="AF85" s="28">
        <v>71.028612321251458</v>
      </c>
      <c r="AG85" s="28">
        <v>73.363799575648756</v>
      </c>
      <c r="AH85" s="28">
        <v>119.21130933698258</v>
      </c>
      <c r="AI85" s="28">
        <v>95.548078492423201</v>
      </c>
      <c r="AJ85" s="28">
        <v>110.72679564600568</v>
      </c>
      <c r="AK85" s="28">
        <v>63.956321954526622</v>
      </c>
      <c r="AL85" s="28">
        <v>4618.1847208446852</v>
      </c>
      <c r="AM85" s="13"/>
      <c r="AN85" s="20">
        <v>156.11770375879112</v>
      </c>
      <c r="AO85" s="20">
        <v>125.26445526485062</v>
      </c>
    </row>
    <row r="86" spans="1:44" outlineLevel="1">
      <c r="D86" s="2">
        <v>0</v>
      </c>
      <c r="E86" s="6">
        <v>2486.490882976987</v>
      </c>
      <c r="F86" s="6">
        <v>121.78001531681961</v>
      </c>
      <c r="G86" s="6">
        <v>94.030591078580301</v>
      </c>
      <c r="H86" s="6">
        <v>50.401124907408565</v>
      </c>
      <c r="I86" s="6">
        <v>71.612409134850779</v>
      </c>
      <c r="J86" s="6">
        <v>47.287541901545488</v>
      </c>
      <c r="K86" s="6">
        <v>29.267680255112928</v>
      </c>
      <c r="L86" s="6">
        <v>77.061179395111168</v>
      </c>
      <c r="M86" s="6">
        <v>55.266098354069626</v>
      </c>
      <c r="N86" s="6">
        <v>62.466259055127992</v>
      </c>
      <c r="O86" s="6">
        <v>368.06443108058903</v>
      </c>
      <c r="P86" s="6">
        <v>77.450377270844058</v>
      </c>
      <c r="Q86" s="6">
        <v>135.05166287931098</v>
      </c>
      <c r="R86" s="6">
        <v>63.828451620193086</v>
      </c>
      <c r="S86" s="6">
        <v>55.071499416203181</v>
      </c>
      <c r="T86" s="6">
        <v>52.736312161805877</v>
      </c>
      <c r="U86" s="6">
        <v>38.530589697555584</v>
      </c>
      <c r="V86" s="6">
        <v>48.065937653011261</v>
      </c>
      <c r="W86" s="6">
        <v>109.55920201880704</v>
      </c>
      <c r="X86" s="6">
        <v>38.569509485128876</v>
      </c>
      <c r="Y86" s="6">
        <v>68.304227191121257</v>
      </c>
      <c r="Z86" s="6">
        <v>129.09693538059784</v>
      </c>
      <c r="AA86" s="6">
        <v>-1.751390440797981</v>
      </c>
      <c r="AB86" s="6">
        <v>73.36379957564877</v>
      </c>
      <c r="AC86" s="6">
        <v>115.28041079208045</v>
      </c>
      <c r="AD86" s="6">
        <v>68.615585491707577</v>
      </c>
      <c r="AE86" s="6">
        <v>89.710110356429922</v>
      </c>
      <c r="AF86" s="6">
        <v>130.38128837051636</v>
      </c>
      <c r="AG86" s="6">
        <v>92.823693362293</v>
      </c>
      <c r="AH86" s="6">
        <v>138.67120312362681</v>
      </c>
      <c r="AI86" s="6">
        <v>115.00797227906743</v>
      </c>
      <c r="AJ86" s="6">
        <v>188.56637079258263</v>
      </c>
      <c r="AK86" s="6">
        <v>63.956321954526622</v>
      </c>
    </row>
    <row r="87" spans="1:44">
      <c r="A87" s="9" t="s">
        <v>97</v>
      </c>
      <c r="D87" s="2"/>
    </row>
    <row r="88" spans="1:44">
      <c r="A88" s="9"/>
      <c r="D88" s="2"/>
    </row>
    <row r="89" spans="1:44" outlineLevel="1">
      <c r="D89" s="2"/>
      <c r="E89" s="2" t="s">
        <v>88</v>
      </c>
      <c r="F89" s="2" t="s">
        <v>89</v>
      </c>
      <c r="G89" s="2" t="s">
        <v>90</v>
      </c>
      <c r="H89" s="2" t="s">
        <v>84</v>
      </c>
      <c r="I89" s="2" t="s">
        <v>85</v>
      </c>
      <c r="J89" s="2" t="s">
        <v>86</v>
      </c>
      <c r="K89" s="2" t="s">
        <v>87</v>
      </c>
      <c r="L89" s="2" t="s">
        <v>88</v>
      </c>
      <c r="M89" s="2" t="s">
        <v>89</v>
      </c>
      <c r="N89" s="2" t="s">
        <v>90</v>
      </c>
      <c r="O89" s="2" t="s">
        <v>84</v>
      </c>
      <c r="P89" s="2" t="s">
        <v>85</v>
      </c>
      <c r="Q89" s="2" t="s">
        <v>86</v>
      </c>
      <c r="R89" s="2" t="s">
        <v>87</v>
      </c>
      <c r="S89" s="2" t="s">
        <v>88</v>
      </c>
      <c r="T89" s="2" t="s">
        <v>89</v>
      </c>
      <c r="U89" s="2" t="s">
        <v>90</v>
      </c>
      <c r="V89" s="2" t="s">
        <v>84</v>
      </c>
      <c r="W89" s="2" t="s">
        <v>85</v>
      </c>
      <c r="X89" s="2" t="s">
        <v>86</v>
      </c>
      <c r="Y89" s="2" t="s">
        <v>87</v>
      </c>
      <c r="Z89" s="2" t="s">
        <v>88</v>
      </c>
      <c r="AA89" s="2" t="s">
        <v>89</v>
      </c>
      <c r="AB89" s="2" t="s">
        <v>90</v>
      </c>
      <c r="AC89" s="2" t="s">
        <v>84</v>
      </c>
      <c r="AD89" s="2" t="s">
        <v>85</v>
      </c>
      <c r="AE89" s="2" t="s">
        <v>86</v>
      </c>
      <c r="AF89" s="2" t="s">
        <v>87</v>
      </c>
      <c r="AG89" s="2" t="s">
        <v>88</v>
      </c>
      <c r="AH89" s="2" t="s">
        <v>89</v>
      </c>
      <c r="AI89" s="2" t="s">
        <v>90</v>
      </c>
      <c r="AJ89" s="2" t="s">
        <v>84</v>
      </c>
      <c r="AK89" s="2" t="s">
        <v>85</v>
      </c>
      <c r="AN89" t="s">
        <v>79</v>
      </c>
    </row>
    <row r="90" spans="1:44" ht="23.4" outlineLevel="1">
      <c r="E90" s="39">
        <v>43672</v>
      </c>
      <c r="F90" s="39">
        <v>43673</v>
      </c>
      <c r="G90" s="39">
        <v>43674</v>
      </c>
      <c r="H90" s="39">
        <v>43675</v>
      </c>
      <c r="I90" s="39">
        <v>43676</v>
      </c>
      <c r="J90" s="39">
        <v>43677</v>
      </c>
      <c r="K90" s="39">
        <v>43678</v>
      </c>
      <c r="L90" s="39">
        <v>43679</v>
      </c>
      <c r="M90" s="39">
        <v>43680</v>
      </c>
      <c r="N90" s="39">
        <v>43681</v>
      </c>
      <c r="O90" s="39">
        <v>43682</v>
      </c>
      <c r="P90" s="39">
        <v>43683</v>
      </c>
      <c r="Q90" s="39">
        <v>43684</v>
      </c>
      <c r="R90" s="39">
        <v>43685</v>
      </c>
      <c r="S90" s="39">
        <v>43686</v>
      </c>
      <c r="T90" s="39">
        <v>43687</v>
      </c>
      <c r="U90" s="39">
        <v>43688</v>
      </c>
      <c r="V90" s="39">
        <v>43689</v>
      </c>
      <c r="W90" s="39">
        <v>43690</v>
      </c>
      <c r="X90" s="39">
        <v>43691</v>
      </c>
      <c r="Y90" s="39">
        <v>43692</v>
      </c>
      <c r="Z90" s="39">
        <v>43693</v>
      </c>
      <c r="AA90" s="39">
        <v>43694</v>
      </c>
      <c r="AB90" s="39">
        <v>43695</v>
      </c>
      <c r="AC90" s="39">
        <v>43696</v>
      </c>
      <c r="AD90" s="39">
        <v>43697</v>
      </c>
      <c r="AE90" s="39">
        <v>43698</v>
      </c>
      <c r="AF90" s="39">
        <v>43699</v>
      </c>
      <c r="AG90" s="39">
        <v>43700</v>
      </c>
      <c r="AH90" s="39">
        <v>43701</v>
      </c>
      <c r="AI90" s="39">
        <v>43702</v>
      </c>
      <c r="AJ90" s="39">
        <v>43703</v>
      </c>
      <c r="AK90" s="39">
        <v>43704</v>
      </c>
      <c r="AN90" s="40">
        <v>31</v>
      </c>
    </row>
    <row r="91" spans="1:44" outlineLevel="1">
      <c r="D91" s="6"/>
      <c r="E91" s="2" t="s">
        <v>207</v>
      </c>
      <c r="F91" s="2" t="s">
        <v>52</v>
      </c>
      <c r="G91" s="2" t="s">
        <v>52</v>
      </c>
      <c r="H91" s="2" t="s">
        <v>52</v>
      </c>
      <c r="I91" s="2" t="s">
        <v>52</v>
      </c>
      <c r="J91" s="2" t="s">
        <v>52</v>
      </c>
      <c r="K91" s="2" t="s">
        <v>52</v>
      </c>
      <c r="L91" s="2" t="s">
        <v>52</v>
      </c>
      <c r="M91" s="2" t="s">
        <v>52</v>
      </c>
      <c r="N91" s="2" t="s">
        <v>52</v>
      </c>
      <c r="O91" s="2" t="s">
        <v>214</v>
      </c>
      <c r="P91" s="2" t="s">
        <v>214</v>
      </c>
      <c r="Q91" s="2" t="s">
        <v>214</v>
      </c>
      <c r="R91" s="2" t="s">
        <v>52</v>
      </c>
      <c r="S91" s="2" t="s">
        <v>52</v>
      </c>
      <c r="T91" s="2" t="s">
        <v>52</v>
      </c>
      <c r="U91" s="2" t="s">
        <v>52</v>
      </c>
      <c r="V91" s="2" t="s">
        <v>52</v>
      </c>
      <c r="W91" s="2" t="s">
        <v>52</v>
      </c>
      <c r="X91" s="2" t="s">
        <v>52</v>
      </c>
      <c r="Y91" s="2" t="s">
        <v>52</v>
      </c>
      <c r="Z91" s="2" t="s">
        <v>52</v>
      </c>
      <c r="AA91" s="2" t="s">
        <v>52</v>
      </c>
      <c r="AB91" s="2" t="s">
        <v>52</v>
      </c>
      <c r="AC91" s="2" t="s">
        <v>52</v>
      </c>
      <c r="AD91" s="2" t="s">
        <v>211</v>
      </c>
      <c r="AE91" s="2" t="s">
        <v>211</v>
      </c>
      <c r="AF91" s="2" t="s">
        <v>52</v>
      </c>
      <c r="AG91" s="2" t="s">
        <v>52</v>
      </c>
      <c r="AH91" s="2" t="s">
        <v>52</v>
      </c>
      <c r="AI91" s="2" t="s">
        <v>52</v>
      </c>
      <c r="AJ91" s="2" t="s">
        <v>52</v>
      </c>
      <c r="AK91" s="2" t="s">
        <v>68</v>
      </c>
      <c r="AL91" s="6"/>
      <c r="AR91" s="4"/>
    </row>
    <row r="92" spans="1:44" outlineLevel="1">
      <c r="D92" s="2"/>
      <c r="E92" s="2">
        <v>0</v>
      </c>
      <c r="F92" s="2">
        <v>1</v>
      </c>
      <c r="G92" s="2">
        <v>2</v>
      </c>
      <c r="H92" s="2">
        <v>3</v>
      </c>
      <c r="I92" s="2">
        <v>4</v>
      </c>
      <c r="J92" s="2">
        <v>5</v>
      </c>
      <c r="K92" s="2">
        <v>6</v>
      </c>
      <c r="L92" s="2">
        <v>7</v>
      </c>
      <c r="M92" s="2">
        <v>8</v>
      </c>
      <c r="N92" s="2">
        <v>9</v>
      </c>
      <c r="O92" s="2">
        <v>10</v>
      </c>
      <c r="P92" s="2">
        <v>11</v>
      </c>
      <c r="Q92" s="2">
        <v>12</v>
      </c>
      <c r="R92" s="2">
        <v>13</v>
      </c>
      <c r="S92" s="2">
        <v>14</v>
      </c>
      <c r="T92" s="2">
        <v>15</v>
      </c>
      <c r="U92" s="2">
        <v>16</v>
      </c>
      <c r="V92" s="2">
        <v>17</v>
      </c>
      <c r="W92" s="2">
        <v>18</v>
      </c>
      <c r="X92" s="2">
        <v>19</v>
      </c>
      <c r="Y92" s="2">
        <v>20</v>
      </c>
      <c r="Z92" s="2">
        <v>21</v>
      </c>
      <c r="AA92" s="2">
        <v>22</v>
      </c>
      <c r="AB92" s="2">
        <v>23</v>
      </c>
      <c r="AC92" s="2">
        <v>24</v>
      </c>
      <c r="AD92" s="2">
        <v>25</v>
      </c>
      <c r="AE92" s="2">
        <v>26</v>
      </c>
      <c r="AF92" s="2">
        <v>27</v>
      </c>
      <c r="AG92" s="2">
        <v>28</v>
      </c>
      <c r="AH92" s="2">
        <v>29</v>
      </c>
      <c r="AI92" s="2">
        <v>30</v>
      </c>
      <c r="AJ92" s="2">
        <v>31</v>
      </c>
      <c r="AK92" s="2">
        <v>32</v>
      </c>
      <c r="AL92" s="6"/>
      <c r="AR92" s="4"/>
    </row>
    <row r="93" spans="1:44" outlineLevel="1">
      <c r="C93" t="s">
        <v>21</v>
      </c>
      <c r="D93" s="6">
        <v>0</v>
      </c>
      <c r="E93" s="6">
        <v>149.77000000000001</v>
      </c>
      <c r="F93" s="6">
        <v>38.102472034249409</v>
      </c>
      <c r="G93" s="6">
        <v>51.568718534607214</v>
      </c>
      <c r="H93" s="6">
        <v>12.454332023452309</v>
      </c>
      <c r="I93" s="6">
        <v>32.692621561562312</v>
      </c>
      <c r="J93" s="6">
        <v>16.151711842914715</v>
      </c>
      <c r="K93" s="6">
        <v>9.8077864684686933</v>
      </c>
      <c r="L93" s="6">
        <v>22.573476792507314</v>
      </c>
      <c r="M93" s="6">
        <v>4.670374508794616</v>
      </c>
      <c r="N93" s="6">
        <v>35.222407753826062</v>
      </c>
      <c r="O93" s="6">
        <v>14.594920339983176</v>
      </c>
      <c r="P93" s="6">
        <v>9.7299468933221167</v>
      </c>
      <c r="Q93" s="6">
        <v>29.189840679966352</v>
      </c>
      <c r="R93" s="6">
        <v>25.297861922637502</v>
      </c>
      <c r="S93" s="6">
        <v>35.611605629558952</v>
      </c>
      <c r="T93" s="6">
        <v>21.6004821031751</v>
      </c>
      <c r="U93" s="6">
        <v>19.070695910911351</v>
      </c>
      <c r="V93" s="6">
        <v>28.60604386636702</v>
      </c>
      <c r="W93" s="6">
        <v>29.773637493565676</v>
      </c>
      <c r="X93" s="6">
        <v>19.109615698484639</v>
      </c>
      <c r="Y93" s="6">
        <v>2.5297861922637503</v>
      </c>
      <c r="Z93" s="6">
        <v>86.285169049980539</v>
      </c>
      <c r="AA93" s="6">
        <v>-21.211284227442221</v>
      </c>
      <c r="AB93" s="6">
        <v>20.822086351709331</v>
      </c>
      <c r="AC93" s="6">
        <v>31.602867509510236</v>
      </c>
      <c r="AD93" s="6">
        <v>36.701359681611024</v>
      </c>
      <c r="AE93" s="6">
        <v>30.357434307165004</v>
      </c>
      <c r="AF93" s="6">
        <v>20.432888475976444</v>
      </c>
      <c r="AG93" s="6">
        <v>40.671178014086451</v>
      </c>
      <c r="AH93" s="6">
        <v>27.749808539754682</v>
      </c>
      <c r="AI93" s="6">
        <v>17.708503345846253</v>
      </c>
      <c r="AJ93" s="6">
        <v>30.552033245031446</v>
      </c>
      <c r="AK93" s="6">
        <v>6.9459893786644233</v>
      </c>
      <c r="AL93" s="28">
        <v>936.74637192251203</v>
      </c>
      <c r="AN93" s="20">
        <v>30.217624900726193</v>
      </c>
      <c r="AP93" s="35">
        <v>37.04638988851692</v>
      </c>
    </row>
    <row r="94" spans="1:44" outlineLevel="1">
      <c r="C94" t="s">
        <v>23</v>
      </c>
      <c r="D94" s="6">
        <v>0</v>
      </c>
      <c r="E94" s="6">
        <v>149.77000000000001</v>
      </c>
      <c r="F94" s="6">
        <v>0</v>
      </c>
      <c r="G94" s="6">
        <v>3.8919787573288467</v>
      </c>
      <c r="H94" s="6">
        <v>9.7299468933221167</v>
      </c>
      <c r="I94" s="6">
        <v>0</v>
      </c>
      <c r="J94" s="6">
        <v>0</v>
      </c>
      <c r="K94" s="6">
        <v>0</v>
      </c>
      <c r="L94" s="6">
        <v>0</v>
      </c>
      <c r="M94" s="6">
        <v>0</v>
      </c>
      <c r="N94" s="6">
        <v>7.7839575146576934</v>
      </c>
      <c r="O94" s="6">
        <v>0</v>
      </c>
      <c r="P94" s="6">
        <v>0</v>
      </c>
      <c r="Q94" s="6">
        <v>12.843529899185194</v>
      </c>
      <c r="R94" s="6">
        <v>0</v>
      </c>
      <c r="S94" s="6">
        <v>0</v>
      </c>
      <c r="T94" s="6">
        <v>0</v>
      </c>
      <c r="U94" s="6">
        <v>0</v>
      </c>
      <c r="V94" s="6">
        <v>0</v>
      </c>
      <c r="W94" s="6">
        <v>9.7299468933221167</v>
      </c>
      <c r="X94" s="6">
        <v>0</v>
      </c>
      <c r="Y94" s="6">
        <v>19.459893786644233</v>
      </c>
      <c r="Z94" s="6">
        <v>0</v>
      </c>
      <c r="AA94" s="6">
        <v>0</v>
      </c>
      <c r="AB94" s="6">
        <v>0</v>
      </c>
      <c r="AC94" s="6">
        <v>0</v>
      </c>
      <c r="AD94" s="6">
        <v>12.454332023452309</v>
      </c>
      <c r="AE94" s="6">
        <v>0</v>
      </c>
      <c r="AF94" s="6">
        <v>7.7839575146576934</v>
      </c>
      <c r="AG94" s="6">
        <v>0</v>
      </c>
      <c r="AH94" s="6">
        <v>0</v>
      </c>
      <c r="AI94" s="6">
        <v>0</v>
      </c>
      <c r="AJ94" s="6">
        <v>0</v>
      </c>
      <c r="AK94" s="6">
        <v>27.010332575862197</v>
      </c>
      <c r="AL94" s="28">
        <v>260.45787585843237</v>
      </c>
      <c r="AN94" s="20">
        <v>8.4018669631752374</v>
      </c>
      <c r="AP94" s="36">
        <v>18.462925835440188</v>
      </c>
    </row>
    <row r="95" spans="1:44" outlineLevel="1">
      <c r="C95" t="s">
        <v>25</v>
      </c>
      <c r="D95" s="6">
        <v>0</v>
      </c>
      <c r="E95" s="6">
        <v>2102.1708829769868</v>
      </c>
      <c r="F95" s="6">
        <v>40.865776951952896</v>
      </c>
      <c r="G95" s="6">
        <v>19.11</v>
      </c>
      <c r="H95" s="6">
        <v>0</v>
      </c>
      <c r="I95" s="6">
        <v>0</v>
      </c>
      <c r="J95" s="6">
        <v>0</v>
      </c>
      <c r="K95" s="6">
        <v>0</v>
      </c>
      <c r="L95" s="6">
        <v>0</v>
      </c>
      <c r="M95" s="6">
        <v>31.135830058630773</v>
      </c>
      <c r="N95" s="6">
        <v>0</v>
      </c>
      <c r="O95" s="6">
        <v>274.07314409109739</v>
      </c>
      <c r="P95" s="6">
        <v>0</v>
      </c>
      <c r="Q95" s="6">
        <v>0</v>
      </c>
      <c r="R95" s="6">
        <v>19.070695910911351</v>
      </c>
      <c r="S95" s="6">
        <v>0</v>
      </c>
      <c r="T95" s="6">
        <v>0</v>
      </c>
      <c r="U95" s="6">
        <v>0</v>
      </c>
      <c r="V95" s="6">
        <v>0</v>
      </c>
      <c r="W95" s="6">
        <v>0</v>
      </c>
      <c r="X95" s="6">
        <v>0</v>
      </c>
      <c r="Y95" s="6">
        <v>26.854653425569044</v>
      </c>
      <c r="Z95" s="6">
        <v>0</v>
      </c>
      <c r="AA95" s="6">
        <v>0</v>
      </c>
      <c r="AB95" s="6">
        <v>0</v>
      </c>
      <c r="AC95" s="6">
        <v>0</v>
      </c>
      <c r="AD95" s="6">
        <v>0</v>
      </c>
      <c r="AE95" s="6">
        <v>0</v>
      </c>
      <c r="AF95" s="6">
        <v>0</v>
      </c>
      <c r="AG95" s="6">
        <v>0</v>
      </c>
      <c r="AH95" s="6">
        <v>0</v>
      </c>
      <c r="AI95" s="6">
        <v>0</v>
      </c>
      <c r="AJ95" s="6">
        <v>10.119144769055001</v>
      </c>
      <c r="AK95" s="6">
        <v>30</v>
      </c>
      <c r="AL95" s="28">
        <v>2553.4001281842029</v>
      </c>
      <c r="AN95" s="20">
        <v>82.367746070458153</v>
      </c>
      <c r="AP95" s="36">
        <v>13.896351597941235</v>
      </c>
    </row>
    <row r="96" spans="1:44" hidden="1" outlineLevel="2">
      <c r="C96" t="s">
        <v>26</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28">
        <v>0</v>
      </c>
      <c r="AN96" s="20">
        <v>0</v>
      </c>
      <c r="AP96" s="36">
        <v>10.994583105790259</v>
      </c>
    </row>
    <row r="97" spans="1:53" outlineLevel="1" collapsed="1">
      <c r="C97" t="s">
        <v>24</v>
      </c>
      <c r="D97" s="6">
        <v>0</v>
      </c>
      <c r="E97" s="6">
        <v>234.55</v>
      </c>
      <c r="F97" s="6">
        <v>23.35187254397308</v>
      </c>
      <c r="G97" s="6">
        <v>0</v>
      </c>
      <c r="H97" s="6">
        <v>8.7569522039899059</v>
      </c>
      <c r="I97" s="6">
        <v>19.459893786644233</v>
      </c>
      <c r="J97" s="6">
        <v>11.67593627198654</v>
      </c>
      <c r="K97" s="6">
        <v>0</v>
      </c>
      <c r="L97" s="6">
        <v>35.027808815959624</v>
      </c>
      <c r="M97" s="6">
        <v>0</v>
      </c>
      <c r="N97" s="6">
        <v>0</v>
      </c>
      <c r="O97" s="6">
        <v>11.67593627198654</v>
      </c>
      <c r="P97" s="6">
        <v>0</v>
      </c>
      <c r="Q97" s="6">
        <v>25.297861922637502</v>
      </c>
      <c r="R97" s="6">
        <v>0</v>
      </c>
      <c r="S97" s="6">
        <v>0</v>
      </c>
      <c r="T97" s="6">
        <v>11.67593627198654</v>
      </c>
      <c r="U97" s="6">
        <v>0</v>
      </c>
      <c r="V97" s="6">
        <v>0</v>
      </c>
      <c r="W97" s="6">
        <v>50.59572384527501</v>
      </c>
      <c r="X97" s="6">
        <v>0</v>
      </c>
      <c r="Y97" s="6">
        <v>0</v>
      </c>
      <c r="Z97" s="6">
        <v>23.35187254397308</v>
      </c>
      <c r="AA97" s="6">
        <v>0</v>
      </c>
      <c r="AB97" s="6">
        <v>33.081819437295202</v>
      </c>
      <c r="AC97" s="6">
        <v>64.217649495925968</v>
      </c>
      <c r="AD97" s="6">
        <v>0</v>
      </c>
      <c r="AE97" s="6">
        <v>0</v>
      </c>
      <c r="AF97" s="6">
        <v>42.811766330617317</v>
      </c>
      <c r="AG97" s="6">
        <v>32.692621561562312</v>
      </c>
      <c r="AH97" s="6">
        <v>91.461500797227899</v>
      </c>
      <c r="AI97" s="6">
        <v>77.839575146576948</v>
      </c>
      <c r="AJ97" s="6">
        <v>70.055617631919233</v>
      </c>
      <c r="AK97" s="6">
        <v>0</v>
      </c>
      <c r="AL97" s="28">
        <v>867.58034487953682</v>
      </c>
      <c r="AN97" s="20">
        <v>27.986462738049575</v>
      </c>
      <c r="AP97" s="36">
        <v>21.242819255221089</v>
      </c>
    </row>
    <row r="98" spans="1:53" outlineLevel="1">
      <c r="C98" s="9" t="s">
        <v>14</v>
      </c>
      <c r="D98" s="28">
        <v>0</v>
      </c>
      <c r="E98" s="28">
        <v>2636.260882976987</v>
      </c>
      <c r="F98" s="28">
        <v>102.32012153017538</v>
      </c>
      <c r="G98" s="28">
        <v>74.570697291936057</v>
      </c>
      <c r="H98" s="28">
        <v>30.941231120764328</v>
      </c>
      <c r="I98" s="28">
        <v>52.152515348206549</v>
      </c>
      <c r="J98" s="28">
        <v>27.827648114901255</v>
      </c>
      <c r="K98" s="28">
        <v>9.8077864684686933</v>
      </c>
      <c r="L98" s="28">
        <v>57.601285608466938</v>
      </c>
      <c r="M98" s="28">
        <v>35.806204567425389</v>
      </c>
      <c r="N98" s="28">
        <v>43.006365268483755</v>
      </c>
      <c r="O98" s="28">
        <v>300.34400070306708</v>
      </c>
      <c r="P98" s="28">
        <v>9.7299468933221167</v>
      </c>
      <c r="Q98" s="28">
        <v>67.331232501789046</v>
      </c>
      <c r="R98" s="28">
        <v>44.368557833548849</v>
      </c>
      <c r="S98" s="28">
        <v>35.611605629558952</v>
      </c>
      <c r="T98" s="28">
        <v>33.27641837516164</v>
      </c>
      <c r="U98" s="28">
        <v>19.070695910911351</v>
      </c>
      <c r="V98" s="28">
        <v>28.60604386636702</v>
      </c>
      <c r="W98" s="28">
        <v>90.099308232162798</v>
      </c>
      <c r="X98" s="28">
        <v>19.109615698484639</v>
      </c>
      <c r="Y98" s="28">
        <v>48.844333404477027</v>
      </c>
      <c r="Z98" s="28">
        <v>109.63704159395363</v>
      </c>
      <c r="AA98" s="28">
        <v>-21.211284227442221</v>
      </c>
      <c r="AB98" s="28">
        <v>53.903905789004533</v>
      </c>
      <c r="AC98" s="28">
        <v>95.820517005436201</v>
      </c>
      <c r="AD98" s="28">
        <v>49.155691705063333</v>
      </c>
      <c r="AE98" s="28">
        <v>30.357434307165004</v>
      </c>
      <c r="AF98" s="28">
        <v>71.028612321251458</v>
      </c>
      <c r="AG98" s="28">
        <v>73.363799575648756</v>
      </c>
      <c r="AH98" s="28">
        <v>119.21130933698258</v>
      </c>
      <c r="AI98" s="28">
        <v>95.548078492423201</v>
      </c>
      <c r="AJ98" s="28">
        <v>110.72679564600568</v>
      </c>
      <c r="AK98" s="28">
        <v>63.956321954526622</v>
      </c>
      <c r="AL98" s="28">
        <v>4618.1847208446852</v>
      </c>
      <c r="AN98" s="20">
        <v>148.97370067240919</v>
      </c>
      <c r="AP98" s="36">
        <v>101.6430696829097</v>
      </c>
    </row>
    <row r="99" spans="1:53" outlineLevel="1">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28">
        <v>0</v>
      </c>
      <c r="AP99" s="43"/>
    </row>
    <row r="100" spans="1:53" outlineLevel="1">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28">
        <v>0</v>
      </c>
      <c r="AP100" s="43"/>
    </row>
    <row r="101" spans="1:53" outlineLevel="1">
      <c r="C101" t="s">
        <v>61</v>
      </c>
      <c r="D101" s="6">
        <v>0</v>
      </c>
      <c r="E101" s="6">
        <v>2401.7108829769868</v>
      </c>
      <c r="F101" s="6">
        <v>78.968248986202298</v>
      </c>
      <c r="G101" s="6">
        <v>74.570697291936057</v>
      </c>
      <c r="H101" s="6">
        <v>22.184278916774424</v>
      </c>
      <c r="I101" s="6">
        <v>32.692621561562312</v>
      </c>
      <c r="J101" s="6">
        <v>16.151711842914715</v>
      </c>
      <c r="K101" s="6">
        <v>9.8077864684686933</v>
      </c>
      <c r="L101" s="6">
        <v>22.573476792507314</v>
      </c>
      <c r="M101" s="6">
        <v>35.806204567425389</v>
      </c>
      <c r="N101" s="6">
        <v>43.006365268483755</v>
      </c>
      <c r="O101" s="6">
        <v>288.66806443108055</v>
      </c>
      <c r="P101" s="6">
        <v>9.7299468933221167</v>
      </c>
      <c r="Q101" s="6">
        <v>42.033370579151544</v>
      </c>
      <c r="R101" s="6">
        <v>44.368557833548849</v>
      </c>
      <c r="S101" s="6">
        <v>35.611605629558952</v>
      </c>
      <c r="T101" s="6">
        <v>21.6004821031751</v>
      </c>
      <c r="U101" s="6">
        <v>19.070695910911351</v>
      </c>
      <c r="V101" s="6">
        <v>28.60604386636702</v>
      </c>
      <c r="W101" s="6">
        <v>39.503584386887795</v>
      </c>
      <c r="X101" s="6">
        <v>19.109615698484639</v>
      </c>
      <c r="Y101" s="6">
        <v>48.844333404477027</v>
      </c>
      <c r="Z101" s="6">
        <v>86.285169049980539</v>
      </c>
      <c r="AA101" s="6">
        <v>-21.211284227442221</v>
      </c>
      <c r="AB101" s="6">
        <v>20.822086351709331</v>
      </c>
      <c r="AC101" s="6">
        <v>31.602867509510236</v>
      </c>
      <c r="AD101" s="6">
        <v>49.155691705063333</v>
      </c>
      <c r="AE101" s="6">
        <v>30.357434307165004</v>
      </c>
      <c r="AF101" s="6">
        <v>28.216845990634138</v>
      </c>
      <c r="AG101" s="6">
        <v>40.671178014086451</v>
      </c>
      <c r="AH101" s="6">
        <v>27.749808539754682</v>
      </c>
      <c r="AI101" s="6">
        <v>17.708503345846253</v>
      </c>
      <c r="AJ101" s="6">
        <v>40.671178014086451</v>
      </c>
      <c r="AK101" s="6">
        <v>63.956321954526622</v>
      </c>
      <c r="AL101" s="28">
        <v>3750.6043759651475</v>
      </c>
      <c r="AN101" s="20">
        <v>120.9872379343596</v>
      </c>
      <c r="AP101" s="37">
        <v>80.400250427688604</v>
      </c>
    </row>
    <row r="102" spans="1:53" outlineLevel="1">
      <c r="C102" t="s">
        <v>24</v>
      </c>
      <c r="D102" s="6">
        <v>0</v>
      </c>
      <c r="E102" s="6">
        <v>234.55</v>
      </c>
      <c r="F102" s="6">
        <v>23.35187254397308</v>
      </c>
      <c r="G102" s="6">
        <v>0</v>
      </c>
      <c r="H102" s="6">
        <v>8.7569522039899059</v>
      </c>
      <c r="I102" s="6">
        <v>19.459893786644233</v>
      </c>
      <c r="J102" s="6">
        <v>11.67593627198654</v>
      </c>
      <c r="K102" s="6">
        <v>0</v>
      </c>
      <c r="L102" s="6">
        <v>35.027808815959624</v>
      </c>
      <c r="M102" s="6">
        <v>0</v>
      </c>
      <c r="N102" s="6">
        <v>0</v>
      </c>
      <c r="O102" s="6">
        <v>11.67593627198654</v>
      </c>
      <c r="P102" s="6">
        <v>0</v>
      </c>
      <c r="Q102" s="6">
        <v>25.297861922637502</v>
      </c>
      <c r="R102" s="6">
        <v>0</v>
      </c>
      <c r="S102" s="6">
        <v>0</v>
      </c>
      <c r="T102" s="6">
        <v>11.67593627198654</v>
      </c>
      <c r="U102" s="6">
        <v>0</v>
      </c>
      <c r="V102" s="6">
        <v>0</v>
      </c>
      <c r="W102" s="6">
        <v>50.59572384527501</v>
      </c>
      <c r="X102" s="6">
        <v>0</v>
      </c>
      <c r="Y102" s="6">
        <v>0</v>
      </c>
      <c r="Z102" s="6">
        <v>23.35187254397308</v>
      </c>
      <c r="AA102" s="6">
        <v>0</v>
      </c>
      <c r="AB102" s="6">
        <v>33.081819437295202</v>
      </c>
      <c r="AC102" s="6">
        <v>64.217649495925968</v>
      </c>
      <c r="AD102" s="6">
        <v>0</v>
      </c>
      <c r="AE102" s="6">
        <v>0</v>
      </c>
      <c r="AF102" s="6">
        <v>42.811766330617317</v>
      </c>
      <c r="AG102" s="6">
        <v>32.692621561562312</v>
      </c>
      <c r="AH102" s="6">
        <v>91.461500797227899</v>
      </c>
      <c r="AI102" s="6">
        <v>77.839575146576948</v>
      </c>
      <c r="AJ102" s="6">
        <v>70.055617631919233</v>
      </c>
      <c r="AK102" s="6">
        <v>0</v>
      </c>
      <c r="AL102" s="28">
        <v>867.58034487953682</v>
      </c>
      <c r="AN102" s="20">
        <v>27.986462738049575</v>
      </c>
      <c r="AP102" s="37">
        <v>21.242819255221089</v>
      </c>
    </row>
    <row r="103" spans="1:53" outlineLevel="1">
      <c r="D103" s="28">
        <v>0</v>
      </c>
      <c r="E103" s="28">
        <v>2636.260882976987</v>
      </c>
      <c r="F103" s="28">
        <v>102.32012153017538</v>
      </c>
      <c r="G103" s="28">
        <v>74.570697291936057</v>
      </c>
      <c r="H103" s="28">
        <v>30.941231120764328</v>
      </c>
      <c r="I103" s="28">
        <v>52.152515348206549</v>
      </c>
      <c r="J103" s="28">
        <v>27.827648114901255</v>
      </c>
      <c r="K103" s="28">
        <v>9.8077864684686933</v>
      </c>
      <c r="L103" s="28">
        <v>57.601285608466938</v>
      </c>
      <c r="M103" s="28">
        <v>35.806204567425389</v>
      </c>
      <c r="N103" s="28">
        <v>43.006365268483755</v>
      </c>
      <c r="O103" s="28">
        <v>300.34400070306708</v>
      </c>
      <c r="P103" s="28">
        <v>9.7299468933221167</v>
      </c>
      <c r="Q103" s="28">
        <v>67.331232501789046</v>
      </c>
      <c r="R103" s="28">
        <v>44.368557833548849</v>
      </c>
      <c r="S103" s="28">
        <v>35.611605629558952</v>
      </c>
      <c r="T103" s="28">
        <v>33.27641837516164</v>
      </c>
      <c r="U103" s="28">
        <v>19.070695910911351</v>
      </c>
      <c r="V103" s="28">
        <v>28.60604386636702</v>
      </c>
      <c r="W103" s="28">
        <v>90.099308232162798</v>
      </c>
      <c r="X103" s="28">
        <v>19.109615698484639</v>
      </c>
      <c r="Y103" s="28">
        <v>48.844333404477027</v>
      </c>
      <c r="Z103" s="28">
        <v>109.63704159395363</v>
      </c>
      <c r="AA103" s="28">
        <v>-21.211284227442221</v>
      </c>
      <c r="AB103" s="28">
        <v>53.903905789004533</v>
      </c>
      <c r="AC103" s="28">
        <v>95.820517005436201</v>
      </c>
      <c r="AD103" s="28">
        <v>49.155691705063333</v>
      </c>
      <c r="AE103" s="28">
        <v>30.357434307165004</v>
      </c>
      <c r="AF103" s="28">
        <v>71.028612321251458</v>
      </c>
      <c r="AG103" s="28">
        <v>73.363799575648756</v>
      </c>
      <c r="AH103" s="28">
        <v>119.21130933698258</v>
      </c>
      <c r="AI103" s="28">
        <v>95.548078492423201</v>
      </c>
      <c r="AJ103" s="28">
        <v>110.72679564600568</v>
      </c>
      <c r="AK103" s="28">
        <v>63.956321954526622</v>
      </c>
      <c r="AL103" s="28">
        <v>4618.1847208446852</v>
      </c>
      <c r="AN103" s="20">
        <v>148.97370067240919</v>
      </c>
      <c r="AP103" s="38">
        <v>101.6430696829097</v>
      </c>
    </row>
    <row r="104" spans="1:53">
      <c r="A104" s="9" t="s">
        <v>98</v>
      </c>
    </row>
    <row r="105" spans="1:53">
      <c r="F105" s="6">
        <v>102.32012153017538</v>
      </c>
      <c r="G105" s="6">
        <v>74.570697291936057</v>
      </c>
      <c r="H105" s="6">
        <v>30.941231120764328</v>
      </c>
      <c r="I105" s="6">
        <v>52.152515348206549</v>
      </c>
      <c r="J105" s="6">
        <v>27.827648114901255</v>
      </c>
      <c r="K105" s="6">
        <v>9.8077864684686933</v>
      </c>
      <c r="L105" s="6">
        <v>57.601285608466938</v>
      </c>
      <c r="M105" s="6">
        <v>35.806204567425389</v>
      </c>
      <c r="N105" s="6">
        <v>43.006365268483755</v>
      </c>
      <c r="O105" s="6">
        <v>300.34400070306708</v>
      </c>
      <c r="P105" s="6">
        <v>9.7299468933221167</v>
      </c>
      <c r="Q105" s="6">
        <v>67.331232501789046</v>
      </c>
      <c r="R105" s="6">
        <v>44.368557833548849</v>
      </c>
      <c r="S105" s="6">
        <v>35.611605629558952</v>
      </c>
      <c r="T105" s="6">
        <v>33.27641837516164</v>
      </c>
      <c r="U105" s="6">
        <v>19.070695910911351</v>
      </c>
      <c r="V105" s="6">
        <v>28.60604386636702</v>
      </c>
      <c r="W105" s="6">
        <v>90.099308232162798</v>
      </c>
      <c r="X105" s="6">
        <v>19.109615698484639</v>
      </c>
      <c r="Y105" s="6">
        <v>48.844333404477027</v>
      </c>
      <c r="Z105" s="6">
        <v>109.63704159395363</v>
      </c>
      <c r="AA105" s="6">
        <v>-21.211284227442221</v>
      </c>
      <c r="AB105" s="6">
        <v>53.903905789004533</v>
      </c>
      <c r="AC105" s="6">
        <v>95.820517005436201</v>
      </c>
      <c r="AD105" s="6">
        <v>49.155691705063333</v>
      </c>
      <c r="AE105" s="6">
        <v>30.357434307165004</v>
      </c>
      <c r="AF105" s="6">
        <v>71.028612321251458</v>
      </c>
      <c r="AG105" s="6">
        <v>73.363799575648756</v>
      </c>
      <c r="AH105" s="6">
        <v>119.21130933698258</v>
      </c>
      <c r="AI105" s="6">
        <v>95.548078492423201</v>
      </c>
      <c r="AJ105" s="6">
        <v>110.72679564600568</v>
      </c>
      <c r="AK105" s="6">
        <v>63.956321954526622</v>
      </c>
      <c r="AL105" s="28">
        <v>0</v>
      </c>
    </row>
    <row r="106" spans="1:53" ht="115.2" outlineLevel="1">
      <c r="D106" s="18"/>
      <c r="E106" s="17"/>
      <c r="F106" s="17"/>
      <c r="G106" s="33" t="s">
        <v>74</v>
      </c>
      <c r="H106" s="17" t="s">
        <v>78</v>
      </c>
      <c r="I106" s="17"/>
      <c r="J106" s="17"/>
      <c r="K106" s="17"/>
      <c r="M106" s="17"/>
      <c r="N106" s="17" t="s">
        <v>81</v>
      </c>
      <c r="O106" s="17"/>
      <c r="P106" s="17" t="s">
        <v>93</v>
      </c>
      <c r="Q106" s="17" t="s">
        <v>92</v>
      </c>
      <c r="R106" s="17" t="s">
        <v>91</v>
      </c>
      <c r="S106" s="17"/>
      <c r="T106" s="17"/>
      <c r="U106" s="17"/>
      <c r="V106" s="17"/>
      <c r="W106" s="17"/>
      <c r="X106" s="17"/>
      <c r="Y106" s="17"/>
      <c r="Z106" s="17"/>
      <c r="AA106" s="17"/>
      <c r="AB106" s="17"/>
      <c r="AC106" s="17"/>
      <c r="AD106" s="17"/>
      <c r="AE106" s="17"/>
      <c r="AF106" s="17"/>
      <c r="AG106" s="17"/>
      <c r="AH106" s="17"/>
      <c r="AI106" s="17"/>
      <c r="AJ106" s="17"/>
      <c r="AK106" s="17"/>
      <c r="AL106" s="3"/>
      <c r="AM106" s="18"/>
    </row>
    <row r="107" spans="1:53">
      <c r="A107" s="9" t="s">
        <v>95</v>
      </c>
    </row>
    <row r="108" spans="1:53">
      <c r="BA108" s="18"/>
    </row>
    <row r="109" spans="1:53" ht="15" thickBot="1">
      <c r="E109" s="2" t="s">
        <v>207</v>
      </c>
      <c r="F109" s="2" t="s">
        <v>52</v>
      </c>
      <c r="G109" s="2" t="s">
        <v>52</v>
      </c>
      <c r="H109" s="2" t="s">
        <v>52</v>
      </c>
      <c r="I109" s="2" t="s">
        <v>52</v>
      </c>
      <c r="J109" s="2" t="s">
        <v>52</v>
      </c>
      <c r="K109" s="2" t="s">
        <v>52</v>
      </c>
      <c r="L109" s="2" t="s">
        <v>52</v>
      </c>
      <c r="M109" s="2" t="s">
        <v>52</v>
      </c>
      <c r="N109" s="2" t="s">
        <v>52</v>
      </c>
      <c r="O109" s="2" t="s">
        <v>214</v>
      </c>
      <c r="P109" s="2" t="s">
        <v>214</v>
      </c>
      <c r="Q109" s="2" t="s">
        <v>214</v>
      </c>
      <c r="R109" s="2" t="s">
        <v>52</v>
      </c>
      <c r="S109" s="2" t="s">
        <v>52</v>
      </c>
      <c r="T109" s="2" t="s">
        <v>52</v>
      </c>
      <c r="U109" s="2" t="s">
        <v>52</v>
      </c>
      <c r="V109" s="2" t="s">
        <v>52</v>
      </c>
      <c r="W109" s="2" t="s">
        <v>52</v>
      </c>
      <c r="X109" s="2" t="s">
        <v>52</v>
      </c>
      <c r="Y109" s="2" t="s">
        <v>52</v>
      </c>
      <c r="Z109" s="2" t="s">
        <v>52</v>
      </c>
      <c r="AA109" s="2" t="s">
        <v>52</v>
      </c>
      <c r="AB109" s="2" t="s">
        <v>52</v>
      </c>
      <c r="AC109" s="2" t="s">
        <v>52</v>
      </c>
      <c r="AD109" s="2" t="s">
        <v>211</v>
      </c>
      <c r="AE109" s="2" t="s">
        <v>211</v>
      </c>
      <c r="AF109" s="2" t="s">
        <v>52</v>
      </c>
      <c r="AG109" s="2" t="s">
        <v>52</v>
      </c>
      <c r="AH109" s="2" t="s">
        <v>52</v>
      </c>
      <c r="AI109" s="2" t="s">
        <v>52</v>
      </c>
      <c r="AK109" s="2" t="s">
        <v>68</v>
      </c>
    </row>
    <row r="110" spans="1:53" s="18" customFormat="1" ht="54" customHeight="1" thickBot="1">
      <c r="A110" s="18" t="s">
        <v>8</v>
      </c>
      <c r="E110" s="17"/>
      <c r="F110" s="17"/>
      <c r="G110" s="17"/>
      <c r="H110" s="17"/>
      <c r="I110" s="17"/>
      <c r="J110" s="17"/>
      <c r="K110" s="17"/>
      <c r="L110" s="17"/>
      <c r="M110" s="17"/>
      <c r="N110" s="17"/>
      <c r="O110" s="17"/>
      <c r="P110" s="17"/>
      <c r="Q110" s="17"/>
      <c r="R110" s="45"/>
      <c r="S110" s="45"/>
      <c r="T110" s="17"/>
      <c r="U110" s="17"/>
      <c r="V110" s="17"/>
      <c r="W110" s="17"/>
      <c r="X110" s="17"/>
      <c r="Y110" s="17"/>
      <c r="Z110" s="17"/>
      <c r="AA110" s="17"/>
      <c r="AB110" s="17"/>
      <c r="AC110" s="17"/>
      <c r="AD110" s="17"/>
      <c r="AE110" s="17"/>
      <c r="AF110" s="17"/>
      <c r="AG110" s="17"/>
      <c r="AH110" s="17"/>
      <c r="AI110" s="17"/>
      <c r="AJ110" s="17"/>
      <c r="AK110" s="17"/>
      <c r="AL110" s="17"/>
      <c r="AW110"/>
      <c r="AX110"/>
      <c r="AY110"/>
      <c r="AZ110"/>
      <c r="BA110"/>
    </row>
    <row r="111" spans="1:53">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L111" s="2"/>
    </row>
    <row r="112" spans="1:53">
      <c r="AW112" s="18"/>
      <c r="AX112" s="18"/>
      <c r="AY112" s="18"/>
      <c r="AZ112" s="18"/>
    </row>
    <row r="114" spans="18:39">
      <c r="R114" s="2" t="s">
        <v>169</v>
      </c>
      <c r="W114" s="2" t="s">
        <v>168</v>
      </c>
    </row>
    <row r="115" spans="18:39">
      <c r="R115" s="2" t="s">
        <v>171</v>
      </c>
      <c r="W115" s="2" t="s">
        <v>170</v>
      </c>
    </row>
    <row r="116" spans="18:39">
      <c r="AM116" s="26"/>
    </row>
    <row r="117" spans="18:39">
      <c r="AM117" s="26"/>
    </row>
    <row r="118" spans="18:39">
      <c r="AM118" s="26"/>
    </row>
    <row r="119" spans="18:39">
      <c r="AM119" s="26"/>
    </row>
    <row r="120" spans="18:39">
      <c r="AM120" s="26"/>
    </row>
    <row r="121" spans="18:39">
      <c r="AM121" s="26"/>
    </row>
    <row r="122" spans="18:39">
      <c r="AM122" s="26"/>
    </row>
    <row r="123" spans="18:39">
      <c r="AM123" s="26"/>
    </row>
    <row r="124" spans="18:39">
      <c r="AM124" s="26"/>
    </row>
    <row r="125" spans="18:39">
      <c r="AM125" s="26"/>
    </row>
    <row r="126" spans="18:39">
      <c r="AM126" s="26"/>
    </row>
    <row r="127" spans="18:39">
      <c r="AM127" s="26"/>
    </row>
    <row r="128" spans="18:39">
      <c r="AM128" s="26"/>
    </row>
    <row r="129" spans="39:39">
      <c r="AM129" s="26"/>
    </row>
    <row r="130" spans="39:39">
      <c r="AM130" s="26"/>
    </row>
    <row r="131" spans="39:39">
      <c r="AM131" s="26"/>
    </row>
    <row r="132" spans="39:39">
      <c r="AM132" s="26"/>
    </row>
    <row r="133" spans="39:39">
      <c r="AM133" s="26"/>
    </row>
    <row r="134" spans="39:39">
      <c r="AM134" s="26"/>
    </row>
    <row r="135" spans="39:39">
      <c r="AM135" s="26"/>
    </row>
    <row r="136" spans="39:39">
      <c r="AM136" s="26"/>
    </row>
    <row r="137" spans="39:39">
      <c r="AM137" s="26"/>
    </row>
    <row r="138" spans="39:39">
      <c r="AM138" s="26"/>
    </row>
    <row r="139" spans="39:39">
      <c r="AM139" s="26"/>
    </row>
    <row r="140" spans="39:39">
      <c r="AM140" s="26"/>
    </row>
    <row r="141" spans="39:39">
      <c r="AM141" s="26"/>
    </row>
    <row r="142" spans="39:39">
      <c r="AM142" s="26"/>
    </row>
    <row r="143" spans="39:39">
      <c r="AM143" s="26"/>
    </row>
    <row r="144" spans="39:39">
      <c r="AM144" s="26"/>
    </row>
    <row r="145" spans="39:39">
      <c r="AM145" s="26"/>
    </row>
    <row r="146" spans="39:39">
      <c r="AM146" s="26"/>
    </row>
    <row r="147" spans="39:39">
      <c r="AM147" s="26"/>
    </row>
    <row r="148" spans="39:39">
      <c r="AM148" s="26"/>
    </row>
    <row r="149" spans="39:39">
      <c r="AM149" s="26"/>
    </row>
    <row r="150" spans="39:39">
      <c r="AM150" s="26"/>
    </row>
    <row r="151" spans="39:39">
      <c r="AM151" s="26"/>
    </row>
    <row r="152" spans="39:39">
      <c r="AM152" s="26"/>
    </row>
    <row r="153" spans="39:39">
      <c r="AM153" s="26"/>
    </row>
    <row r="154" spans="39:39">
      <c r="AM154" s="26"/>
    </row>
    <row r="155" spans="39:39">
      <c r="AM155" s="26"/>
    </row>
    <row r="156" spans="39:39">
      <c r="AM156" s="26"/>
    </row>
    <row r="157" spans="39:39">
      <c r="AM157" s="26"/>
    </row>
    <row r="158" spans="39:39">
      <c r="AM158" s="26"/>
    </row>
    <row r="159" spans="39:39">
      <c r="AM159" s="26"/>
    </row>
    <row r="160" spans="39:39">
      <c r="AM160" s="26"/>
    </row>
    <row r="161" spans="39:39">
      <c r="AM161" s="26"/>
    </row>
    <row r="162" spans="39:39">
      <c r="AM162" s="26"/>
    </row>
    <row r="163" spans="39:39">
      <c r="AM163" s="26"/>
    </row>
    <row r="164" spans="39:39">
      <c r="AM164" s="26"/>
    </row>
    <row r="165" spans="39:39">
      <c r="AM165" s="26"/>
    </row>
    <row r="166" spans="39:39">
      <c r="AM166" s="26"/>
    </row>
    <row r="167" spans="39:39">
      <c r="AM167" s="26"/>
    </row>
  </sheetData>
  <autoFilter ref="B6:AL25"/>
  <conditionalFormatting sqref="AV44:AV48">
    <cfRule type="cellIs" dxfId="60" priority="1" stopIfTrue="1" operator="greaterThan">
      <formula>0</formula>
    </cfRule>
  </conditionalFormatting>
  <conditionalFormatting sqref="AV43">
    <cfRule type="cellIs" dxfId="59" priority="11" stopIfTrue="1" operator="greaterThan">
      <formula>0</formula>
    </cfRule>
  </conditionalFormatting>
  <conditionalFormatting sqref="AV43">
    <cfRule type="cellIs" dxfId="58" priority="10" stopIfTrue="1" operator="greaterThan">
      <formula>0</formula>
    </cfRule>
  </conditionalFormatting>
  <conditionalFormatting sqref="AV43">
    <cfRule type="cellIs" dxfId="57" priority="9" stopIfTrue="1" operator="greaterThan">
      <formula>0</formula>
    </cfRule>
  </conditionalFormatting>
  <conditionalFormatting sqref="AV43">
    <cfRule type="cellIs" dxfId="56" priority="8" stopIfTrue="1" operator="greaterThan">
      <formula>0</formula>
    </cfRule>
  </conditionalFormatting>
  <conditionalFormatting sqref="AV43">
    <cfRule type="cellIs" dxfId="55" priority="4" stopIfTrue="1" operator="greaterThan">
      <formula>0</formula>
    </cfRule>
  </conditionalFormatting>
  <conditionalFormatting sqref="AV43">
    <cfRule type="cellIs" dxfId="54" priority="7" stopIfTrue="1" operator="greaterThan">
      <formula>0</formula>
    </cfRule>
  </conditionalFormatting>
  <conditionalFormatting sqref="AV43">
    <cfRule type="cellIs" dxfId="53" priority="6" stopIfTrue="1" operator="greaterThan">
      <formula>0</formula>
    </cfRule>
  </conditionalFormatting>
  <conditionalFormatting sqref="AV43">
    <cfRule type="cellIs" dxfId="52" priority="5" stopIfTrue="1" operator="greaterThan">
      <formula>0</formula>
    </cfRule>
  </conditionalFormatting>
  <conditionalFormatting sqref="AV43">
    <cfRule type="cellIs" dxfId="51" priority="3" stopIfTrue="1" operator="greaterThan">
      <formula>0</formula>
    </cfRule>
  </conditionalFormatting>
  <conditionalFormatting sqref="AV43">
    <cfRule type="cellIs" dxfId="50" priority="2" stopIfTrue="1" operator="greaterThan">
      <formula>0</formula>
    </cfRule>
  </conditionalFormatting>
  <conditionalFormatting sqref="AV43">
    <cfRule type="cellIs" dxfId="49" priority="12" stopIfTrue="1" operator="greaterThan">
      <formula>0</formula>
    </cfRule>
  </conditionalFormatting>
  <conditionalFormatting sqref="AV43">
    <cfRule type="cellIs" dxfId="48" priority="13" stopIfTrue="1" operator="greaterThan">
      <formula>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A1:AQ161"/>
  <sheetViews>
    <sheetView showZeros="0" tabSelected="1" topLeftCell="B1" zoomScaleNormal="100" workbookViewId="0">
      <selection activeCell="H16" sqref="H16"/>
    </sheetView>
  </sheetViews>
  <sheetFormatPr baseColWidth="10" defaultRowHeight="14.4" outlineLevelRow="2" outlineLevelCol="1"/>
  <cols>
    <col min="1" max="1" width="16.5546875" bestFit="1" customWidth="1"/>
    <col min="3" max="3" width="17.6640625" bestFit="1" customWidth="1"/>
    <col min="4" max="4" width="1.5546875" customWidth="1"/>
    <col min="5" max="5" width="8" style="2" customWidth="1"/>
    <col min="6" max="6" width="9" style="2" customWidth="1"/>
    <col min="7" max="12" width="8" style="2" customWidth="1" outlineLevel="1"/>
    <col min="13" max="13" width="8.109375" style="2" customWidth="1" outlineLevel="1"/>
    <col min="14" max="14" width="9.6640625" style="2" customWidth="1" outlineLevel="1"/>
    <col min="15" max="15" width="9.109375" style="2" bestFit="1" customWidth="1"/>
    <col min="16" max="17" width="8" style="2" customWidth="1"/>
    <col min="18" max="19" width="8.6640625" style="2" customWidth="1"/>
    <col min="20" max="23" width="8.6640625" style="2" customWidth="1" outlineLevel="1"/>
    <col min="24" max="25" width="8.109375" style="2" customWidth="1" outlineLevel="1"/>
    <col min="26" max="26" width="8.109375" style="2" bestFit="1" customWidth="1"/>
    <col min="27" max="27" width="6.88671875" style="2" customWidth="1"/>
    <col min="28" max="28" width="11.44140625" style="4"/>
    <col min="29" max="29" width="6.88671875" style="2" customWidth="1"/>
    <col min="30" max="30" width="7.6640625" customWidth="1"/>
    <col min="31" max="31" width="5.5546875" style="2" bestFit="1" customWidth="1"/>
    <col min="32" max="37" width="0.33203125" style="2" customWidth="1"/>
    <col min="39" max="39" width="14.44140625" bestFit="1" customWidth="1"/>
  </cols>
  <sheetData>
    <row r="1" spans="1:43">
      <c r="AE1" s="2">
        <v>1</v>
      </c>
      <c r="AF1" s="2">
        <v>2</v>
      </c>
      <c r="AG1" s="2">
        <v>3</v>
      </c>
      <c r="AH1" s="2">
        <v>4</v>
      </c>
      <c r="AI1" s="2">
        <v>5</v>
      </c>
      <c r="AJ1" s="2">
        <v>6</v>
      </c>
      <c r="AK1" s="2">
        <v>7</v>
      </c>
    </row>
    <row r="2" spans="1:43">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c r="AE2" s="2" t="s">
        <v>84</v>
      </c>
      <c r="AF2" s="2" t="s">
        <v>85</v>
      </c>
      <c r="AG2" s="2" t="s">
        <v>86</v>
      </c>
      <c r="AH2" s="2" t="s">
        <v>87</v>
      </c>
      <c r="AI2" s="2" t="s">
        <v>88</v>
      </c>
      <c r="AJ2" s="2" t="s">
        <v>89</v>
      </c>
      <c r="AK2" s="2" t="s">
        <v>90</v>
      </c>
    </row>
    <row r="3" spans="1:43">
      <c r="E3" s="2" t="s">
        <v>85</v>
      </c>
      <c r="F3" s="2" t="s">
        <v>86</v>
      </c>
      <c r="G3" s="2" t="s">
        <v>87</v>
      </c>
      <c r="H3" s="2" t="s">
        <v>88</v>
      </c>
      <c r="I3" s="2" t="s">
        <v>89</v>
      </c>
      <c r="J3" s="2" t="s">
        <v>90</v>
      </c>
      <c r="K3" s="2" t="s">
        <v>84</v>
      </c>
      <c r="L3" s="2" t="s">
        <v>85</v>
      </c>
      <c r="M3" s="2" t="s">
        <v>86</v>
      </c>
      <c r="N3" s="2" t="s">
        <v>87</v>
      </c>
      <c r="O3" s="2" t="s">
        <v>88</v>
      </c>
      <c r="P3" s="2" t="s">
        <v>89</v>
      </c>
      <c r="Q3" s="2" t="s">
        <v>90</v>
      </c>
      <c r="R3" s="2" t="s">
        <v>84</v>
      </c>
      <c r="S3" s="2" t="s">
        <v>85</v>
      </c>
      <c r="T3" s="2" t="s">
        <v>86</v>
      </c>
      <c r="U3" s="2" t="s">
        <v>87</v>
      </c>
      <c r="V3" s="2" t="s">
        <v>88</v>
      </c>
      <c r="W3" s="2" t="s">
        <v>89</v>
      </c>
      <c r="X3" s="2" t="s">
        <v>90</v>
      </c>
      <c r="Y3" s="2" t="s">
        <v>84</v>
      </c>
      <c r="Z3" s="2" t="s">
        <v>85</v>
      </c>
      <c r="AA3" s="2" t="s">
        <v>86</v>
      </c>
      <c r="AB3" s="2"/>
    </row>
    <row r="4" spans="1:43" s="10" customFormat="1" ht="15" thickBot="1">
      <c r="E4" s="34">
        <v>43557</v>
      </c>
      <c r="F4" s="34">
        <v>43558</v>
      </c>
      <c r="G4" s="34">
        <v>43559</v>
      </c>
      <c r="H4" s="34">
        <v>43560</v>
      </c>
      <c r="I4" s="34">
        <v>43561</v>
      </c>
      <c r="J4" s="34">
        <v>43562</v>
      </c>
      <c r="K4" s="34">
        <v>43563</v>
      </c>
      <c r="L4" s="34">
        <v>43564</v>
      </c>
      <c r="M4" s="34">
        <v>43565</v>
      </c>
      <c r="N4" s="34">
        <v>43566</v>
      </c>
      <c r="O4" s="34">
        <v>43567</v>
      </c>
      <c r="P4" s="34">
        <v>43568</v>
      </c>
      <c r="Q4" s="34">
        <v>43569</v>
      </c>
      <c r="R4" s="34">
        <v>43570</v>
      </c>
      <c r="S4" s="34">
        <v>43571</v>
      </c>
      <c r="T4" s="34">
        <v>43572</v>
      </c>
      <c r="U4" s="34">
        <v>43573</v>
      </c>
      <c r="V4" s="34">
        <v>43574</v>
      </c>
      <c r="W4" s="34">
        <v>43575</v>
      </c>
      <c r="X4" s="34">
        <v>43576</v>
      </c>
      <c r="Y4" s="34">
        <v>43577</v>
      </c>
      <c r="Z4" s="34">
        <v>43578</v>
      </c>
      <c r="AA4" s="34">
        <v>43579</v>
      </c>
      <c r="AB4" s="12"/>
      <c r="AC4" s="1"/>
      <c r="AE4" s="1"/>
      <c r="AF4" s="1"/>
      <c r="AG4" s="1"/>
      <c r="AH4" s="1"/>
      <c r="AI4" s="1"/>
      <c r="AJ4" s="1"/>
      <c r="AK4" s="1"/>
    </row>
    <row r="5" spans="1:43" ht="15" thickBot="1">
      <c r="C5" s="75" t="s">
        <v>158</v>
      </c>
      <c r="D5" s="2" t="s">
        <v>12</v>
      </c>
      <c r="E5" s="2" t="s">
        <v>154</v>
      </c>
      <c r="F5" s="2" t="s">
        <v>52</v>
      </c>
      <c r="G5" s="2" t="s">
        <v>52</v>
      </c>
      <c r="H5" s="2" t="s">
        <v>52</v>
      </c>
      <c r="I5" s="2" t="s">
        <v>52</v>
      </c>
      <c r="J5" s="2" t="s">
        <v>52</v>
      </c>
      <c r="K5" s="2" t="s">
        <v>52</v>
      </c>
      <c r="L5" s="2" t="s">
        <v>52</v>
      </c>
      <c r="M5" s="2" t="s">
        <v>52</v>
      </c>
      <c r="N5" s="217" t="s">
        <v>157</v>
      </c>
      <c r="O5" s="218" t="s">
        <v>157</v>
      </c>
      <c r="P5" s="219" t="s">
        <v>80</v>
      </c>
      <c r="Q5" s="2" t="s">
        <v>52</v>
      </c>
      <c r="R5" s="2" t="s">
        <v>52</v>
      </c>
      <c r="S5" s="2" t="s">
        <v>52</v>
      </c>
      <c r="T5" s="2" t="s">
        <v>52</v>
      </c>
      <c r="U5" s="2" t="s">
        <v>52</v>
      </c>
      <c r="V5" s="220" t="s">
        <v>162</v>
      </c>
      <c r="W5" s="2" t="s">
        <v>52</v>
      </c>
      <c r="X5" s="2" t="s">
        <v>52</v>
      </c>
      <c r="Y5" s="2" t="s">
        <v>12</v>
      </c>
      <c r="Z5" s="2" t="s">
        <v>12</v>
      </c>
      <c r="AA5" s="2" t="s">
        <v>68</v>
      </c>
      <c r="AB5" s="4" t="s">
        <v>13</v>
      </c>
    </row>
    <row r="6" spans="1:43" ht="15" outlineLevel="1" thickBot="1">
      <c r="D6" s="11" t="s">
        <v>17</v>
      </c>
      <c r="E6" s="2" t="s">
        <v>16</v>
      </c>
      <c r="F6" s="2" t="s">
        <v>16</v>
      </c>
      <c r="G6" s="2" t="s">
        <v>16</v>
      </c>
      <c r="AN6" s="4" t="s">
        <v>135</v>
      </c>
      <c r="AO6" s="4" t="s">
        <v>9</v>
      </c>
    </row>
    <row r="7" spans="1:43" outlineLevel="1">
      <c r="A7" t="s">
        <v>70</v>
      </c>
      <c r="B7" t="s">
        <v>21</v>
      </c>
      <c r="C7" s="72" t="s">
        <v>142</v>
      </c>
      <c r="D7" s="11"/>
      <c r="E7"/>
      <c r="F7" s="2">
        <v>120</v>
      </c>
      <c r="M7" s="2">
        <v>60</v>
      </c>
      <c r="X7" s="2">
        <v>140</v>
      </c>
      <c r="Y7">
        <v>130</v>
      </c>
      <c r="Z7"/>
      <c r="AA7" s="27"/>
      <c r="AB7" s="29">
        <v>450</v>
      </c>
      <c r="AC7" s="6">
        <v>17.502131669882868</v>
      </c>
      <c r="AD7" s="203">
        <f>+AB7/AC7</f>
        <v>25.711153846153849</v>
      </c>
      <c r="AE7" s="27"/>
      <c r="AM7" s="9" t="s">
        <v>138</v>
      </c>
      <c r="AN7" s="2"/>
      <c r="AO7" s="6">
        <v>862.5</v>
      </c>
      <c r="AP7" s="65">
        <v>862.5</v>
      </c>
    </row>
    <row r="8" spans="1:43" outlineLevel="1">
      <c r="A8" t="s">
        <v>70</v>
      </c>
      <c r="B8" t="s">
        <v>21</v>
      </c>
      <c r="C8" s="73" t="s">
        <v>140</v>
      </c>
      <c r="D8" s="11"/>
      <c r="E8"/>
      <c r="F8" s="2">
        <v>930</v>
      </c>
      <c r="G8" s="2">
        <v>495</v>
      </c>
      <c r="H8" s="2">
        <v>400</v>
      </c>
      <c r="I8" s="2">
        <v>560</v>
      </c>
      <c r="K8" s="2">
        <v>620</v>
      </c>
      <c r="M8" s="2">
        <v>1000</v>
      </c>
      <c r="N8" s="2">
        <v>500</v>
      </c>
      <c r="O8" s="2">
        <v>600</v>
      </c>
      <c r="P8" s="2">
        <v>540</v>
      </c>
      <c r="Q8" s="2">
        <v>530</v>
      </c>
      <c r="S8" s="2">
        <v>485</v>
      </c>
      <c r="T8" s="2">
        <v>120</v>
      </c>
      <c r="U8" s="2">
        <v>1220</v>
      </c>
      <c r="V8" s="2">
        <v>460</v>
      </c>
      <c r="W8" s="2">
        <v>80</v>
      </c>
      <c r="X8" s="2">
        <v>1050</v>
      </c>
      <c r="Y8"/>
      <c r="Z8"/>
      <c r="AA8" s="27"/>
      <c r="AB8" s="29">
        <v>9590</v>
      </c>
      <c r="AC8" s="6">
        <v>372.98987269817047</v>
      </c>
      <c r="AD8" s="27"/>
      <c r="AE8" s="27"/>
      <c r="AM8" s="9" t="s">
        <v>61</v>
      </c>
      <c r="AN8" s="6">
        <v>1698.6013253750989</v>
      </c>
      <c r="AO8" s="6">
        <v>321.05000000000018</v>
      </c>
      <c r="AP8" s="66">
        <v>2019.6513253750991</v>
      </c>
      <c r="AQ8" s="28">
        <v>3540.4440103816064</v>
      </c>
    </row>
    <row r="9" spans="1:43" outlineLevel="1">
      <c r="A9" t="s">
        <v>70</v>
      </c>
      <c r="B9" t="s">
        <v>21</v>
      </c>
      <c r="C9" s="73" t="s">
        <v>147</v>
      </c>
      <c r="D9" s="11"/>
      <c r="E9"/>
      <c r="J9" s="2">
        <v>90</v>
      </c>
      <c r="K9" s="2">
        <v>250</v>
      </c>
      <c r="L9" s="2">
        <v>140</v>
      </c>
      <c r="M9" s="2">
        <v>90</v>
      </c>
      <c r="N9" s="2">
        <v>240</v>
      </c>
      <c r="Q9" s="2">
        <v>100</v>
      </c>
      <c r="R9" s="2">
        <v>190</v>
      </c>
      <c r="U9" s="2">
        <v>120</v>
      </c>
      <c r="V9" s="2">
        <v>300</v>
      </c>
      <c r="W9" s="2">
        <v>30</v>
      </c>
      <c r="Y9"/>
      <c r="Z9"/>
      <c r="AA9" s="27"/>
      <c r="AB9" s="29">
        <v>1550</v>
      </c>
      <c r="AC9" s="6">
        <v>60.285120196263215</v>
      </c>
      <c r="AD9" s="27"/>
      <c r="AE9" s="27"/>
      <c r="AM9" s="9" t="s">
        <v>136</v>
      </c>
      <c r="AN9" s="6">
        <v>48.617032416341303</v>
      </c>
      <c r="AO9" s="6">
        <v>238.3</v>
      </c>
      <c r="AP9" s="6">
        <v>286.91703241634133</v>
      </c>
    </row>
    <row r="10" spans="1:43" outlineLevel="1">
      <c r="A10" t="s">
        <v>70</v>
      </c>
      <c r="B10" t="s">
        <v>21</v>
      </c>
      <c r="C10" s="73" t="s">
        <v>146</v>
      </c>
      <c r="D10" s="11"/>
      <c r="E10"/>
      <c r="I10" s="2">
        <v>120</v>
      </c>
      <c r="J10" s="2">
        <v>160</v>
      </c>
      <c r="O10" s="2">
        <v>160</v>
      </c>
      <c r="S10" s="2">
        <v>55</v>
      </c>
      <c r="T10" s="2">
        <v>250</v>
      </c>
      <c r="U10" s="2">
        <v>80</v>
      </c>
      <c r="W10" s="2">
        <v>150</v>
      </c>
      <c r="X10" s="2">
        <v>25</v>
      </c>
      <c r="Y10"/>
      <c r="Z10"/>
      <c r="AA10" s="27"/>
      <c r="AB10" s="29">
        <v>1000</v>
      </c>
      <c r="AC10" s="6">
        <v>38.893625933073039</v>
      </c>
      <c r="AD10" s="27"/>
      <c r="AE10" s="27"/>
      <c r="AM10" s="9" t="s">
        <v>201</v>
      </c>
      <c r="AN10" s="83">
        <v>97.375652590165998</v>
      </c>
      <c r="AO10" s="83">
        <v>274</v>
      </c>
      <c r="AP10" s="6">
        <v>371.375652590166</v>
      </c>
    </row>
    <row r="11" spans="1:43" ht="15" outlineLevel="1" thickBot="1">
      <c r="A11" t="s">
        <v>70</v>
      </c>
      <c r="B11" t="s">
        <v>21</v>
      </c>
      <c r="C11" s="74" t="s">
        <v>148</v>
      </c>
      <c r="D11" s="11"/>
      <c r="E11"/>
      <c r="F11" s="2">
        <v>240</v>
      </c>
      <c r="G11" s="2">
        <v>100</v>
      </c>
      <c r="H11" s="2">
        <v>570</v>
      </c>
      <c r="I11" s="2">
        <v>175</v>
      </c>
      <c r="J11" s="2">
        <v>700</v>
      </c>
      <c r="L11" s="2">
        <v>480</v>
      </c>
      <c r="P11" s="2">
        <v>300</v>
      </c>
      <c r="S11" s="2">
        <v>110</v>
      </c>
      <c r="T11" s="2">
        <v>410</v>
      </c>
      <c r="U11" s="2">
        <v>120</v>
      </c>
      <c r="X11" s="2">
        <v>250</v>
      </c>
      <c r="Y11"/>
      <c r="Z11"/>
      <c r="AA11" s="27"/>
      <c r="AB11" s="29">
        <v>3455</v>
      </c>
      <c r="AC11" s="6">
        <v>134.37747759876737</v>
      </c>
      <c r="AD11" s="27"/>
      <c r="AE11" s="27"/>
      <c r="AM11" s="9" t="s">
        <v>145</v>
      </c>
      <c r="AN11" s="6"/>
      <c r="AO11" s="6"/>
      <c r="AP11" s="6">
        <v>0</v>
      </c>
    </row>
    <row r="12" spans="1:43" outlineLevel="1">
      <c r="A12" t="s">
        <v>70</v>
      </c>
      <c r="B12" t="s">
        <v>21</v>
      </c>
      <c r="C12" s="72" t="s">
        <v>153</v>
      </c>
      <c r="D12" s="11"/>
      <c r="E12"/>
      <c r="F12" s="2">
        <v>40</v>
      </c>
      <c r="G12" s="2">
        <v>150</v>
      </c>
      <c r="H12" s="2">
        <v>200</v>
      </c>
      <c r="J12" s="2">
        <v>260</v>
      </c>
      <c r="K12" s="82">
        <v>280</v>
      </c>
      <c r="L12" s="2">
        <v>50</v>
      </c>
      <c r="N12" s="2">
        <v>100</v>
      </c>
      <c r="O12" s="2">
        <v>150</v>
      </c>
      <c r="Q12" s="2">
        <v>350</v>
      </c>
      <c r="V12" s="2">
        <v>250</v>
      </c>
      <c r="W12" s="2">
        <v>30</v>
      </c>
      <c r="Y12"/>
      <c r="Z12"/>
      <c r="AA12" s="27"/>
      <c r="AB12" s="29">
        <v>1860</v>
      </c>
      <c r="AC12" s="6">
        <v>72.34214423551586</v>
      </c>
      <c r="AD12" s="27"/>
      <c r="AE12" s="27"/>
      <c r="AM12" s="9" t="s">
        <v>137</v>
      </c>
      <c r="AN12" s="6">
        <v>122.32045355951472</v>
      </c>
      <c r="AO12" s="6"/>
      <c r="AP12" s="6">
        <v>122.32045355951472</v>
      </c>
    </row>
    <row r="13" spans="1:43" outlineLevel="1">
      <c r="A13" t="s">
        <v>70</v>
      </c>
      <c r="B13" t="s">
        <v>21</v>
      </c>
      <c r="C13" s="73" t="s">
        <v>139</v>
      </c>
      <c r="D13" s="11"/>
      <c r="E13"/>
      <c r="F13" s="2">
        <v>930</v>
      </c>
      <c r="G13" s="2">
        <v>956</v>
      </c>
      <c r="H13" s="2">
        <v>850</v>
      </c>
      <c r="I13" s="2">
        <v>850</v>
      </c>
      <c r="J13" s="2">
        <v>800</v>
      </c>
      <c r="K13" s="2">
        <v>800</v>
      </c>
      <c r="L13" s="2">
        <v>907</v>
      </c>
      <c r="M13" s="4">
        <v>970</v>
      </c>
      <c r="P13" s="2">
        <v>1000</v>
      </c>
      <c r="Q13" s="4">
        <v>900</v>
      </c>
      <c r="R13" s="2">
        <v>1000</v>
      </c>
      <c r="S13" s="2">
        <v>1000</v>
      </c>
      <c r="T13" s="2">
        <v>1000</v>
      </c>
      <c r="U13" s="2">
        <v>950</v>
      </c>
      <c r="V13" s="2">
        <v>3400</v>
      </c>
      <c r="W13" s="2">
        <v>900</v>
      </c>
      <c r="X13" s="2">
        <v>900</v>
      </c>
      <c r="Y13"/>
      <c r="Z13"/>
      <c r="AA13" s="27"/>
      <c r="AB13" s="29">
        <v>18113</v>
      </c>
      <c r="AC13" s="6">
        <v>704.48024652575202</v>
      </c>
      <c r="AD13" s="27"/>
      <c r="AE13" s="27"/>
      <c r="AN13" s="28">
        <v>1966.9144639411211</v>
      </c>
      <c r="AO13" s="28">
        <v>1695.8500000000001</v>
      </c>
      <c r="AP13" s="28">
        <v>3662.764463941121</v>
      </c>
    </row>
    <row r="14" spans="1:43" ht="15" outlineLevel="1" thickBot="1">
      <c r="A14" t="s">
        <v>70</v>
      </c>
      <c r="B14" t="s">
        <v>21</v>
      </c>
      <c r="C14" s="74" t="s">
        <v>149</v>
      </c>
      <c r="D14" s="11"/>
      <c r="E14"/>
      <c r="G14" s="2">
        <v>20</v>
      </c>
      <c r="H14" s="2">
        <v>50</v>
      </c>
      <c r="J14" s="2">
        <v>25</v>
      </c>
      <c r="K14" s="2">
        <v>80</v>
      </c>
      <c r="L14" s="2">
        <v>20</v>
      </c>
      <c r="M14" s="2">
        <v>30</v>
      </c>
      <c r="Q14" s="2">
        <v>40</v>
      </c>
      <c r="T14" s="2">
        <v>30</v>
      </c>
      <c r="V14" s="2">
        <v>30</v>
      </c>
      <c r="W14" s="2">
        <v>30</v>
      </c>
      <c r="X14" s="2">
        <v>30</v>
      </c>
      <c r="Y14"/>
      <c r="Z14"/>
      <c r="AA14" s="27"/>
      <c r="AB14" s="29">
        <v>385</v>
      </c>
      <c r="AC14" s="6">
        <v>14.97404598423312</v>
      </c>
      <c r="AD14" s="27"/>
      <c r="AE14" s="27"/>
      <c r="AM14" s="9" t="s">
        <v>202</v>
      </c>
      <c r="AN14" s="6">
        <v>498.08553605887892</v>
      </c>
    </row>
    <row r="15" spans="1:43" outlineLevel="1">
      <c r="A15" t="s">
        <v>70</v>
      </c>
      <c r="B15" t="s">
        <v>23</v>
      </c>
      <c r="C15" s="72" t="s">
        <v>23</v>
      </c>
      <c r="D15" s="11"/>
      <c r="E15"/>
      <c r="O15" s="2">
        <v>450</v>
      </c>
      <c r="P15" s="2">
        <v>300</v>
      </c>
      <c r="Y15"/>
      <c r="Z15"/>
      <c r="AA15" s="27"/>
      <c r="AB15" s="29">
        <v>750</v>
      </c>
      <c r="AC15" s="6">
        <v>29.17021944980478</v>
      </c>
      <c r="AD15" s="27"/>
      <c r="AE15" s="27"/>
      <c r="AN15" s="6">
        <v>2465</v>
      </c>
    </row>
    <row r="16" spans="1:43" outlineLevel="1">
      <c r="A16" t="s">
        <v>70</v>
      </c>
      <c r="B16" t="s">
        <v>23</v>
      </c>
      <c r="C16" s="73" t="s">
        <v>151</v>
      </c>
      <c r="D16" s="11"/>
      <c r="E16"/>
      <c r="K16" s="2">
        <v>300</v>
      </c>
      <c r="U16" s="2">
        <v>500</v>
      </c>
      <c r="Y16"/>
      <c r="Z16"/>
      <c r="AA16" s="27"/>
      <c r="AB16" s="29">
        <v>800</v>
      </c>
      <c r="AC16" s="6">
        <v>31.114900746458432</v>
      </c>
      <c r="AD16" s="27"/>
      <c r="AE16" s="27"/>
    </row>
    <row r="17" spans="1:31" ht="15" outlineLevel="1" thickBot="1">
      <c r="A17" t="s">
        <v>70</v>
      </c>
      <c r="B17" t="s">
        <v>26</v>
      </c>
      <c r="C17" s="74" t="s">
        <v>152</v>
      </c>
      <c r="D17" s="11"/>
      <c r="E17"/>
      <c r="Y17"/>
      <c r="Z17"/>
      <c r="AA17" s="27"/>
      <c r="AB17" s="29">
        <v>0</v>
      </c>
      <c r="AC17" s="6">
        <v>0</v>
      </c>
      <c r="AD17" s="27"/>
      <c r="AE17" s="27"/>
    </row>
    <row r="18" spans="1:31" outlineLevel="1">
      <c r="A18" t="s">
        <v>70</v>
      </c>
      <c r="B18" t="s">
        <v>25</v>
      </c>
      <c r="C18" s="72" t="s">
        <v>150</v>
      </c>
      <c r="D18" s="11"/>
      <c r="E18"/>
      <c r="F18" s="2">
        <v>280</v>
      </c>
      <c r="N18" s="2">
        <v>600</v>
      </c>
      <c r="O18" s="2">
        <v>360</v>
      </c>
      <c r="P18" s="2">
        <v>200</v>
      </c>
      <c r="Q18" s="2">
        <v>320</v>
      </c>
      <c r="Y18">
        <v>270</v>
      </c>
      <c r="Z18"/>
      <c r="AA18" s="27"/>
      <c r="AB18" s="29">
        <v>2030</v>
      </c>
      <c r="AC18" s="6">
        <v>78.954060644138281</v>
      </c>
      <c r="AD18" s="27"/>
      <c r="AE18" s="27"/>
    </row>
    <row r="19" spans="1:31" ht="15" outlineLevel="1" thickBot="1">
      <c r="A19" t="s">
        <v>70</v>
      </c>
      <c r="B19" t="s">
        <v>25</v>
      </c>
      <c r="C19" s="74" t="s">
        <v>144</v>
      </c>
      <c r="D19" s="11"/>
      <c r="E19"/>
      <c r="Y19"/>
      <c r="Z19"/>
      <c r="AA19" s="27"/>
      <c r="AB19" s="29">
        <v>0</v>
      </c>
      <c r="AC19" s="6">
        <v>0</v>
      </c>
      <c r="AD19" s="27"/>
      <c r="AE19" s="27"/>
    </row>
    <row r="20" spans="1:31" outlineLevel="1">
      <c r="A20" t="s">
        <v>70</v>
      </c>
      <c r="B20" t="s">
        <v>24</v>
      </c>
      <c r="C20" s="72" t="s">
        <v>145</v>
      </c>
      <c r="D20" s="11"/>
      <c r="E20"/>
      <c r="J20" s="2">
        <v>70</v>
      </c>
      <c r="K20" s="2">
        <v>100</v>
      </c>
      <c r="L20" s="2">
        <v>1570</v>
      </c>
      <c r="M20" s="2">
        <v>1400</v>
      </c>
      <c r="V20" s="2">
        <v>200</v>
      </c>
      <c r="W20" s="2">
        <v>350</v>
      </c>
      <c r="Y20"/>
      <c r="Z20"/>
      <c r="AA20" s="27"/>
      <c r="AB20" s="29">
        <v>3690</v>
      </c>
      <c r="AC20" s="6">
        <v>143.51747969303952</v>
      </c>
      <c r="AD20" s="27"/>
      <c r="AE20" s="27"/>
    </row>
    <row r="21" spans="1:31" outlineLevel="1">
      <c r="A21" t="s">
        <v>70</v>
      </c>
      <c r="B21" t="s">
        <v>24</v>
      </c>
      <c r="C21" s="73" t="s">
        <v>143</v>
      </c>
      <c r="D21" s="11"/>
      <c r="E21"/>
      <c r="S21" s="2">
        <v>1500</v>
      </c>
      <c r="U21" s="2">
        <v>845</v>
      </c>
      <c r="X21" s="2">
        <v>800</v>
      </c>
      <c r="Y21"/>
      <c r="Z21"/>
      <c r="AA21" s="27"/>
      <c r="AB21" s="29">
        <v>3145</v>
      </c>
      <c r="AC21" s="6">
        <v>122.32045355951472</v>
      </c>
      <c r="AD21" s="27"/>
      <c r="AE21" s="27"/>
    </row>
    <row r="22" spans="1:31" ht="15" outlineLevel="1" thickBot="1">
      <c r="A22" t="s">
        <v>70</v>
      </c>
      <c r="B22" t="s">
        <v>24</v>
      </c>
      <c r="C22" s="74" t="s">
        <v>136</v>
      </c>
      <c r="D22" s="11"/>
      <c r="E22" s="27"/>
      <c r="F22" s="27"/>
      <c r="L22" s="27"/>
      <c r="M22" s="27"/>
      <c r="N22" s="2">
        <v>600</v>
      </c>
      <c r="O22" s="27"/>
      <c r="P22" s="27"/>
      <c r="Q22" s="27"/>
      <c r="R22" s="27"/>
      <c r="S22" s="27">
        <v>650</v>
      </c>
      <c r="T22" s="27"/>
      <c r="U22" s="27"/>
      <c r="V22" s="27"/>
      <c r="W22" s="27"/>
      <c r="Y22" s="27"/>
      <c r="Z22" s="27"/>
      <c r="AA22" s="27"/>
      <c r="AB22" s="29">
        <v>1250</v>
      </c>
      <c r="AC22" s="6">
        <v>48.617032416341303</v>
      </c>
      <c r="AD22" s="27"/>
      <c r="AE22" s="27"/>
    </row>
    <row r="23" spans="1:31" outlineLevel="1">
      <c r="D23" s="2"/>
      <c r="E23" s="27"/>
      <c r="F23" s="27"/>
      <c r="G23" s="27"/>
      <c r="H23" s="27"/>
      <c r="I23" s="27"/>
      <c r="J23" s="27"/>
      <c r="K23" s="27"/>
      <c r="L23" s="27"/>
      <c r="M23" s="27"/>
      <c r="N23" s="27"/>
      <c r="O23" s="27"/>
      <c r="P23" s="27"/>
      <c r="Q23" s="27"/>
      <c r="R23" s="27"/>
      <c r="S23" s="27"/>
      <c r="T23" s="27"/>
      <c r="U23" s="27"/>
      <c r="V23" s="27"/>
      <c r="W23" s="27"/>
      <c r="X23" s="27"/>
      <c r="Y23" s="27"/>
      <c r="Z23" s="27"/>
      <c r="AA23" s="27"/>
      <c r="AB23" s="29">
        <v>0</v>
      </c>
      <c r="AC23" s="6">
        <v>0</v>
      </c>
      <c r="AD23" s="27"/>
    </row>
    <row r="24" spans="1:31" outlineLevel="1">
      <c r="C24" s="9" t="s">
        <v>14</v>
      </c>
      <c r="E24" s="29">
        <v>0</v>
      </c>
      <c r="F24" s="29">
        <v>2540</v>
      </c>
      <c r="G24" s="29">
        <v>1721</v>
      </c>
      <c r="H24" s="29">
        <v>2070</v>
      </c>
      <c r="I24" s="29">
        <v>1705</v>
      </c>
      <c r="J24" s="29">
        <v>2105</v>
      </c>
      <c r="K24" s="29">
        <v>2430</v>
      </c>
      <c r="L24" s="29">
        <v>3167</v>
      </c>
      <c r="M24" s="29">
        <v>3550</v>
      </c>
      <c r="N24" s="29">
        <v>2040</v>
      </c>
      <c r="O24" s="29">
        <v>1720</v>
      </c>
      <c r="P24" s="29">
        <v>2340</v>
      </c>
      <c r="Q24" s="29">
        <v>2240</v>
      </c>
      <c r="R24" s="29">
        <v>1190</v>
      </c>
      <c r="S24" s="29">
        <v>3800</v>
      </c>
      <c r="T24" s="29">
        <v>1810</v>
      </c>
      <c r="U24" s="29">
        <v>3835</v>
      </c>
      <c r="V24" s="29">
        <v>4640</v>
      </c>
      <c r="W24" s="29">
        <v>1570</v>
      </c>
      <c r="X24" s="29">
        <v>3195</v>
      </c>
      <c r="Y24" s="29">
        <v>400</v>
      </c>
      <c r="Z24" s="29">
        <v>0</v>
      </c>
      <c r="AA24" s="29">
        <v>0</v>
      </c>
      <c r="AB24" s="29">
        <v>48068</v>
      </c>
      <c r="AC24" s="6">
        <v>1869.538811350955</v>
      </c>
      <c r="AD24" s="27"/>
    </row>
    <row r="25" spans="1:31">
      <c r="A25" s="44" t="s">
        <v>94</v>
      </c>
      <c r="C25" s="9"/>
      <c r="E25" s="29"/>
      <c r="F25" s="29"/>
      <c r="G25" s="29"/>
      <c r="H25" s="29"/>
      <c r="I25" s="29"/>
      <c r="J25" s="29"/>
      <c r="K25" s="29"/>
      <c r="L25" s="29"/>
      <c r="M25" s="29"/>
      <c r="N25" s="29"/>
      <c r="O25" s="29"/>
      <c r="P25" s="29"/>
      <c r="Q25" s="29"/>
      <c r="R25" s="29"/>
      <c r="S25" s="29"/>
      <c r="T25" s="29"/>
      <c r="U25" s="29"/>
      <c r="V25" s="29"/>
      <c r="W25" s="29"/>
      <c r="X25" s="29"/>
      <c r="Y25" s="29"/>
      <c r="Z25" s="29"/>
      <c r="AA25" s="29"/>
      <c r="AB25" s="29"/>
      <c r="AC25" s="6"/>
      <c r="AD25" s="27"/>
    </row>
    <row r="26" spans="1:31">
      <c r="A26" s="44"/>
      <c r="C26" s="9"/>
      <c r="E26" s="29"/>
      <c r="F26" s="29"/>
      <c r="G26" s="29"/>
      <c r="H26" s="29"/>
      <c r="I26" s="29"/>
      <c r="J26" s="29"/>
      <c r="K26" s="29"/>
      <c r="L26" s="29"/>
      <c r="M26" s="29"/>
      <c r="N26" s="29"/>
      <c r="O26" s="29"/>
      <c r="P26" s="29"/>
      <c r="Q26" s="29"/>
      <c r="R26" s="29"/>
      <c r="S26" s="29"/>
      <c r="T26" s="29"/>
      <c r="U26" s="29"/>
      <c r="V26" s="29"/>
      <c r="W26" s="29"/>
      <c r="X26" s="29"/>
      <c r="Y26" s="29"/>
      <c r="Z26" s="29"/>
      <c r="AA26" s="29"/>
      <c r="AB26" s="29"/>
      <c r="AC26" s="6"/>
      <c r="AD26" s="27"/>
    </row>
    <row r="27" spans="1:31" hidden="1" outlineLevel="1"/>
    <row r="28" spans="1:31" hidden="1" outlineLevel="1">
      <c r="A28" t="s">
        <v>70</v>
      </c>
      <c r="C28" t="s">
        <v>21</v>
      </c>
      <c r="E28" s="2">
        <v>0</v>
      </c>
      <c r="F28" s="2">
        <v>2260</v>
      </c>
      <c r="G28" s="2">
        <v>1721</v>
      </c>
      <c r="H28" s="2">
        <v>2070</v>
      </c>
      <c r="I28" s="2">
        <v>1705</v>
      </c>
      <c r="J28" s="2">
        <v>2035</v>
      </c>
      <c r="K28" s="2">
        <v>2030</v>
      </c>
      <c r="L28" s="2">
        <v>1597</v>
      </c>
      <c r="M28" s="2">
        <v>2150</v>
      </c>
      <c r="N28" s="2">
        <v>840</v>
      </c>
      <c r="O28" s="2">
        <v>910</v>
      </c>
      <c r="P28" s="2">
        <v>1840</v>
      </c>
      <c r="Q28" s="2">
        <v>1920</v>
      </c>
      <c r="R28" s="2">
        <v>1190</v>
      </c>
      <c r="S28" s="2">
        <v>1650</v>
      </c>
      <c r="T28" s="2">
        <v>1810</v>
      </c>
      <c r="U28" s="2">
        <v>2490</v>
      </c>
      <c r="V28" s="2">
        <v>4440</v>
      </c>
      <c r="W28" s="2">
        <v>1220</v>
      </c>
      <c r="X28" s="2">
        <v>2395</v>
      </c>
      <c r="Y28" s="2">
        <v>130</v>
      </c>
      <c r="Z28" s="2">
        <v>0</v>
      </c>
      <c r="AB28" s="4">
        <v>36403</v>
      </c>
      <c r="AC28" s="14">
        <v>1415.844664841658</v>
      </c>
    </row>
    <row r="29" spans="1:31" hidden="1" outlineLevel="1">
      <c r="A29" t="s">
        <v>70</v>
      </c>
      <c r="C29" t="s">
        <v>23</v>
      </c>
      <c r="E29" s="2">
        <v>0</v>
      </c>
      <c r="F29" s="2">
        <v>0</v>
      </c>
      <c r="G29" s="2">
        <v>0</v>
      </c>
      <c r="H29" s="2">
        <v>0</v>
      </c>
      <c r="I29" s="2">
        <v>0</v>
      </c>
      <c r="J29" s="2">
        <v>0</v>
      </c>
      <c r="K29" s="2">
        <v>300</v>
      </c>
      <c r="L29" s="2">
        <v>0</v>
      </c>
      <c r="M29" s="2">
        <v>0</v>
      </c>
      <c r="N29" s="2">
        <v>0</v>
      </c>
      <c r="O29" s="2">
        <v>450</v>
      </c>
      <c r="P29" s="2">
        <v>300</v>
      </c>
      <c r="Q29" s="2">
        <v>0</v>
      </c>
      <c r="R29" s="2">
        <v>0</v>
      </c>
      <c r="S29" s="2">
        <v>0</v>
      </c>
      <c r="T29" s="2">
        <v>0</v>
      </c>
      <c r="U29" s="2">
        <v>500</v>
      </c>
      <c r="V29" s="2">
        <v>0</v>
      </c>
      <c r="W29" s="2">
        <v>0</v>
      </c>
      <c r="X29" s="2">
        <v>0</v>
      </c>
      <c r="Y29" s="2">
        <v>0</v>
      </c>
      <c r="Z29" s="2">
        <v>0</v>
      </c>
      <c r="AB29" s="4">
        <v>1550</v>
      </c>
      <c r="AC29" s="14">
        <v>60.285120196263215</v>
      </c>
    </row>
    <row r="30" spans="1:31" hidden="1" outlineLevel="1">
      <c r="A30" t="s">
        <v>70</v>
      </c>
      <c r="C30" t="s">
        <v>25</v>
      </c>
      <c r="E30" s="2">
        <v>0</v>
      </c>
      <c r="F30" s="2">
        <v>280</v>
      </c>
      <c r="G30" s="2">
        <v>0</v>
      </c>
      <c r="H30" s="2">
        <v>0</v>
      </c>
      <c r="I30" s="2">
        <v>0</v>
      </c>
      <c r="J30" s="2">
        <v>0</v>
      </c>
      <c r="K30" s="2">
        <v>0</v>
      </c>
      <c r="L30" s="2">
        <v>0</v>
      </c>
      <c r="M30" s="2">
        <v>0</v>
      </c>
      <c r="N30" s="2">
        <v>600</v>
      </c>
      <c r="O30" s="2">
        <v>360</v>
      </c>
      <c r="P30" s="2">
        <v>200</v>
      </c>
      <c r="Q30" s="2">
        <v>320</v>
      </c>
      <c r="R30" s="2">
        <v>0</v>
      </c>
      <c r="S30" s="2">
        <v>0</v>
      </c>
      <c r="T30" s="2">
        <v>0</v>
      </c>
      <c r="U30" s="2">
        <v>0</v>
      </c>
      <c r="V30" s="2">
        <v>0</v>
      </c>
      <c r="W30" s="2">
        <v>0</v>
      </c>
      <c r="X30" s="2">
        <v>0</v>
      </c>
      <c r="Y30" s="2">
        <v>270</v>
      </c>
      <c r="Z30" s="2">
        <v>0</v>
      </c>
      <c r="AB30" s="4">
        <v>2030</v>
      </c>
      <c r="AC30" s="14">
        <v>78.954060644138281</v>
      </c>
    </row>
    <row r="31" spans="1:31" hidden="1" outlineLevel="1">
      <c r="A31" t="s">
        <v>70</v>
      </c>
      <c r="C31" t="s">
        <v>26</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B31" s="4">
        <v>0</v>
      </c>
      <c r="AC31" s="14">
        <v>0</v>
      </c>
    </row>
    <row r="32" spans="1:31" hidden="1" outlineLevel="1">
      <c r="A32" t="s">
        <v>70</v>
      </c>
      <c r="C32" t="s">
        <v>24</v>
      </c>
      <c r="E32" s="2">
        <v>0</v>
      </c>
      <c r="F32" s="2">
        <v>0</v>
      </c>
      <c r="G32" s="2">
        <v>0</v>
      </c>
      <c r="H32" s="2">
        <v>0</v>
      </c>
      <c r="I32" s="2">
        <v>0</v>
      </c>
      <c r="J32" s="2">
        <v>70</v>
      </c>
      <c r="K32" s="2">
        <v>100</v>
      </c>
      <c r="L32" s="2">
        <v>1570</v>
      </c>
      <c r="M32" s="2">
        <v>1400</v>
      </c>
      <c r="N32" s="2">
        <v>600</v>
      </c>
      <c r="O32" s="2">
        <v>0</v>
      </c>
      <c r="P32" s="2">
        <v>0</v>
      </c>
      <c r="Q32" s="2">
        <v>0</v>
      </c>
      <c r="R32" s="2">
        <v>0</v>
      </c>
      <c r="S32" s="2">
        <v>2150</v>
      </c>
      <c r="T32" s="2">
        <v>0</v>
      </c>
      <c r="U32" s="2">
        <v>845</v>
      </c>
      <c r="V32" s="2">
        <v>200</v>
      </c>
      <c r="W32" s="2">
        <v>350</v>
      </c>
      <c r="X32" s="2">
        <v>800</v>
      </c>
      <c r="Y32" s="2">
        <v>0</v>
      </c>
      <c r="Z32" s="2">
        <v>0</v>
      </c>
      <c r="AB32" s="4">
        <v>8085</v>
      </c>
      <c r="AC32" s="14">
        <v>314.45496566889557</v>
      </c>
    </row>
    <row r="33" spans="1:43" hidden="1" outlineLevel="1">
      <c r="C33" s="9" t="s">
        <v>14</v>
      </c>
      <c r="E33" s="4">
        <v>0</v>
      </c>
      <c r="F33" s="4">
        <v>2540</v>
      </c>
      <c r="G33" s="4">
        <v>1721</v>
      </c>
      <c r="H33" s="4">
        <v>2070</v>
      </c>
      <c r="I33" s="4">
        <v>1705</v>
      </c>
      <c r="J33" s="4">
        <v>2105</v>
      </c>
      <c r="K33" s="4">
        <v>2430</v>
      </c>
      <c r="L33" s="4">
        <v>3167</v>
      </c>
      <c r="M33" s="4">
        <v>3550</v>
      </c>
      <c r="N33" s="4">
        <v>2040</v>
      </c>
      <c r="O33" s="4">
        <v>1720</v>
      </c>
      <c r="P33" s="4">
        <v>2340</v>
      </c>
      <c r="Q33" s="4">
        <v>2240</v>
      </c>
      <c r="R33" s="4">
        <v>1190</v>
      </c>
      <c r="S33" s="4">
        <v>3800</v>
      </c>
      <c r="T33" s="4">
        <v>1810</v>
      </c>
      <c r="U33" s="4">
        <v>3835</v>
      </c>
      <c r="V33" s="4">
        <v>4640</v>
      </c>
      <c r="W33" s="4">
        <v>1570</v>
      </c>
      <c r="X33" s="4">
        <v>3195</v>
      </c>
      <c r="Y33" s="4">
        <v>400</v>
      </c>
      <c r="Z33" s="4">
        <v>0</v>
      </c>
      <c r="AB33" s="4">
        <v>48068</v>
      </c>
      <c r="AC33" s="14">
        <v>1869.538811350955</v>
      </c>
    </row>
    <row r="34" spans="1:43" collapsed="1">
      <c r="A34" s="9" t="s">
        <v>96</v>
      </c>
      <c r="C34" s="9"/>
      <c r="F34" s="4"/>
      <c r="G34" s="4"/>
      <c r="H34" s="4"/>
      <c r="I34" s="4"/>
      <c r="J34" s="4"/>
      <c r="K34" s="4"/>
      <c r="L34" s="4"/>
      <c r="M34" s="4"/>
      <c r="N34" s="4"/>
      <c r="O34" s="4"/>
      <c r="P34" s="4"/>
      <c r="Q34" s="4"/>
      <c r="R34" s="4"/>
      <c r="S34" s="4"/>
      <c r="T34" s="4"/>
      <c r="U34" s="4"/>
      <c r="V34" s="4"/>
      <c r="W34" s="4"/>
      <c r="X34" s="4"/>
      <c r="AC34" s="14"/>
    </row>
    <row r="35" spans="1:43">
      <c r="A35" s="9"/>
      <c r="C35" s="9"/>
      <c r="F35" s="4"/>
      <c r="G35" s="4"/>
      <c r="H35" s="4"/>
      <c r="I35" s="4"/>
      <c r="J35" s="4"/>
      <c r="K35" s="4"/>
      <c r="L35" s="4"/>
      <c r="M35" s="4"/>
      <c r="N35" s="4"/>
      <c r="O35" s="4"/>
      <c r="P35" s="4"/>
      <c r="Q35" s="4"/>
      <c r="R35" s="4"/>
      <c r="S35" s="4"/>
      <c r="T35" s="4"/>
      <c r="U35" s="4"/>
      <c r="V35" s="4"/>
      <c r="W35" s="4"/>
      <c r="X35" s="4"/>
      <c r="AC35" s="14"/>
    </row>
    <row r="36" spans="1:43" outlineLevel="1">
      <c r="A36" s="9"/>
      <c r="C36" s="9"/>
      <c r="E36" s="2" t="s">
        <v>154</v>
      </c>
      <c r="F36" s="2" t="s">
        <v>52</v>
      </c>
      <c r="G36" s="2" t="s">
        <v>52</v>
      </c>
      <c r="H36" s="2" t="s">
        <v>52</v>
      </c>
      <c r="I36" s="2" t="s">
        <v>52</v>
      </c>
      <c r="J36" s="2" t="s">
        <v>52</v>
      </c>
      <c r="K36" s="2" t="s">
        <v>52</v>
      </c>
      <c r="L36" s="2" t="s">
        <v>52</v>
      </c>
      <c r="M36" s="2" t="s">
        <v>52</v>
      </c>
      <c r="N36" s="2" t="s">
        <v>157</v>
      </c>
      <c r="O36" s="2" t="s">
        <v>157</v>
      </c>
      <c r="P36" s="2" t="s">
        <v>80</v>
      </c>
      <c r="Q36" s="2" t="s">
        <v>52</v>
      </c>
      <c r="R36" s="2" t="s">
        <v>52</v>
      </c>
      <c r="S36" s="2" t="s">
        <v>52</v>
      </c>
      <c r="T36" s="2" t="s">
        <v>52</v>
      </c>
      <c r="U36" s="2" t="s">
        <v>52</v>
      </c>
      <c r="V36" s="2" t="s">
        <v>162</v>
      </c>
      <c r="W36" s="2" t="s">
        <v>52</v>
      </c>
      <c r="X36" s="2" t="s">
        <v>52</v>
      </c>
      <c r="Y36" s="2" t="s">
        <v>12</v>
      </c>
      <c r="Z36" s="2" t="s">
        <v>12</v>
      </c>
      <c r="AA36" s="2" t="s">
        <v>68</v>
      </c>
      <c r="AB36" s="4" t="s">
        <v>9</v>
      </c>
      <c r="AC36" s="14"/>
    </row>
    <row r="37" spans="1:43" outlineLevel="1">
      <c r="C37" s="9"/>
      <c r="E37" s="2" t="s">
        <v>85</v>
      </c>
      <c r="F37" s="2" t="s">
        <v>86</v>
      </c>
      <c r="G37" s="2" t="s">
        <v>87</v>
      </c>
      <c r="H37" s="2" t="s">
        <v>88</v>
      </c>
      <c r="I37" s="2" t="s">
        <v>89</v>
      </c>
      <c r="J37" s="2" t="s">
        <v>90</v>
      </c>
      <c r="K37" s="2" t="s">
        <v>84</v>
      </c>
      <c r="L37" s="2" t="s">
        <v>85</v>
      </c>
      <c r="M37" s="2" t="s">
        <v>86</v>
      </c>
      <c r="N37" s="2" t="s">
        <v>87</v>
      </c>
      <c r="O37" s="2" t="s">
        <v>88</v>
      </c>
      <c r="P37" s="2" t="s">
        <v>89</v>
      </c>
      <c r="Q37" s="2" t="s">
        <v>90</v>
      </c>
      <c r="R37" s="2" t="s">
        <v>84</v>
      </c>
      <c r="S37" s="2" t="s">
        <v>85</v>
      </c>
      <c r="T37" s="2" t="s">
        <v>86</v>
      </c>
      <c r="U37" s="2" t="s">
        <v>87</v>
      </c>
      <c r="V37" s="2" t="s">
        <v>88</v>
      </c>
      <c r="W37" s="2" t="s">
        <v>89</v>
      </c>
      <c r="X37" s="2" t="s">
        <v>90</v>
      </c>
      <c r="Y37" s="2" t="s">
        <v>84</v>
      </c>
      <c r="Z37" s="2" t="s">
        <v>85</v>
      </c>
      <c r="AA37" s="2" t="s">
        <v>86</v>
      </c>
      <c r="AC37" s="14"/>
    </row>
    <row r="38" spans="1:43" outlineLevel="1">
      <c r="E38" s="39">
        <v>43557</v>
      </c>
      <c r="F38" s="39">
        <v>43558</v>
      </c>
      <c r="G38" s="39">
        <v>43559</v>
      </c>
      <c r="H38" s="39">
        <v>43560</v>
      </c>
      <c r="I38" s="39">
        <v>43561</v>
      </c>
      <c r="J38" s="39">
        <v>43562</v>
      </c>
      <c r="K38" s="39">
        <v>43563</v>
      </c>
      <c r="L38" s="39">
        <v>43564</v>
      </c>
      <c r="M38" s="39">
        <v>43565</v>
      </c>
      <c r="N38" s="39">
        <v>43566</v>
      </c>
      <c r="O38" s="39">
        <v>43567</v>
      </c>
      <c r="P38" s="39">
        <v>43568</v>
      </c>
      <c r="Q38" s="39">
        <v>43569</v>
      </c>
      <c r="R38" s="39">
        <v>43570</v>
      </c>
      <c r="S38" s="39">
        <v>43571</v>
      </c>
      <c r="T38" s="39">
        <v>43572</v>
      </c>
      <c r="U38" s="39">
        <v>43573</v>
      </c>
      <c r="V38" s="39">
        <v>43574</v>
      </c>
      <c r="W38" s="39">
        <v>43575</v>
      </c>
      <c r="X38" s="39">
        <v>43576</v>
      </c>
      <c r="Y38" s="39">
        <v>43577</v>
      </c>
      <c r="Z38" s="39">
        <v>43578</v>
      </c>
      <c r="AA38" s="39">
        <v>43579</v>
      </c>
    </row>
    <row r="39" spans="1:43" ht="15" outlineLevel="1" thickBot="1">
      <c r="C39" s="9" t="s">
        <v>33</v>
      </c>
      <c r="F39" s="2">
        <v>1</v>
      </c>
      <c r="G39" s="2">
        <v>2</v>
      </c>
      <c r="H39" s="2">
        <v>3</v>
      </c>
      <c r="I39" s="2">
        <v>4</v>
      </c>
      <c r="J39" s="2">
        <v>5</v>
      </c>
      <c r="K39" s="2">
        <v>6</v>
      </c>
      <c r="L39" s="2">
        <v>7</v>
      </c>
      <c r="M39" s="2">
        <v>8</v>
      </c>
      <c r="N39" s="2">
        <v>9</v>
      </c>
      <c r="O39" s="2">
        <v>10</v>
      </c>
      <c r="P39" s="2">
        <v>11</v>
      </c>
      <c r="Q39" s="2">
        <v>12</v>
      </c>
      <c r="R39" s="2">
        <v>13</v>
      </c>
      <c r="S39" s="2">
        <v>14</v>
      </c>
      <c r="T39" s="2">
        <v>15</v>
      </c>
      <c r="U39" s="2">
        <v>16</v>
      </c>
      <c r="V39" s="2">
        <v>17</v>
      </c>
      <c r="W39" s="2">
        <v>18</v>
      </c>
      <c r="X39" s="2">
        <v>19</v>
      </c>
      <c r="Y39" s="2">
        <v>20</v>
      </c>
      <c r="Z39" s="2">
        <v>21</v>
      </c>
    </row>
    <row r="40" spans="1:43" outlineLevel="1">
      <c r="A40" t="s">
        <v>9</v>
      </c>
      <c r="B40" t="s">
        <v>21</v>
      </c>
      <c r="C40" s="72" t="s">
        <v>142</v>
      </c>
      <c r="E40" s="6"/>
      <c r="F40" s="6"/>
      <c r="G40" s="6"/>
      <c r="H40" s="6"/>
      <c r="I40" s="6"/>
      <c r="J40" s="6"/>
      <c r="K40" s="6"/>
      <c r="L40"/>
      <c r="M40"/>
      <c r="N40"/>
      <c r="O40" s="6"/>
      <c r="P40" s="6"/>
      <c r="Q40" s="6"/>
      <c r="R40" s="6"/>
      <c r="S40" s="6"/>
      <c r="T40" s="6"/>
      <c r="U40" s="6"/>
      <c r="V40" s="6"/>
      <c r="W40" s="6"/>
      <c r="X40" s="6"/>
      <c r="Y40" s="6"/>
      <c r="Z40" s="6"/>
      <c r="AA40" s="6"/>
      <c r="AB40" s="28">
        <v>0</v>
      </c>
      <c r="AL40" t="s">
        <v>134</v>
      </c>
    </row>
    <row r="41" spans="1:43" outlineLevel="1">
      <c r="A41" t="s">
        <v>9</v>
      </c>
      <c r="B41" t="s">
        <v>21</v>
      </c>
      <c r="C41" s="73" t="s">
        <v>140</v>
      </c>
      <c r="E41" s="6">
        <v>7.21</v>
      </c>
      <c r="F41" s="6"/>
      <c r="G41" s="6"/>
      <c r="H41" s="6"/>
      <c r="I41" s="6"/>
      <c r="J41" s="6"/>
      <c r="K41" s="6"/>
      <c r="L41"/>
      <c r="M41"/>
      <c r="N41"/>
      <c r="O41" s="6"/>
      <c r="P41" s="6"/>
      <c r="Q41" s="6"/>
      <c r="R41" s="6"/>
      <c r="S41" s="6"/>
      <c r="T41" s="6"/>
      <c r="U41" s="6"/>
      <c r="V41" s="6"/>
      <c r="W41" s="6"/>
      <c r="X41" s="6"/>
      <c r="Y41" s="6"/>
      <c r="Z41" s="6">
        <v>12.13</v>
      </c>
      <c r="AA41" s="6"/>
      <c r="AB41" s="28">
        <v>19.34</v>
      </c>
      <c r="AL41" s="57" t="s">
        <v>173</v>
      </c>
      <c r="AQ41">
        <v>-1000</v>
      </c>
    </row>
    <row r="42" spans="1:43" outlineLevel="1">
      <c r="A42" t="s">
        <v>9</v>
      </c>
      <c r="B42" t="s">
        <v>21</v>
      </c>
      <c r="C42" s="73" t="s">
        <v>147</v>
      </c>
      <c r="E42" s="6"/>
      <c r="F42" s="6"/>
      <c r="G42" s="6"/>
      <c r="H42" s="6"/>
      <c r="I42" s="6"/>
      <c r="J42" s="6"/>
      <c r="K42" s="6"/>
      <c r="L42"/>
      <c r="M42"/>
      <c r="N42"/>
      <c r="O42" s="6"/>
      <c r="P42" s="6"/>
      <c r="Q42" s="6"/>
      <c r="R42" s="6"/>
      <c r="S42" s="6"/>
      <c r="T42" s="6"/>
      <c r="U42" s="6"/>
      <c r="V42" s="6"/>
      <c r="W42" s="6"/>
      <c r="X42" s="6"/>
      <c r="Y42" s="6">
        <v>9</v>
      </c>
      <c r="Z42" s="6"/>
      <c r="AA42" s="6"/>
      <c r="AB42" s="28">
        <v>9</v>
      </c>
      <c r="AL42" s="57" t="s">
        <v>176</v>
      </c>
      <c r="AQ42">
        <v>-8.6999999999999993</v>
      </c>
    </row>
    <row r="43" spans="1:43" outlineLevel="1">
      <c r="A43" t="s">
        <v>9</v>
      </c>
      <c r="B43" t="s">
        <v>21</v>
      </c>
      <c r="C43" s="73" t="s">
        <v>146</v>
      </c>
      <c r="E43" s="6"/>
      <c r="F43" s="6"/>
      <c r="G43" s="6"/>
      <c r="H43" s="6"/>
      <c r="I43" s="6"/>
      <c r="J43" s="6"/>
      <c r="K43" s="6"/>
      <c r="L43"/>
      <c r="M43"/>
      <c r="N43"/>
      <c r="O43" s="6"/>
      <c r="P43" s="6"/>
      <c r="Q43" s="6"/>
      <c r="R43" s="6"/>
      <c r="S43" s="6"/>
      <c r="T43" s="6"/>
      <c r="U43" s="6"/>
      <c r="V43" s="6"/>
      <c r="W43" s="6"/>
      <c r="X43" s="6"/>
      <c r="Y43" s="6"/>
      <c r="Z43" s="6"/>
      <c r="AA43" s="6"/>
      <c r="AB43" s="28">
        <v>0</v>
      </c>
      <c r="AL43" s="57" t="s">
        <v>176</v>
      </c>
      <c r="AQ43">
        <v>-1400</v>
      </c>
    </row>
    <row r="44" spans="1:43" ht="15" outlineLevel="1" thickBot="1">
      <c r="A44" t="s">
        <v>9</v>
      </c>
      <c r="B44" t="s">
        <v>21</v>
      </c>
      <c r="C44" s="74" t="s">
        <v>148</v>
      </c>
      <c r="E44" s="6"/>
      <c r="F44" s="6"/>
      <c r="G44" s="6"/>
      <c r="H44" s="6"/>
      <c r="I44" s="6"/>
      <c r="J44" s="6"/>
      <c r="K44" s="6"/>
      <c r="L44"/>
      <c r="M44"/>
      <c r="N44"/>
      <c r="O44" s="6"/>
      <c r="P44" s="6"/>
      <c r="Q44" s="6"/>
      <c r="R44" s="6"/>
      <c r="S44" s="6"/>
      <c r="T44" s="6"/>
      <c r="U44" s="6"/>
      <c r="V44" s="6"/>
      <c r="W44" s="6"/>
      <c r="X44" s="6"/>
      <c r="Y44" s="6"/>
      <c r="Z44" s="6"/>
      <c r="AA44" s="6"/>
      <c r="AB44" s="28">
        <v>0</v>
      </c>
      <c r="AL44" s="57" t="s">
        <v>179</v>
      </c>
      <c r="AM44" t="s">
        <v>174</v>
      </c>
      <c r="AN44">
        <v>-1000</v>
      </c>
      <c r="AO44" t="s">
        <v>175</v>
      </c>
      <c r="AQ44">
        <v>-777.5</v>
      </c>
    </row>
    <row r="45" spans="1:43" ht="15.6" outlineLevel="1">
      <c r="A45" t="s">
        <v>9</v>
      </c>
      <c r="B45" t="s">
        <v>21</v>
      </c>
      <c r="C45" s="72" t="s">
        <v>153</v>
      </c>
      <c r="E45" s="6"/>
      <c r="F45" s="6"/>
      <c r="G45" s="6"/>
      <c r="H45" s="6"/>
      <c r="I45" s="6"/>
      <c r="J45" s="6"/>
      <c r="K45" s="6"/>
      <c r="L45"/>
      <c r="M45"/>
      <c r="N45"/>
      <c r="O45" s="6"/>
      <c r="P45" s="6"/>
      <c r="Q45" s="6"/>
      <c r="R45" s="6"/>
      <c r="S45" s="6"/>
      <c r="T45" s="6"/>
      <c r="U45" s="6"/>
      <c r="V45" s="6"/>
      <c r="W45" s="6"/>
      <c r="X45" s="6"/>
      <c r="Y45" s="6"/>
      <c r="Z45" s="6"/>
      <c r="AA45" s="6"/>
      <c r="AB45" s="28">
        <v>0</v>
      </c>
      <c r="AL45" s="57" t="s">
        <v>182</v>
      </c>
      <c r="AM45" s="60" t="s">
        <v>177</v>
      </c>
      <c r="AN45">
        <v>-8.6999999999999993</v>
      </c>
      <c r="AO45" t="s">
        <v>178</v>
      </c>
      <c r="AQ45">
        <v>-30</v>
      </c>
    </row>
    <row r="46" spans="1:43" ht="15.6" outlineLevel="1">
      <c r="A46" t="s">
        <v>9</v>
      </c>
      <c r="B46" t="s">
        <v>21</v>
      </c>
      <c r="C46" s="73" t="s">
        <v>139</v>
      </c>
      <c r="E46" s="6"/>
      <c r="F46" s="6"/>
      <c r="G46" s="6"/>
      <c r="H46" s="6"/>
      <c r="I46" s="83">
        <v>64.48</v>
      </c>
      <c r="J46" s="6"/>
      <c r="K46" s="6"/>
      <c r="L46" s="83">
        <v>76</v>
      </c>
      <c r="M46" s="63">
        <v>36</v>
      </c>
      <c r="N46" s="6">
        <v>98.23</v>
      </c>
      <c r="O46" s="6">
        <v>98.23</v>
      </c>
      <c r="P46" s="6"/>
      <c r="Q46" s="6"/>
      <c r="R46" s="6"/>
      <c r="S46" s="6"/>
      <c r="T46" s="6"/>
      <c r="U46" s="6"/>
      <c r="V46" s="6"/>
      <c r="W46" s="6"/>
      <c r="X46" s="6"/>
      <c r="Y46" s="6">
        <v>60</v>
      </c>
      <c r="Z46" s="83">
        <v>71.099999999999994</v>
      </c>
      <c r="AA46" s="6"/>
      <c r="AB46" s="28">
        <v>504.04000000000008</v>
      </c>
      <c r="AL46" s="57" t="s">
        <v>176</v>
      </c>
      <c r="AM46" s="60" t="s">
        <v>174</v>
      </c>
      <c r="AN46">
        <v>-1400</v>
      </c>
      <c r="AO46" t="s">
        <v>175</v>
      </c>
      <c r="AQ46" s="84">
        <v>-18</v>
      </c>
    </row>
    <row r="47" spans="1:43" ht="15" outlineLevel="1" thickBot="1">
      <c r="A47" t="s">
        <v>9</v>
      </c>
      <c r="B47" t="s">
        <v>21</v>
      </c>
      <c r="C47" s="74" t="s">
        <v>149</v>
      </c>
      <c r="E47" s="6"/>
      <c r="F47" s="6"/>
      <c r="G47" s="6"/>
      <c r="H47" s="6"/>
      <c r="I47" s="6"/>
      <c r="J47" s="6"/>
      <c r="K47" s="6"/>
      <c r="L47"/>
      <c r="M47"/>
      <c r="N47"/>
      <c r="O47" s="6"/>
      <c r="P47" s="6"/>
      <c r="Q47" s="6"/>
      <c r="R47" s="6"/>
      <c r="S47" s="6"/>
      <c r="T47" s="6"/>
      <c r="U47" s="6"/>
      <c r="V47" s="6"/>
      <c r="W47" s="6"/>
      <c r="X47" s="6"/>
      <c r="Y47" s="6"/>
      <c r="Z47" s="6"/>
      <c r="AA47" s="6"/>
      <c r="AB47" s="28">
        <v>0</v>
      </c>
      <c r="AL47" s="57" t="s">
        <v>176</v>
      </c>
      <c r="AM47" t="s">
        <v>180</v>
      </c>
      <c r="AN47" s="84">
        <v>-777.5</v>
      </c>
      <c r="AO47" t="s">
        <v>181</v>
      </c>
      <c r="AQ47" s="84">
        <v>-65.8</v>
      </c>
    </row>
    <row r="48" spans="1:43" outlineLevel="1">
      <c r="A48" t="s">
        <v>9</v>
      </c>
      <c r="B48" t="s">
        <v>23</v>
      </c>
      <c r="C48" s="72" t="s">
        <v>23</v>
      </c>
      <c r="E48" s="6"/>
      <c r="F48" s="6"/>
      <c r="G48" s="6"/>
      <c r="H48" s="6"/>
      <c r="I48" s="6"/>
      <c r="J48" s="6"/>
      <c r="K48" s="6"/>
      <c r="L48"/>
      <c r="M48"/>
      <c r="N48"/>
      <c r="O48" s="6"/>
      <c r="P48" s="6"/>
      <c r="Q48" s="6"/>
      <c r="R48" s="6"/>
      <c r="S48" s="6"/>
      <c r="T48" s="6"/>
      <c r="U48" s="6"/>
      <c r="V48" s="6"/>
      <c r="W48" s="6"/>
      <c r="X48" s="6"/>
      <c r="Y48" s="6"/>
      <c r="Z48" s="6"/>
      <c r="AA48" s="6"/>
      <c r="AB48" s="28">
        <v>0</v>
      </c>
      <c r="AL48" s="57" t="s">
        <v>176</v>
      </c>
      <c r="AM48" t="s">
        <v>183</v>
      </c>
      <c r="AN48" s="84">
        <v>-30</v>
      </c>
      <c r="AO48" t="s">
        <v>184</v>
      </c>
      <c r="AQ48" s="84">
        <v>-105</v>
      </c>
    </row>
    <row r="49" spans="1:43" outlineLevel="1">
      <c r="A49" t="s">
        <v>9</v>
      </c>
      <c r="B49" t="s">
        <v>23</v>
      </c>
      <c r="C49" s="73" t="s">
        <v>151</v>
      </c>
      <c r="E49" s="6"/>
      <c r="F49" s="6"/>
      <c r="G49" s="6"/>
      <c r="H49" s="6"/>
      <c r="I49" s="6"/>
      <c r="J49" s="6"/>
      <c r="K49" s="6"/>
      <c r="L49"/>
      <c r="M49"/>
      <c r="N49"/>
      <c r="O49" s="6"/>
      <c r="P49" s="6"/>
      <c r="Q49" s="6"/>
      <c r="R49" s="6"/>
      <c r="S49" s="6"/>
      <c r="T49" s="6"/>
      <c r="U49" s="6"/>
      <c r="V49" s="6"/>
      <c r="W49" s="6"/>
      <c r="X49" s="6"/>
      <c r="Y49" s="6"/>
      <c r="Z49" s="6"/>
      <c r="AA49" s="6"/>
      <c r="AB49" s="28">
        <v>0</v>
      </c>
      <c r="AL49" s="57" t="s">
        <v>188</v>
      </c>
      <c r="AM49" t="s">
        <v>180</v>
      </c>
      <c r="AN49" s="84">
        <v>-18</v>
      </c>
      <c r="AO49" t="s">
        <v>185</v>
      </c>
      <c r="AQ49" s="84">
        <v>-49.5</v>
      </c>
    </row>
    <row r="50" spans="1:43" ht="15" outlineLevel="1" thickBot="1">
      <c r="A50" t="s">
        <v>9</v>
      </c>
      <c r="B50" t="s">
        <v>26</v>
      </c>
      <c r="C50" s="74" t="s">
        <v>152</v>
      </c>
      <c r="E50" s="6"/>
      <c r="F50" s="6"/>
      <c r="G50" s="6"/>
      <c r="H50" s="6"/>
      <c r="I50" s="6"/>
      <c r="J50" s="6"/>
      <c r="K50" s="6"/>
      <c r="L50"/>
      <c r="M50"/>
      <c r="N50"/>
      <c r="O50" s="6"/>
      <c r="P50" s="6"/>
      <c r="Q50" s="6"/>
      <c r="R50" s="6"/>
      <c r="S50" s="6"/>
      <c r="T50" s="6"/>
      <c r="U50" s="6"/>
      <c r="V50" s="6"/>
      <c r="W50" s="6"/>
      <c r="X50" s="6"/>
      <c r="Y50" s="6"/>
      <c r="Z50" s="6"/>
      <c r="AA50" s="6"/>
      <c r="AB50" s="28">
        <v>0</v>
      </c>
      <c r="AL50" s="57" t="s">
        <v>182</v>
      </c>
      <c r="AM50" t="s">
        <v>180</v>
      </c>
      <c r="AN50" s="84">
        <v>-65.8</v>
      </c>
      <c r="AO50" t="s">
        <v>186</v>
      </c>
      <c r="AQ50">
        <v>-7.21</v>
      </c>
    </row>
    <row r="51" spans="1:43" outlineLevel="1">
      <c r="A51" t="s">
        <v>9</v>
      </c>
      <c r="B51" t="s">
        <v>25</v>
      </c>
      <c r="C51" s="72" t="s">
        <v>150</v>
      </c>
      <c r="E51" s="6">
        <v>30</v>
      </c>
      <c r="F51" s="6"/>
      <c r="G51" s="6"/>
      <c r="H51" s="6"/>
      <c r="I51" s="6"/>
      <c r="J51" s="6"/>
      <c r="K51" s="6"/>
      <c r="L51"/>
      <c r="M51"/>
      <c r="N51"/>
      <c r="O51" s="6"/>
      <c r="P51" s="6"/>
      <c r="Q51" s="6"/>
      <c r="R51" s="6"/>
      <c r="S51" s="6"/>
      <c r="T51" s="6"/>
      <c r="U51" s="6"/>
      <c r="V51" s="6"/>
      <c r="W51" s="6"/>
      <c r="X51" s="6"/>
      <c r="Y51" s="6"/>
      <c r="Z51" s="83">
        <v>62.67</v>
      </c>
      <c r="AA51" s="6">
        <v>30</v>
      </c>
      <c r="AB51" s="28">
        <v>122.67</v>
      </c>
      <c r="AL51" s="57" t="s">
        <v>191</v>
      </c>
      <c r="AM51" t="s">
        <v>180</v>
      </c>
      <c r="AN51" s="84">
        <v>-105</v>
      </c>
      <c r="AO51" t="s">
        <v>187</v>
      </c>
      <c r="AQ51">
        <v>-61.39</v>
      </c>
    </row>
    <row r="52" spans="1:43" ht="15" outlineLevel="1" thickBot="1">
      <c r="A52" t="s">
        <v>9</v>
      </c>
      <c r="B52" t="s">
        <v>25</v>
      </c>
      <c r="C52" s="74" t="s">
        <v>144</v>
      </c>
      <c r="E52" s="6">
        <v>777.5</v>
      </c>
      <c r="F52" s="6">
        <v>25</v>
      </c>
      <c r="G52" s="6"/>
      <c r="H52" s="6"/>
      <c r="I52" s="6"/>
      <c r="J52" s="6"/>
      <c r="K52" s="6"/>
      <c r="L52"/>
      <c r="M52"/>
      <c r="N52"/>
      <c r="O52" s="6"/>
      <c r="P52" s="6"/>
      <c r="Q52" s="6"/>
      <c r="R52" s="6"/>
      <c r="S52" s="6"/>
      <c r="T52" s="6"/>
      <c r="U52" s="6"/>
      <c r="V52" s="6"/>
      <c r="W52" s="6"/>
      <c r="X52" s="6"/>
      <c r="Y52" s="6"/>
      <c r="Z52" s="6"/>
      <c r="AA52" s="6"/>
      <c r="AB52" s="28">
        <v>802.5</v>
      </c>
      <c r="AL52" s="57" t="s">
        <v>193</v>
      </c>
      <c r="AM52" t="s">
        <v>180</v>
      </c>
      <c r="AN52" s="84">
        <v>-49.5</v>
      </c>
      <c r="AO52" t="s">
        <v>189</v>
      </c>
      <c r="AQ52">
        <v>16.91</v>
      </c>
    </row>
    <row r="53" spans="1:43" outlineLevel="1">
      <c r="A53" t="s">
        <v>9</v>
      </c>
      <c r="B53" t="s">
        <v>24</v>
      </c>
      <c r="C53" s="72" t="s">
        <v>145</v>
      </c>
      <c r="E53" s="6"/>
      <c r="F53" s="6"/>
      <c r="G53" s="6"/>
      <c r="H53" s="6"/>
      <c r="I53" s="6"/>
      <c r="J53" s="6"/>
      <c r="K53" s="6"/>
      <c r="L53"/>
      <c r="M53"/>
      <c r="N53"/>
      <c r="O53" s="6"/>
      <c r="P53" s="6"/>
      <c r="Q53" s="6"/>
      <c r="R53" s="6"/>
      <c r="S53" s="6"/>
      <c r="T53" s="6"/>
      <c r="U53" s="6"/>
      <c r="V53" s="6"/>
      <c r="W53" s="6"/>
      <c r="X53" s="6"/>
      <c r="Y53" s="6"/>
      <c r="Z53" s="6"/>
      <c r="AA53" s="6"/>
      <c r="AB53" s="28">
        <v>0</v>
      </c>
      <c r="AL53" s="57" t="s">
        <v>194</v>
      </c>
      <c r="AM53" t="s">
        <v>180</v>
      </c>
      <c r="AN53" s="84">
        <v>-7.21</v>
      </c>
      <c r="AO53" t="s">
        <v>190</v>
      </c>
      <c r="AQ53">
        <v>-196.46</v>
      </c>
    </row>
    <row r="54" spans="1:43" outlineLevel="1">
      <c r="A54" t="s">
        <v>9</v>
      </c>
      <c r="B54" t="s">
        <v>24</v>
      </c>
      <c r="C54" s="73" t="s">
        <v>143</v>
      </c>
      <c r="E54" s="6"/>
      <c r="F54" s="6"/>
      <c r="G54" s="6"/>
      <c r="H54" s="6"/>
      <c r="I54" s="6"/>
      <c r="J54" s="6"/>
      <c r="K54" s="6"/>
      <c r="L54"/>
      <c r="M54"/>
      <c r="N54"/>
      <c r="O54" s="6"/>
      <c r="P54" s="6"/>
      <c r="Q54" s="6"/>
      <c r="R54" s="6"/>
      <c r="S54" s="6"/>
      <c r="T54" s="6"/>
      <c r="U54" s="6"/>
      <c r="V54" s="6"/>
      <c r="W54" s="6"/>
      <c r="X54" s="6"/>
      <c r="Y54" s="6"/>
      <c r="Z54" s="6"/>
      <c r="AA54" s="6"/>
      <c r="AB54" s="28">
        <v>0</v>
      </c>
      <c r="AL54" s="57" t="s">
        <v>196</v>
      </c>
      <c r="AM54" t="s">
        <v>180</v>
      </c>
      <c r="AN54" s="84">
        <v>-61.39</v>
      </c>
      <c r="AO54" t="s">
        <v>192</v>
      </c>
      <c r="AQ54">
        <v>-62.67</v>
      </c>
    </row>
    <row r="55" spans="1:43" ht="15" outlineLevel="1" thickBot="1">
      <c r="A55" t="s">
        <v>9</v>
      </c>
      <c r="B55" t="s">
        <v>24</v>
      </c>
      <c r="C55" s="74" t="s">
        <v>136</v>
      </c>
      <c r="E55" s="6">
        <v>238.3</v>
      </c>
      <c r="F55" s="6"/>
      <c r="G55" s="6"/>
      <c r="H55" s="6"/>
      <c r="I55" s="6"/>
      <c r="J55" s="6"/>
      <c r="K55" s="6"/>
      <c r="L55"/>
      <c r="M55"/>
      <c r="N55"/>
      <c r="O55" s="6"/>
      <c r="P55" s="6"/>
      <c r="Q55" s="6"/>
      <c r="R55" s="6"/>
      <c r="S55" s="6"/>
      <c r="T55" s="6"/>
      <c r="U55" s="6"/>
      <c r="V55" s="6"/>
      <c r="W55" s="6"/>
      <c r="X55" s="6"/>
      <c r="Y55" s="6"/>
      <c r="Z55" s="6"/>
      <c r="AA55" s="6"/>
      <c r="AB55" s="28">
        <v>238.3</v>
      </c>
      <c r="AL55" s="57" t="s">
        <v>196</v>
      </c>
      <c r="AM55" t="s">
        <v>180</v>
      </c>
      <c r="AN55" s="84">
        <v>16.91</v>
      </c>
      <c r="AO55" t="s">
        <v>192</v>
      </c>
      <c r="AQ55">
        <v>-4.3600000000000003</v>
      </c>
    </row>
    <row r="56" spans="1:43" outlineLevel="2">
      <c r="E56" s="6"/>
      <c r="F56" s="6"/>
      <c r="G56" s="6"/>
      <c r="H56" s="6"/>
      <c r="I56" s="6"/>
      <c r="J56" s="6"/>
      <c r="K56" s="6"/>
      <c r="L56"/>
      <c r="M56"/>
      <c r="N56"/>
      <c r="O56"/>
      <c r="P56"/>
      <c r="Q56"/>
      <c r="R56"/>
      <c r="S56"/>
      <c r="T56"/>
      <c r="U56"/>
      <c r="V56"/>
      <c r="W56"/>
      <c r="X56"/>
      <c r="Y56"/>
      <c r="Z56"/>
      <c r="AA56" s="6"/>
      <c r="AB56" s="28">
        <v>0</v>
      </c>
      <c r="AL56" s="57" t="s">
        <v>196</v>
      </c>
      <c r="AM56" t="s">
        <v>180</v>
      </c>
      <c r="AN56" s="84">
        <v>-196.46</v>
      </c>
      <c r="AO56" t="s">
        <v>195</v>
      </c>
      <c r="AQ56">
        <v>-7.77</v>
      </c>
    </row>
    <row r="57" spans="1:43" outlineLevel="1">
      <c r="C57" s="9" t="s">
        <v>32</v>
      </c>
      <c r="D57" s="28">
        <v>0</v>
      </c>
      <c r="E57" s="28">
        <v>1053.01</v>
      </c>
      <c r="F57" s="28">
        <v>25</v>
      </c>
      <c r="G57" s="28">
        <v>0</v>
      </c>
      <c r="H57" s="28">
        <v>0</v>
      </c>
      <c r="I57" s="28">
        <v>64.48</v>
      </c>
      <c r="J57" s="28">
        <v>0</v>
      </c>
      <c r="K57" s="28">
        <v>0</v>
      </c>
      <c r="L57" s="28">
        <v>76</v>
      </c>
      <c r="M57" s="28">
        <v>36</v>
      </c>
      <c r="N57" s="28">
        <v>98.23</v>
      </c>
      <c r="O57" s="28">
        <v>98.23</v>
      </c>
      <c r="P57" s="28">
        <v>0</v>
      </c>
      <c r="Q57" s="28">
        <v>0</v>
      </c>
      <c r="R57" s="28">
        <v>0</v>
      </c>
      <c r="S57" s="28">
        <v>0</v>
      </c>
      <c r="T57" s="28">
        <v>0</v>
      </c>
      <c r="U57" s="28">
        <v>0</v>
      </c>
      <c r="V57" s="28">
        <v>0</v>
      </c>
      <c r="W57" s="28">
        <v>0</v>
      </c>
      <c r="X57" s="28">
        <v>0</v>
      </c>
      <c r="Y57" s="28">
        <v>69</v>
      </c>
      <c r="Z57" s="28">
        <v>145.89999999999998</v>
      </c>
      <c r="AA57" s="28">
        <v>30</v>
      </c>
      <c r="AB57" s="28">
        <v>1695.85</v>
      </c>
      <c r="AL57" t="s">
        <v>199</v>
      </c>
      <c r="AM57" t="s">
        <v>180</v>
      </c>
      <c r="AN57" s="84">
        <v>-62.67</v>
      </c>
      <c r="AO57" t="s">
        <v>130</v>
      </c>
      <c r="AQ57">
        <v>-71.099999999999994</v>
      </c>
    </row>
    <row r="58" spans="1:43">
      <c r="A58" s="9" t="s">
        <v>75</v>
      </c>
      <c r="AM58" t="s">
        <v>180</v>
      </c>
      <c r="AN58" s="84">
        <v>-4.3600000000000003</v>
      </c>
      <c r="AO58" t="s">
        <v>197</v>
      </c>
    </row>
    <row r="59" spans="1:43">
      <c r="AM59" t="s">
        <v>180</v>
      </c>
      <c r="AN59" s="84">
        <v>-7.77</v>
      </c>
      <c r="AO59" t="s">
        <v>198</v>
      </c>
    </row>
    <row r="60" spans="1:43" hidden="1" outlineLevel="1">
      <c r="E60" s="2" t="s">
        <v>85</v>
      </c>
      <c r="F60" s="2" t="s">
        <v>86</v>
      </c>
      <c r="G60" s="2" t="s">
        <v>87</v>
      </c>
      <c r="H60" s="2" t="s">
        <v>88</v>
      </c>
      <c r="I60" s="2" t="s">
        <v>89</v>
      </c>
      <c r="J60" s="2" t="s">
        <v>90</v>
      </c>
      <c r="K60" s="2" t="s">
        <v>84</v>
      </c>
      <c r="L60" s="2" t="s">
        <v>85</v>
      </c>
      <c r="M60" s="2" t="s">
        <v>86</v>
      </c>
      <c r="N60" s="2" t="s">
        <v>87</v>
      </c>
      <c r="O60" s="2" t="s">
        <v>88</v>
      </c>
      <c r="P60" s="2" t="s">
        <v>89</v>
      </c>
      <c r="Q60" s="2" t="s">
        <v>90</v>
      </c>
      <c r="R60" s="2" t="s">
        <v>84</v>
      </c>
      <c r="S60" s="2" t="s">
        <v>85</v>
      </c>
      <c r="T60" s="2" t="s">
        <v>86</v>
      </c>
      <c r="U60" s="2" t="s">
        <v>87</v>
      </c>
      <c r="V60" s="2" t="s">
        <v>88</v>
      </c>
      <c r="W60" s="2" t="s">
        <v>89</v>
      </c>
      <c r="X60" s="2" t="s">
        <v>90</v>
      </c>
      <c r="Y60" s="2" t="s">
        <v>84</v>
      </c>
      <c r="Z60" s="2" t="s">
        <v>85</v>
      </c>
      <c r="AA60" s="2" t="s">
        <v>86</v>
      </c>
      <c r="AM60" t="s">
        <v>180</v>
      </c>
      <c r="AN60" s="84">
        <v>-71.099999999999994</v>
      </c>
      <c r="AO60" t="s">
        <v>200</v>
      </c>
    </row>
    <row r="61" spans="1:43" hidden="1" outlineLevel="1">
      <c r="E61" s="34">
        <v>43557</v>
      </c>
      <c r="F61" s="34">
        <v>43558</v>
      </c>
      <c r="G61" s="34">
        <v>43559</v>
      </c>
      <c r="H61" s="34">
        <v>43560</v>
      </c>
      <c r="I61" s="34">
        <v>43561</v>
      </c>
      <c r="J61" s="34">
        <v>43562</v>
      </c>
      <c r="K61" s="34">
        <v>43563</v>
      </c>
      <c r="L61" s="34">
        <v>43564</v>
      </c>
      <c r="M61" s="34">
        <v>43565</v>
      </c>
      <c r="N61" s="34">
        <v>43566</v>
      </c>
      <c r="O61" s="34">
        <v>43567</v>
      </c>
      <c r="P61" s="34">
        <v>43568</v>
      </c>
      <c r="Q61" s="34">
        <v>43569</v>
      </c>
      <c r="R61" s="34">
        <v>43570</v>
      </c>
      <c r="S61" s="34">
        <v>43571</v>
      </c>
      <c r="T61" s="34">
        <v>43572</v>
      </c>
      <c r="U61" s="34">
        <v>43573</v>
      </c>
      <c r="V61" s="34">
        <v>43574</v>
      </c>
      <c r="W61" s="34">
        <v>43575</v>
      </c>
      <c r="X61" s="34">
        <v>43576</v>
      </c>
      <c r="Y61" s="34">
        <v>43577</v>
      </c>
      <c r="Z61" s="34">
        <v>43578</v>
      </c>
      <c r="AA61" s="34">
        <v>43579</v>
      </c>
    </row>
    <row r="62" spans="1:43" hidden="1" outlineLevel="1">
      <c r="F62" s="2">
        <v>1</v>
      </c>
      <c r="G62" s="2">
        <v>2</v>
      </c>
      <c r="H62" s="2">
        <v>3</v>
      </c>
      <c r="I62" s="2">
        <v>4</v>
      </c>
      <c r="J62" s="2">
        <v>5</v>
      </c>
      <c r="K62" s="2">
        <v>6</v>
      </c>
      <c r="L62" s="2">
        <v>7</v>
      </c>
      <c r="M62" s="2">
        <v>8</v>
      </c>
      <c r="N62" s="2">
        <v>9</v>
      </c>
      <c r="O62" s="2">
        <v>10</v>
      </c>
      <c r="P62" s="2">
        <v>11</v>
      </c>
      <c r="Q62" s="2">
        <v>12</v>
      </c>
      <c r="R62" s="2">
        <v>13</v>
      </c>
      <c r="S62" s="2">
        <v>14</v>
      </c>
      <c r="T62" s="2">
        <v>15</v>
      </c>
      <c r="U62" s="2">
        <v>16</v>
      </c>
      <c r="V62" s="2">
        <v>17</v>
      </c>
      <c r="W62" s="2">
        <v>18</v>
      </c>
      <c r="X62" s="2">
        <v>19</v>
      </c>
      <c r="Y62" s="2">
        <v>20</v>
      </c>
      <c r="Z62" s="2">
        <v>21</v>
      </c>
      <c r="AA62" s="2">
        <v>22</v>
      </c>
    </row>
    <row r="63" spans="1:43" hidden="1" outlineLevel="1">
      <c r="B63" t="s">
        <v>21</v>
      </c>
      <c r="C63" s="72" t="s">
        <v>142</v>
      </c>
      <c r="D63" s="6">
        <v>0</v>
      </c>
      <c r="E63" s="6">
        <v>0</v>
      </c>
      <c r="F63" s="6">
        <v>4.6672351119687647</v>
      </c>
      <c r="G63" s="6">
        <v>0</v>
      </c>
      <c r="H63" s="6">
        <v>0</v>
      </c>
      <c r="I63" s="6">
        <v>0</v>
      </c>
      <c r="J63" s="6">
        <v>0</v>
      </c>
      <c r="K63" s="6">
        <v>0</v>
      </c>
      <c r="L63" s="6">
        <v>0</v>
      </c>
      <c r="M63" s="6">
        <v>2.3336175559843824</v>
      </c>
      <c r="N63" s="6">
        <v>0</v>
      </c>
      <c r="O63" s="6">
        <v>0</v>
      </c>
      <c r="P63" s="6">
        <v>0</v>
      </c>
      <c r="Q63" s="6">
        <v>0</v>
      </c>
      <c r="R63" s="6">
        <v>0</v>
      </c>
      <c r="S63" s="6">
        <v>0</v>
      </c>
      <c r="T63" s="6">
        <v>0</v>
      </c>
      <c r="U63" s="6">
        <v>0</v>
      </c>
      <c r="V63" s="6">
        <v>0</v>
      </c>
      <c r="W63" s="6">
        <v>0</v>
      </c>
      <c r="X63" s="6">
        <v>5.4451076306302255</v>
      </c>
      <c r="Y63" s="6">
        <v>5.0561713712994951</v>
      </c>
      <c r="Z63" s="6">
        <v>0</v>
      </c>
      <c r="AA63" s="6">
        <v>0</v>
      </c>
      <c r="AB63" s="28">
        <v>17.502131669882868</v>
      </c>
      <c r="AD63" s="20">
        <v>0.83343484142299373</v>
      </c>
      <c r="AE63" s="20">
        <v>0.83343484142299373</v>
      </c>
    </row>
    <row r="64" spans="1:43" hidden="1" outlineLevel="1">
      <c r="B64" t="s">
        <v>21</v>
      </c>
      <c r="C64" s="73" t="s">
        <v>140</v>
      </c>
      <c r="D64" s="6">
        <v>0</v>
      </c>
      <c r="E64" s="6">
        <v>7.21</v>
      </c>
      <c r="F64" s="6">
        <v>36.17107211775793</v>
      </c>
      <c r="G64" s="6">
        <v>19.252344836871156</v>
      </c>
      <c r="H64" s="6">
        <v>15.557450373229216</v>
      </c>
      <c r="I64" s="6">
        <v>21.780430522520902</v>
      </c>
      <c r="J64" s="6">
        <v>0</v>
      </c>
      <c r="K64" s="6">
        <v>24.114048078505284</v>
      </c>
      <c r="L64" s="6">
        <v>0</v>
      </c>
      <c r="M64" s="6">
        <v>38.893625933073039</v>
      </c>
      <c r="N64" s="6">
        <v>19.44681296653652</v>
      </c>
      <c r="O64" s="6">
        <v>23.336175559843824</v>
      </c>
      <c r="P64" s="6">
        <v>21.002558003859441</v>
      </c>
      <c r="Q64" s="6">
        <v>20.613621744528711</v>
      </c>
      <c r="R64" s="6">
        <v>0</v>
      </c>
      <c r="S64" s="6">
        <v>18.863408577540426</v>
      </c>
      <c r="T64" s="6">
        <v>4.6672351119687647</v>
      </c>
      <c r="U64" s="6">
        <v>47.450223638349108</v>
      </c>
      <c r="V64" s="6">
        <v>17.891067929213598</v>
      </c>
      <c r="W64" s="6">
        <v>3.1114900746458432</v>
      </c>
      <c r="X64" s="6">
        <v>40.838307229726695</v>
      </c>
      <c r="Y64" s="6">
        <v>0</v>
      </c>
      <c r="Z64" s="6">
        <v>12.13</v>
      </c>
      <c r="AA64" s="6">
        <v>0</v>
      </c>
      <c r="AB64" s="28">
        <v>392.32987269817039</v>
      </c>
      <c r="AD64" s="20">
        <v>18.682374890389067</v>
      </c>
      <c r="AE64" s="20">
        <v>18.682374890389067</v>
      </c>
    </row>
    <row r="65" spans="2:31" hidden="1" outlineLevel="1">
      <c r="B65" t="s">
        <v>21</v>
      </c>
      <c r="C65" s="73" t="s">
        <v>147</v>
      </c>
      <c r="D65" s="6">
        <v>0</v>
      </c>
      <c r="E65" s="6">
        <v>0</v>
      </c>
      <c r="F65" s="6">
        <v>0</v>
      </c>
      <c r="G65" s="6">
        <v>0</v>
      </c>
      <c r="H65" s="6">
        <v>0</v>
      </c>
      <c r="I65" s="6">
        <v>0</v>
      </c>
      <c r="J65" s="6">
        <v>3.5004263339765735</v>
      </c>
      <c r="K65" s="6">
        <v>9.7234064832682598</v>
      </c>
      <c r="L65" s="6">
        <v>5.4451076306302255</v>
      </c>
      <c r="M65" s="6">
        <v>3.5004263339765735</v>
      </c>
      <c r="N65" s="6">
        <v>9.3344702239375295</v>
      </c>
      <c r="O65" s="6">
        <v>0</v>
      </c>
      <c r="P65" s="6">
        <v>0</v>
      </c>
      <c r="Q65" s="6">
        <v>3.8893625933073039</v>
      </c>
      <c r="R65" s="6">
        <v>7.3897889272838775</v>
      </c>
      <c r="S65" s="6">
        <v>0</v>
      </c>
      <c r="T65" s="6">
        <v>0</v>
      </c>
      <c r="U65" s="6">
        <v>4.6672351119687647</v>
      </c>
      <c r="V65" s="6">
        <v>11.668087779921912</v>
      </c>
      <c r="W65" s="6">
        <v>1.1668087779921912</v>
      </c>
      <c r="X65" s="6">
        <v>0</v>
      </c>
      <c r="Y65" s="6">
        <v>9</v>
      </c>
      <c r="Z65" s="6">
        <v>0</v>
      </c>
      <c r="AA65" s="6">
        <v>0</v>
      </c>
      <c r="AB65" s="28">
        <v>69.285120196263208</v>
      </c>
      <c r="AD65" s="20">
        <v>3.2992914379172955</v>
      </c>
      <c r="AE65" s="20">
        <v>3.2992914379172955</v>
      </c>
    </row>
    <row r="66" spans="2:31" hidden="1" outlineLevel="1">
      <c r="B66" t="s">
        <v>21</v>
      </c>
      <c r="C66" s="73" t="s">
        <v>146</v>
      </c>
      <c r="D66" s="6">
        <v>0</v>
      </c>
      <c r="E66" s="6">
        <v>0</v>
      </c>
      <c r="F66" s="6">
        <v>0</v>
      </c>
      <c r="G66" s="6">
        <v>0</v>
      </c>
      <c r="H66" s="6">
        <v>0</v>
      </c>
      <c r="I66" s="6">
        <v>4.6672351119687647</v>
      </c>
      <c r="J66" s="6">
        <v>6.2229801492916863</v>
      </c>
      <c r="K66" s="6">
        <v>0</v>
      </c>
      <c r="L66" s="6">
        <v>0</v>
      </c>
      <c r="M66" s="6">
        <v>0</v>
      </c>
      <c r="N66" s="6">
        <v>0</v>
      </c>
      <c r="O66" s="6">
        <v>6.2229801492916863</v>
      </c>
      <c r="P66" s="6">
        <v>0</v>
      </c>
      <c r="Q66" s="6">
        <v>0</v>
      </c>
      <c r="R66" s="6">
        <v>0</v>
      </c>
      <c r="S66" s="6">
        <v>2.1391494263190172</v>
      </c>
      <c r="T66" s="6">
        <v>9.7234064832682598</v>
      </c>
      <c r="U66" s="6">
        <v>3.1114900746458432</v>
      </c>
      <c r="V66" s="6">
        <v>0</v>
      </c>
      <c r="W66" s="6">
        <v>5.8340438899609559</v>
      </c>
      <c r="X66" s="6">
        <v>0.97234064832682598</v>
      </c>
      <c r="Y66" s="6">
        <v>0</v>
      </c>
      <c r="Z66" s="6">
        <v>0</v>
      </c>
      <c r="AA66" s="6">
        <v>0</v>
      </c>
      <c r="AB66" s="28">
        <v>38.893625933073032</v>
      </c>
      <c r="AD66" s="20">
        <v>1.8520774253844301</v>
      </c>
      <c r="AE66" s="20">
        <v>1.8520774253844301</v>
      </c>
    </row>
    <row r="67" spans="2:31" ht="15" hidden="1" outlineLevel="1" thickBot="1">
      <c r="B67" t="s">
        <v>21</v>
      </c>
      <c r="C67" s="74" t="s">
        <v>148</v>
      </c>
      <c r="D67" s="6">
        <v>0</v>
      </c>
      <c r="E67" s="6">
        <v>0</v>
      </c>
      <c r="F67" s="6">
        <v>9.3344702239375295</v>
      </c>
      <c r="G67" s="6">
        <v>3.8893625933073039</v>
      </c>
      <c r="H67" s="6">
        <v>22.169366781851632</v>
      </c>
      <c r="I67" s="6">
        <v>6.8063845382877819</v>
      </c>
      <c r="J67" s="6">
        <v>27.225538153151128</v>
      </c>
      <c r="K67" s="6">
        <v>0</v>
      </c>
      <c r="L67" s="6">
        <v>18.668940447875059</v>
      </c>
      <c r="M67" s="6">
        <v>0</v>
      </c>
      <c r="N67" s="6">
        <v>0</v>
      </c>
      <c r="O67" s="6">
        <v>0</v>
      </c>
      <c r="P67" s="6">
        <v>11.668087779921912</v>
      </c>
      <c r="Q67" s="6">
        <v>0</v>
      </c>
      <c r="R67" s="6">
        <v>0</v>
      </c>
      <c r="S67" s="6">
        <v>4.2782988526380343</v>
      </c>
      <c r="T67" s="6">
        <v>15.946386632559946</v>
      </c>
      <c r="U67" s="6">
        <v>4.6672351119687647</v>
      </c>
      <c r="V67" s="6">
        <v>0</v>
      </c>
      <c r="W67" s="6">
        <v>0</v>
      </c>
      <c r="X67" s="6">
        <v>9.7234064832682598</v>
      </c>
      <c r="Y67" s="6">
        <v>0</v>
      </c>
      <c r="Z67" s="6">
        <v>0</v>
      </c>
      <c r="AA67" s="6">
        <v>0</v>
      </c>
      <c r="AB67" s="28">
        <v>134.37747759876734</v>
      </c>
      <c r="AD67" s="20">
        <v>6.3989275047032068</v>
      </c>
      <c r="AE67" s="20">
        <v>6.3989275047032068</v>
      </c>
    </row>
    <row r="68" spans="2:31" hidden="1" outlineLevel="1">
      <c r="B68" t="s">
        <v>21</v>
      </c>
      <c r="C68" s="72" t="s">
        <v>153</v>
      </c>
      <c r="D68" s="6">
        <v>0</v>
      </c>
      <c r="E68" s="6">
        <v>0</v>
      </c>
      <c r="F68" s="6">
        <v>1.5557450373229216</v>
      </c>
      <c r="G68" s="6">
        <v>5.8340438899609559</v>
      </c>
      <c r="H68" s="6">
        <v>7.7787251866146079</v>
      </c>
      <c r="I68" s="6">
        <v>0</v>
      </c>
      <c r="J68" s="6">
        <v>10.11234274259899</v>
      </c>
      <c r="K68" s="6">
        <v>10.890215261260451</v>
      </c>
      <c r="L68" s="6">
        <v>1.944681296653652</v>
      </c>
      <c r="M68" s="6">
        <v>0</v>
      </c>
      <c r="N68" s="6">
        <v>3.8893625933073039</v>
      </c>
      <c r="O68" s="6">
        <v>5.8340438899609559</v>
      </c>
      <c r="P68" s="6">
        <v>0</v>
      </c>
      <c r="Q68" s="6">
        <v>13.612769076575564</v>
      </c>
      <c r="R68" s="6">
        <v>0</v>
      </c>
      <c r="S68" s="6">
        <v>0</v>
      </c>
      <c r="T68" s="6">
        <v>0</v>
      </c>
      <c r="U68" s="6">
        <v>0</v>
      </c>
      <c r="V68" s="6">
        <v>9.7234064832682598</v>
      </c>
      <c r="W68" s="6">
        <v>1.1668087779921912</v>
      </c>
      <c r="X68" s="6">
        <v>0</v>
      </c>
      <c r="Y68" s="6">
        <v>0</v>
      </c>
      <c r="Z68" s="6">
        <v>0</v>
      </c>
      <c r="AA68" s="6">
        <v>0</v>
      </c>
      <c r="AB68" s="28">
        <v>72.34214423551586</v>
      </c>
      <c r="AD68" s="20">
        <v>3.4448640112150408</v>
      </c>
      <c r="AE68" s="23">
        <v>1.7224320056075204</v>
      </c>
    </row>
    <row r="69" spans="2:31" hidden="1" outlineLevel="1">
      <c r="B69" t="s">
        <v>21</v>
      </c>
      <c r="C69" s="73" t="s">
        <v>139</v>
      </c>
      <c r="D69" s="6">
        <v>0</v>
      </c>
      <c r="E69" s="6">
        <v>0</v>
      </c>
      <c r="F69" s="6">
        <v>36.17107211775793</v>
      </c>
      <c r="G69" s="6">
        <v>37.182306392017829</v>
      </c>
      <c r="H69" s="6">
        <v>33.059582043112087</v>
      </c>
      <c r="I69" s="6">
        <v>97.539582043112091</v>
      </c>
      <c r="J69" s="6">
        <v>31.114900746458432</v>
      </c>
      <c r="K69" s="6">
        <v>31.114900746458432</v>
      </c>
      <c r="L69" s="6">
        <v>111.27651872129725</v>
      </c>
      <c r="M69" s="6">
        <v>73.726817155080852</v>
      </c>
      <c r="N69" s="6">
        <v>98.23</v>
      </c>
      <c r="O69" s="6">
        <v>98.23</v>
      </c>
      <c r="P69" s="6">
        <v>38.893625933073039</v>
      </c>
      <c r="Q69" s="6">
        <v>35.004263339765735</v>
      </c>
      <c r="R69" s="6">
        <v>38.893625933073039</v>
      </c>
      <c r="S69" s="6">
        <v>38.893625933073039</v>
      </c>
      <c r="T69" s="6">
        <v>38.893625933073039</v>
      </c>
      <c r="U69" s="6">
        <v>36.948944636419391</v>
      </c>
      <c r="V69" s="6">
        <v>132.23832817244835</v>
      </c>
      <c r="W69" s="6">
        <v>35.004263339765735</v>
      </c>
      <c r="X69" s="6">
        <v>35.004263339765735</v>
      </c>
      <c r="Y69" s="6">
        <v>60</v>
      </c>
      <c r="Z69" s="6">
        <v>71.099999999999994</v>
      </c>
      <c r="AA69" s="6">
        <v>0</v>
      </c>
      <c r="AB69" s="28">
        <v>1208.5202465257519</v>
      </c>
      <c r="AD69" s="20">
        <v>57.548583167892943</v>
      </c>
      <c r="AE69" s="23">
        <v>28.774291583946471</v>
      </c>
    </row>
    <row r="70" spans="2:31" ht="15" hidden="1" outlineLevel="1" thickBot="1">
      <c r="B70" t="s">
        <v>21</v>
      </c>
      <c r="C70" s="74" t="s">
        <v>149</v>
      </c>
      <c r="D70" s="6">
        <v>0</v>
      </c>
      <c r="E70" s="6">
        <v>0</v>
      </c>
      <c r="F70" s="6">
        <v>0</v>
      </c>
      <c r="G70" s="6">
        <v>0.77787251866146079</v>
      </c>
      <c r="H70" s="6">
        <v>1.944681296653652</v>
      </c>
      <c r="I70" s="6">
        <v>0</v>
      </c>
      <c r="J70" s="6">
        <v>0.97234064832682598</v>
      </c>
      <c r="K70" s="6">
        <v>3.1114900746458432</v>
      </c>
      <c r="L70" s="6">
        <v>0.77787251866146079</v>
      </c>
      <c r="M70" s="6">
        <v>1.1668087779921912</v>
      </c>
      <c r="N70" s="6">
        <v>0</v>
      </c>
      <c r="O70" s="6">
        <v>0</v>
      </c>
      <c r="P70" s="6">
        <v>0</v>
      </c>
      <c r="Q70" s="6">
        <v>1.5557450373229216</v>
      </c>
      <c r="R70" s="6">
        <v>0</v>
      </c>
      <c r="S70" s="6">
        <v>0</v>
      </c>
      <c r="T70" s="6">
        <v>1.1668087779921912</v>
      </c>
      <c r="U70" s="6">
        <v>0</v>
      </c>
      <c r="V70" s="6">
        <v>1.1668087779921912</v>
      </c>
      <c r="W70" s="6">
        <v>1.1668087779921912</v>
      </c>
      <c r="X70" s="6">
        <v>1.1668087779921912</v>
      </c>
      <c r="Y70" s="6">
        <v>0</v>
      </c>
      <c r="Z70" s="6">
        <v>0</v>
      </c>
      <c r="AA70" s="6">
        <v>0</v>
      </c>
      <c r="AB70" s="28">
        <v>14.97404598423312</v>
      </c>
      <c r="AD70" s="20">
        <v>0.71304980877300572</v>
      </c>
      <c r="AE70" s="23">
        <v>0.35652490438650286</v>
      </c>
    </row>
    <row r="71" spans="2:31" hidden="1" outlineLevel="1">
      <c r="B71" t="s">
        <v>23</v>
      </c>
      <c r="C71" s="72" t="s">
        <v>23</v>
      </c>
      <c r="D71" s="6">
        <v>0</v>
      </c>
      <c r="E71" s="6">
        <v>0</v>
      </c>
      <c r="F71" s="6">
        <v>0</v>
      </c>
      <c r="G71" s="6">
        <v>0</v>
      </c>
      <c r="H71" s="6">
        <v>0</v>
      </c>
      <c r="I71" s="6">
        <v>0</v>
      </c>
      <c r="J71" s="6">
        <v>0</v>
      </c>
      <c r="K71" s="6">
        <v>0</v>
      </c>
      <c r="L71" s="6">
        <v>0</v>
      </c>
      <c r="M71" s="6">
        <v>0</v>
      </c>
      <c r="N71" s="6">
        <v>0</v>
      </c>
      <c r="O71" s="6">
        <v>17.502131669882868</v>
      </c>
      <c r="P71" s="6">
        <v>11.668087779921912</v>
      </c>
      <c r="Q71" s="6">
        <v>0</v>
      </c>
      <c r="R71" s="6">
        <v>0</v>
      </c>
      <c r="S71" s="6">
        <v>0</v>
      </c>
      <c r="T71" s="6">
        <v>0</v>
      </c>
      <c r="U71" s="6">
        <v>0</v>
      </c>
      <c r="V71" s="6">
        <v>0</v>
      </c>
      <c r="W71" s="6">
        <v>0</v>
      </c>
      <c r="X71" s="6">
        <v>0</v>
      </c>
      <c r="Y71" s="6">
        <v>0</v>
      </c>
      <c r="Z71" s="6">
        <v>0</v>
      </c>
      <c r="AA71" s="6">
        <v>0</v>
      </c>
      <c r="AB71" s="28">
        <v>29.17021944980478</v>
      </c>
      <c r="AD71" s="20">
        <v>1.3890580690383227</v>
      </c>
      <c r="AE71" s="20">
        <v>1.3890580690383227</v>
      </c>
    </row>
    <row r="72" spans="2:31" hidden="1" outlineLevel="1">
      <c r="B72" t="s">
        <v>23</v>
      </c>
      <c r="C72" s="73" t="s">
        <v>151</v>
      </c>
      <c r="D72" s="6">
        <v>0</v>
      </c>
      <c r="E72" s="6">
        <v>0</v>
      </c>
      <c r="F72" s="6">
        <v>0</v>
      </c>
      <c r="G72" s="6">
        <v>0</v>
      </c>
      <c r="H72" s="6">
        <v>0</v>
      </c>
      <c r="I72" s="6">
        <v>0</v>
      </c>
      <c r="J72" s="6">
        <v>0</v>
      </c>
      <c r="K72" s="6">
        <v>11.668087779921912</v>
      </c>
      <c r="L72" s="6">
        <v>0</v>
      </c>
      <c r="M72" s="6">
        <v>0</v>
      </c>
      <c r="N72" s="6">
        <v>0</v>
      </c>
      <c r="O72" s="6">
        <v>0</v>
      </c>
      <c r="P72" s="6">
        <v>0</v>
      </c>
      <c r="Q72" s="6">
        <v>0</v>
      </c>
      <c r="R72" s="6">
        <v>0</v>
      </c>
      <c r="S72" s="6">
        <v>0</v>
      </c>
      <c r="T72" s="6">
        <v>0</v>
      </c>
      <c r="U72" s="6">
        <v>19.44681296653652</v>
      </c>
      <c r="V72" s="6">
        <v>0</v>
      </c>
      <c r="W72" s="6">
        <v>0</v>
      </c>
      <c r="X72" s="6">
        <v>0</v>
      </c>
      <c r="Y72" s="6">
        <v>0</v>
      </c>
      <c r="Z72" s="6">
        <v>0</v>
      </c>
      <c r="AA72" s="6">
        <v>0</v>
      </c>
      <c r="AB72" s="28">
        <v>31.114900746458432</v>
      </c>
      <c r="AD72" s="20">
        <v>1.4816619403075444</v>
      </c>
      <c r="AE72" s="20">
        <v>1.4816619403075444</v>
      </c>
    </row>
    <row r="73" spans="2:31" ht="15" hidden="1" outlineLevel="1" thickBot="1">
      <c r="B73" t="s">
        <v>26</v>
      </c>
      <c r="C73" s="74" t="s">
        <v>152</v>
      </c>
      <c r="D73" s="6">
        <v>0</v>
      </c>
      <c r="E73" s="6">
        <v>0</v>
      </c>
      <c r="F73" s="6">
        <v>0</v>
      </c>
      <c r="G73" s="6">
        <v>0</v>
      </c>
      <c r="H73" s="6">
        <v>0</v>
      </c>
      <c r="I73" s="6">
        <v>0</v>
      </c>
      <c r="J73" s="6">
        <v>0</v>
      </c>
      <c r="K73" s="6">
        <v>0</v>
      </c>
      <c r="L73" s="6">
        <v>0</v>
      </c>
      <c r="M73" s="6">
        <v>0</v>
      </c>
      <c r="N73" s="6">
        <v>0</v>
      </c>
      <c r="O73" s="6">
        <v>0</v>
      </c>
      <c r="P73" s="6">
        <v>0</v>
      </c>
      <c r="Q73" s="6">
        <v>0</v>
      </c>
      <c r="R73" s="6">
        <v>0</v>
      </c>
      <c r="S73" s="6">
        <v>0</v>
      </c>
      <c r="T73" s="6">
        <v>0</v>
      </c>
      <c r="U73" s="6">
        <v>0</v>
      </c>
      <c r="V73" s="6">
        <v>0</v>
      </c>
      <c r="W73" s="6">
        <v>0</v>
      </c>
      <c r="X73" s="6">
        <v>0</v>
      </c>
      <c r="Y73" s="6">
        <v>0</v>
      </c>
      <c r="Z73" s="6">
        <v>0</v>
      </c>
      <c r="AA73" s="6">
        <v>0</v>
      </c>
      <c r="AB73" s="28">
        <v>0</v>
      </c>
      <c r="AD73" s="20">
        <v>0</v>
      </c>
      <c r="AE73" s="20">
        <v>0</v>
      </c>
    </row>
    <row r="74" spans="2:31" hidden="1" outlineLevel="1">
      <c r="B74" t="s">
        <v>25</v>
      </c>
      <c r="C74" s="72" t="s">
        <v>150</v>
      </c>
      <c r="D74" s="6">
        <v>0</v>
      </c>
      <c r="E74" s="6">
        <v>30</v>
      </c>
      <c r="F74" s="6">
        <v>10.890215261260451</v>
      </c>
      <c r="G74" s="6">
        <v>0</v>
      </c>
      <c r="H74" s="6">
        <v>0</v>
      </c>
      <c r="I74" s="6">
        <v>0</v>
      </c>
      <c r="J74" s="6">
        <v>0</v>
      </c>
      <c r="K74" s="6">
        <v>0</v>
      </c>
      <c r="L74" s="6">
        <v>0</v>
      </c>
      <c r="M74" s="6">
        <v>0</v>
      </c>
      <c r="N74" s="6">
        <v>23.336175559843824</v>
      </c>
      <c r="O74" s="6">
        <v>14.001705335906294</v>
      </c>
      <c r="P74" s="6">
        <v>7.7787251866146079</v>
      </c>
      <c r="Q74" s="6">
        <v>12.445960298583373</v>
      </c>
      <c r="R74" s="6">
        <v>0</v>
      </c>
      <c r="S74" s="6">
        <v>0</v>
      </c>
      <c r="T74" s="6">
        <v>0</v>
      </c>
      <c r="U74" s="6">
        <v>0</v>
      </c>
      <c r="V74" s="6">
        <v>0</v>
      </c>
      <c r="W74" s="6">
        <v>0</v>
      </c>
      <c r="X74" s="6">
        <v>0</v>
      </c>
      <c r="Y74" s="6">
        <v>10.501279001929721</v>
      </c>
      <c r="Z74" s="6">
        <v>62.67</v>
      </c>
      <c r="AA74" s="6">
        <v>30</v>
      </c>
      <c r="AB74" s="28">
        <v>201.62406064413827</v>
      </c>
      <c r="AD74" s="20">
        <v>9.6011457449589646</v>
      </c>
      <c r="AE74" s="20">
        <v>9.6011457449589646</v>
      </c>
    </row>
    <row r="75" spans="2:31" ht="15" hidden="1" outlineLevel="1" thickBot="1">
      <c r="B75" t="s">
        <v>25</v>
      </c>
      <c r="C75" s="74" t="s">
        <v>144</v>
      </c>
      <c r="D75" s="6">
        <v>0</v>
      </c>
      <c r="E75" s="6">
        <v>777.5</v>
      </c>
      <c r="F75" s="6">
        <v>25</v>
      </c>
      <c r="G75" s="6">
        <v>0</v>
      </c>
      <c r="H75" s="6">
        <v>0</v>
      </c>
      <c r="I75" s="6">
        <v>0</v>
      </c>
      <c r="J75" s="6">
        <v>0</v>
      </c>
      <c r="K75" s="6">
        <v>0</v>
      </c>
      <c r="L75" s="6">
        <v>0</v>
      </c>
      <c r="M75" s="6">
        <v>0</v>
      </c>
      <c r="N75" s="6">
        <v>0</v>
      </c>
      <c r="O75" s="6">
        <v>0</v>
      </c>
      <c r="P75" s="6">
        <v>0</v>
      </c>
      <c r="Q75" s="6">
        <v>0</v>
      </c>
      <c r="R75" s="6">
        <v>0</v>
      </c>
      <c r="S75" s="6">
        <v>0</v>
      </c>
      <c r="T75" s="6">
        <v>0</v>
      </c>
      <c r="U75" s="6">
        <v>0</v>
      </c>
      <c r="V75" s="6">
        <v>0</v>
      </c>
      <c r="W75" s="6">
        <v>0</v>
      </c>
      <c r="X75" s="6">
        <v>0</v>
      </c>
      <c r="Y75" s="6">
        <v>0</v>
      </c>
      <c r="Z75" s="6">
        <v>0</v>
      </c>
      <c r="AA75" s="6">
        <v>0</v>
      </c>
      <c r="AB75" s="28">
        <v>802.5</v>
      </c>
      <c r="AD75" s="20">
        <v>38.214285714285715</v>
      </c>
      <c r="AE75" s="20">
        <v>38.214285714285715</v>
      </c>
    </row>
    <row r="76" spans="2:31" hidden="1" outlineLevel="1">
      <c r="B76" t="s">
        <v>24</v>
      </c>
      <c r="C76" s="72" t="s">
        <v>145</v>
      </c>
      <c r="D76" s="6">
        <v>0</v>
      </c>
      <c r="E76" s="6">
        <v>0</v>
      </c>
      <c r="F76" s="6">
        <v>0</v>
      </c>
      <c r="G76" s="6">
        <v>0</v>
      </c>
      <c r="H76" s="6">
        <v>0</v>
      </c>
      <c r="I76" s="6">
        <v>0</v>
      </c>
      <c r="J76" s="6">
        <v>2.7225538153151128</v>
      </c>
      <c r="K76" s="6">
        <v>3.8893625933073039</v>
      </c>
      <c r="L76" s="6">
        <v>61.062992714924675</v>
      </c>
      <c r="M76" s="6">
        <v>54.451076306302255</v>
      </c>
      <c r="N76" s="6">
        <v>0</v>
      </c>
      <c r="O76" s="6">
        <v>0</v>
      </c>
      <c r="P76" s="6">
        <v>0</v>
      </c>
      <c r="Q76" s="6">
        <v>0</v>
      </c>
      <c r="R76" s="6">
        <v>0</v>
      </c>
      <c r="S76" s="6">
        <v>0</v>
      </c>
      <c r="T76" s="6">
        <v>0</v>
      </c>
      <c r="U76" s="6">
        <v>0</v>
      </c>
      <c r="V76" s="6">
        <v>7.7787251866146079</v>
      </c>
      <c r="W76" s="6">
        <v>13.612769076575564</v>
      </c>
      <c r="X76" s="6">
        <v>0</v>
      </c>
      <c r="Y76" s="6">
        <v>0</v>
      </c>
      <c r="Z76" s="6">
        <v>0</v>
      </c>
      <c r="AA76" s="6">
        <v>0</v>
      </c>
      <c r="AB76" s="28">
        <v>143.51747969303952</v>
      </c>
      <c r="AD76" s="20">
        <v>6.8341656996685485</v>
      </c>
      <c r="AE76" s="20">
        <v>6.8341656996685485</v>
      </c>
    </row>
    <row r="77" spans="2:31" hidden="1" outlineLevel="2">
      <c r="B77" t="s">
        <v>24</v>
      </c>
      <c r="C77" s="73" t="s">
        <v>143</v>
      </c>
      <c r="D77" s="6">
        <v>0</v>
      </c>
      <c r="E77" s="6">
        <v>0</v>
      </c>
      <c r="F77" s="6">
        <v>0</v>
      </c>
      <c r="G77" s="6">
        <v>0</v>
      </c>
      <c r="H77" s="6">
        <v>0</v>
      </c>
      <c r="I77" s="6">
        <v>0</v>
      </c>
      <c r="J77" s="6">
        <v>0</v>
      </c>
      <c r="K77" s="6">
        <v>0</v>
      </c>
      <c r="L77" s="6">
        <v>0</v>
      </c>
      <c r="M77" s="6">
        <v>0</v>
      </c>
      <c r="N77" s="6">
        <v>0</v>
      </c>
      <c r="O77" s="6">
        <v>0</v>
      </c>
      <c r="P77" s="6">
        <v>0</v>
      </c>
      <c r="Q77" s="6">
        <v>0</v>
      </c>
      <c r="R77" s="6">
        <v>0</v>
      </c>
      <c r="S77" s="6">
        <v>58.340438899609559</v>
      </c>
      <c r="T77" s="6">
        <v>0</v>
      </c>
      <c r="U77" s="6">
        <v>32.86511391344672</v>
      </c>
      <c r="V77" s="6">
        <v>0</v>
      </c>
      <c r="W77" s="6">
        <v>0</v>
      </c>
      <c r="X77" s="6">
        <v>31.114900746458432</v>
      </c>
      <c r="Y77" s="6">
        <v>0</v>
      </c>
      <c r="Z77" s="6">
        <v>0</v>
      </c>
      <c r="AA77" s="6"/>
      <c r="AB77" s="28">
        <v>122.3204535595147</v>
      </c>
      <c r="AD77" s="20">
        <v>5.8247835028340331</v>
      </c>
      <c r="AE77" s="20">
        <v>5.8247835028340331</v>
      </c>
    </row>
    <row r="78" spans="2:31" ht="15" hidden="1" outlineLevel="1" thickBot="1">
      <c r="B78" t="s">
        <v>24</v>
      </c>
      <c r="C78" s="74" t="s">
        <v>136</v>
      </c>
      <c r="D78" s="6"/>
      <c r="E78" s="6"/>
      <c r="F78" s="6"/>
      <c r="G78" s="6"/>
      <c r="H78" s="6"/>
      <c r="I78" s="6"/>
      <c r="J78" s="6"/>
      <c r="K78" s="6"/>
      <c r="L78" s="6"/>
      <c r="M78" s="6"/>
      <c r="N78" s="6"/>
      <c r="O78" s="6"/>
      <c r="P78" s="6"/>
      <c r="Q78" s="6"/>
      <c r="R78" s="6"/>
      <c r="S78" s="6"/>
      <c r="T78" s="6"/>
      <c r="U78" s="6"/>
      <c r="V78" s="6"/>
      <c r="W78" s="6"/>
      <c r="X78" s="6"/>
      <c r="Y78" s="6"/>
      <c r="Z78" s="6"/>
      <c r="AA78" s="6"/>
      <c r="AB78" s="28">
        <v>0</v>
      </c>
      <c r="AC78" s="16">
        <v>0</v>
      </c>
    </row>
    <row r="79" spans="2:31" hidden="1" outlineLevel="1">
      <c r="C79" s="9" t="s">
        <v>14</v>
      </c>
      <c r="D79" s="28">
        <v>0</v>
      </c>
      <c r="E79" s="28">
        <v>814.71</v>
      </c>
      <c r="F79" s="28">
        <v>123.78980987000553</v>
      </c>
      <c r="G79" s="28">
        <v>66.935930230818713</v>
      </c>
      <c r="H79" s="28">
        <v>80.509805681461202</v>
      </c>
      <c r="I79" s="28">
        <v>130.79363221588955</v>
      </c>
      <c r="J79" s="28">
        <v>81.871082589118743</v>
      </c>
      <c r="K79" s="28">
        <v>94.511511017367496</v>
      </c>
      <c r="L79" s="28">
        <v>199.17611333004231</v>
      </c>
      <c r="M79" s="28">
        <v>174.07237206240927</v>
      </c>
      <c r="N79" s="28">
        <v>154.23682134362519</v>
      </c>
      <c r="O79" s="28">
        <v>165.12703660488563</v>
      </c>
      <c r="P79" s="28">
        <v>91.011084683390905</v>
      </c>
      <c r="Q79" s="28">
        <v>87.121722090083608</v>
      </c>
      <c r="R79" s="28">
        <v>46.283414860356913</v>
      </c>
      <c r="S79" s="28">
        <v>122.51492168918008</v>
      </c>
      <c r="T79" s="28">
        <v>70.397462938862205</v>
      </c>
      <c r="U79" s="28">
        <v>149.15705545333512</v>
      </c>
      <c r="V79" s="28">
        <v>180.4664243294589</v>
      </c>
      <c r="W79" s="28">
        <v>61.062992714924661</v>
      </c>
      <c r="X79" s="28">
        <v>124.26513485616836</v>
      </c>
      <c r="Y79" s="28">
        <v>84.557450373229216</v>
      </c>
      <c r="Z79" s="28">
        <v>145.89999999999998</v>
      </c>
      <c r="AA79" s="28">
        <v>30</v>
      </c>
      <c r="AB79" s="28">
        <v>3278.4717789346132</v>
      </c>
      <c r="AC79" s="13">
        <v>127.51165500201938</v>
      </c>
      <c r="AD79" s="20">
        <v>156.11770375879112</v>
      </c>
      <c r="AE79" s="20">
        <v>125.26445526485062</v>
      </c>
    </row>
    <row r="80" spans="2:31" hidden="1" outlineLevel="1">
      <c r="D80" s="2">
        <v>0</v>
      </c>
    </row>
    <row r="81" spans="1:34" collapsed="1">
      <c r="A81" s="9" t="s">
        <v>97</v>
      </c>
      <c r="D81" s="2"/>
    </row>
    <row r="82" spans="1:34">
      <c r="A82" s="9"/>
      <c r="D82" s="2"/>
    </row>
    <row r="83" spans="1:34" outlineLevel="1">
      <c r="D83" s="2"/>
      <c r="E83" s="2" t="s">
        <v>85</v>
      </c>
      <c r="F83" s="2" t="s">
        <v>86</v>
      </c>
      <c r="G83" s="2" t="s">
        <v>87</v>
      </c>
      <c r="H83" s="2" t="s">
        <v>88</v>
      </c>
      <c r="I83" s="2" t="s">
        <v>89</v>
      </c>
      <c r="J83" s="2" t="s">
        <v>90</v>
      </c>
      <c r="K83" s="2" t="s">
        <v>84</v>
      </c>
      <c r="L83" s="2" t="s">
        <v>85</v>
      </c>
      <c r="M83" s="2" t="s">
        <v>86</v>
      </c>
      <c r="N83" s="2" t="s">
        <v>87</v>
      </c>
      <c r="O83" s="2" t="s">
        <v>88</v>
      </c>
      <c r="P83" s="2" t="s">
        <v>89</v>
      </c>
      <c r="Q83" s="2" t="s">
        <v>90</v>
      </c>
      <c r="R83" s="2" t="s">
        <v>84</v>
      </c>
      <c r="S83" s="2" t="s">
        <v>85</v>
      </c>
      <c r="T83" s="2" t="s">
        <v>86</v>
      </c>
      <c r="U83" s="2" t="s">
        <v>87</v>
      </c>
      <c r="V83" s="2" t="s">
        <v>88</v>
      </c>
      <c r="W83" s="2" t="s">
        <v>89</v>
      </c>
      <c r="X83" s="2" t="s">
        <v>90</v>
      </c>
      <c r="Y83" s="2" t="s">
        <v>84</v>
      </c>
      <c r="Z83" s="2" t="s">
        <v>85</v>
      </c>
      <c r="AA83" s="2" t="s">
        <v>86</v>
      </c>
      <c r="AD83" t="s">
        <v>79</v>
      </c>
    </row>
    <row r="84" spans="1:34" ht="23.4" outlineLevel="1">
      <c r="E84" s="34">
        <v>43557</v>
      </c>
      <c r="F84" s="34">
        <v>43558</v>
      </c>
      <c r="G84" s="34">
        <v>43559</v>
      </c>
      <c r="H84" s="34">
        <v>43560</v>
      </c>
      <c r="I84" s="34">
        <v>43561</v>
      </c>
      <c r="J84" s="34">
        <v>43562</v>
      </c>
      <c r="K84" s="34">
        <v>43563</v>
      </c>
      <c r="L84" s="34">
        <v>43564</v>
      </c>
      <c r="M84" s="34">
        <v>43565</v>
      </c>
      <c r="N84" s="34">
        <v>43566</v>
      </c>
      <c r="O84" s="34">
        <v>43567</v>
      </c>
      <c r="P84" s="34">
        <v>43568</v>
      </c>
      <c r="Q84" s="34">
        <v>43569</v>
      </c>
      <c r="R84" s="34">
        <v>43570</v>
      </c>
      <c r="S84" s="34">
        <v>43571</v>
      </c>
      <c r="T84" s="34">
        <v>43572</v>
      </c>
      <c r="U84" s="34">
        <v>43573</v>
      </c>
      <c r="V84" s="34">
        <v>43574</v>
      </c>
      <c r="W84" s="34">
        <v>43575</v>
      </c>
      <c r="X84" s="34">
        <v>43576</v>
      </c>
      <c r="Y84" s="34">
        <v>43577</v>
      </c>
      <c r="Z84" s="34">
        <v>43578</v>
      </c>
      <c r="AA84" s="34">
        <v>43579</v>
      </c>
      <c r="AD84" s="40">
        <v>21</v>
      </c>
    </row>
    <row r="85" spans="1:34" outlineLevel="1">
      <c r="D85" s="6"/>
      <c r="F85" s="2">
        <v>1</v>
      </c>
      <c r="G85" s="2">
        <v>2</v>
      </c>
      <c r="H85" s="2">
        <v>3</v>
      </c>
      <c r="I85" s="2">
        <v>4</v>
      </c>
      <c r="J85" s="2">
        <v>5</v>
      </c>
      <c r="K85" s="2">
        <v>6</v>
      </c>
      <c r="L85" s="2">
        <v>7</v>
      </c>
      <c r="M85" s="2">
        <v>8</v>
      </c>
      <c r="N85" s="2">
        <v>9</v>
      </c>
      <c r="O85" s="2">
        <v>10</v>
      </c>
      <c r="P85" s="2">
        <v>11</v>
      </c>
      <c r="Q85" s="2">
        <v>12</v>
      </c>
      <c r="R85" s="2">
        <v>13</v>
      </c>
      <c r="S85" s="2">
        <v>14</v>
      </c>
      <c r="T85" s="2">
        <v>15</v>
      </c>
      <c r="U85" s="2">
        <v>16</v>
      </c>
      <c r="V85" s="2">
        <v>17</v>
      </c>
      <c r="W85" s="2">
        <v>18</v>
      </c>
      <c r="X85" s="2">
        <v>19</v>
      </c>
      <c r="Y85" s="2">
        <v>20</v>
      </c>
      <c r="Z85" s="2">
        <v>21</v>
      </c>
      <c r="AA85" s="2">
        <v>22</v>
      </c>
      <c r="AB85" s="6"/>
      <c r="AH85" s="4"/>
    </row>
    <row r="86" spans="1:34" outlineLevel="1">
      <c r="D86" s="2"/>
      <c r="AB86" s="6"/>
      <c r="AH86" s="4"/>
    </row>
    <row r="87" spans="1:34" outlineLevel="1">
      <c r="C87" t="s">
        <v>21</v>
      </c>
      <c r="D87" s="6">
        <v>0</v>
      </c>
      <c r="E87" s="6">
        <v>7.21</v>
      </c>
      <c r="F87" s="6">
        <v>87.899594608745076</v>
      </c>
      <c r="G87" s="6">
        <v>66.935930230818713</v>
      </c>
      <c r="H87" s="6">
        <v>80.509805681461202</v>
      </c>
      <c r="I87" s="6">
        <v>130.79363221588955</v>
      </c>
      <c r="J87" s="6">
        <v>79.148528773803633</v>
      </c>
      <c r="K87" s="6">
        <v>78.954060644138266</v>
      </c>
      <c r="L87" s="6">
        <v>138.11312061511765</v>
      </c>
      <c r="M87" s="6">
        <v>119.62129575610703</v>
      </c>
      <c r="N87" s="6">
        <v>130.90064578378136</v>
      </c>
      <c r="O87" s="6">
        <v>133.62319959909647</v>
      </c>
      <c r="P87" s="6">
        <v>71.564271716854392</v>
      </c>
      <c r="Q87" s="6">
        <v>74.675761791500236</v>
      </c>
      <c r="R87" s="6">
        <v>46.283414860356913</v>
      </c>
      <c r="S87" s="6">
        <v>64.174482789570519</v>
      </c>
      <c r="T87" s="6">
        <v>70.397462938862205</v>
      </c>
      <c r="U87" s="6">
        <v>96.845128573351872</v>
      </c>
      <c r="V87" s="6">
        <v>172.68769914284431</v>
      </c>
      <c r="W87" s="6">
        <v>47.450223638349101</v>
      </c>
      <c r="X87" s="6">
        <v>93.150234109709928</v>
      </c>
      <c r="Y87" s="6">
        <v>74.056171371299499</v>
      </c>
      <c r="Z87" s="6">
        <v>83.22999999999999</v>
      </c>
      <c r="AA87" s="6">
        <v>0</v>
      </c>
      <c r="AB87" s="28">
        <v>1948.2246648416583</v>
      </c>
      <c r="AD87" s="20">
        <v>92.429269754364682</v>
      </c>
      <c r="AF87" s="35">
        <v>37.04638988851692</v>
      </c>
    </row>
    <row r="88" spans="1:34" outlineLevel="1">
      <c r="C88" t="s">
        <v>23</v>
      </c>
      <c r="D88" s="6">
        <v>0</v>
      </c>
      <c r="E88" s="6">
        <v>0</v>
      </c>
      <c r="F88" s="6">
        <v>0</v>
      </c>
      <c r="G88" s="6">
        <v>0</v>
      </c>
      <c r="H88" s="6">
        <v>0</v>
      </c>
      <c r="I88" s="6">
        <v>0</v>
      </c>
      <c r="J88" s="6">
        <v>0</v>
      </c>
      <c r="K88" s="6">
        <v>11.668087779921912</v>
      </c>
      <c r="L88" s="6">
        <v>0</v>
      </c>
      <c r="M88" s="6">
        <v>0</v>
      </c>
      <c r="N88" s="6">
        <v>0</v>
      </c>
      <c r="O88" s="6">
        <v>17.502131669882868</v>
      </c>
      <c r="P88" s="6">
        <v>11.668087779921912</v>
      </c>
      <c r="Q88" s="6">
        <v>0</v>
      </c>
      <c r="R88" s="6">
        <v>0</v>
      </c>
      <c r="S88" s="6">
        <v>0</v>
      </c>
      <c r="T88" s="6">
        <v>0</v>
      </c>
      <c r="U88" s="6">
        <v>19.44681296653652</v>
      </c>
      <c r="V88" s="6">
        <v>0</v>
      </c>
      <c r="W88" s="6">
        <v>0</v>
      </c>
      <c r="X88" s="6">
        <v>0</v>
      </c>
      <c r="Y88" s="6">
        <v>0</v>
      </c>
      <c r="Z88" s="6">
        <v>0</v>
      </c>
      <c r="AA88" s="6">
        <v>0</v>
      </c>
      <c r="AB88" s="28">
        <v>60.285120196263215</v>
      </c>
      <c r="AD88" s="20">
        <v>2.8707200093458676</v>
      </c>
      <c r="AF88" s="36">
        <v>18.462925835440188</v>
      </c>
    </row>
    <row r="89" spans="1:34" outlineLevel="1">
      <c r="C89" t="s">
        <v>25</v>
      </c>
      <c r="D89" s="6">
        <v>0</v>
      </c>
      <c r="E89" s="6">
        <v>807.5</v>
      </c>
      <c r="F89" s="6">
        <v>35.890215261260451</v>
      </c>
      <c r="G89" s="6">
        <v>0</v>
      </c>
      <c r="H89" s="6">
        <v>0</v>
      </c>
      <c r="I89" s="6">
        <v>0</v>
      </c>
      <c r="J89" s="6">
        <v>0</v>
      </c>
      <c r="K89" s="6">
        <v>0</v>
      </c>
      <c r="L89" s="6">
        <v>0</v>
      </c>
      <c r="M89" s="6">
        <v>0</v>
      </c>
      <c r="N89" s="6">
        <v>23.336175559843824</v>
      </c>
      <c r="O89" s="6">
        <v>14.001705335906294</v>
      </c>
      <c r="P89" s="6">
        <v>7.7787251866146079</v>
      </c>
      <c r="Q89" s="6">
        <v>12.445960298583373</v>
      </c>
      <c r="R89" s="6">
        <v>0</v>
      </c>
      <c r="S89" s="6">
        <v>0</v>
      </c>
      <c r="T89" s="6">
        <v>0</v>
      </c>
      <c r="U89" s="6">
        <v>0</v>
      </c>
      <c r="V89" s="6">
        <v>0</v>
      </c>
      <c r="W89" s="6">
        <v>0</v>
      </c>
      <c r="X89" s="6">
        <v>0</v>
      </c>
      <c r="Y89" s="6">
        <v>10.501279001929721</v>
      </c>
      <c r="Z89" s="6">
        <v>62.67</v>
      </c>
      <c r="AA89" s="6">
        <v>30</v>
      </c>
      <c r="AB89" s="28">
        <v>1004.1240606441381</v>
      </c>
      <c r="AD89" s="20">
        <v>7.9344790782922985</v>
      </c>
      <c r="AF89" s="36">
        <v>13.896351597941235</v>
      </c>
    </row>
    <row r="90" spans="1:34" outlineLevel="2">
      <c r="C90" t="s">
        <v>26</v>
      </c>
      <c r="D90" s="6">
        <v>0</v>
      </c>
      <c r="E90" s="6">
        <v>0</v>
      </c>
      <c r="F90" s="6">
        <v>0</v>
      </c>
      <c r="G90" s="6">
        <v>0</v>
      </c>
      <c r="H90" s="6">
        <v>0</v>
      </c>
      <c r="I90" s="6">
        <v>0</v>
      </c>
      <c r="J90" s="6">
        <v>0</v>
      </c>
      <c r="K90" s="6">
        <v>0</v>
      </c>
      <c r="L90" s="6">
        <v>0</v>
      </c>
      <c r="M90" s="6">
        <v>0</v>
      </c>
      <c r="N90" s="6">
        <v>0</v>
      </c>
      <c r="O90" s="6">
        <v>0</v>
      </c>
      <c r="P90" s="6">
        <v>0</v>
      </c>
      <c r="Q90" s="6">
        <v>0</v>
      </c>
      <c r="R90" s="6">
        <v>0</v>
      </c>
      <c r="S90" s="6">
        <v>0</v>
      </c>
      <c r="T90" s="6">
        <v>0</v>
      </c>
      <c r="U90" s="6">
        <v>0</v>
      </c>
      <c r="V90" s="6">
        <v>0</v>
      </c>
      <c r="W90" s="6">
        <v>0</v>
      </c>
      <c r="X90" s="6">
        <v>0</v>
      </c>
      <c r="Y90" s="6">
        <v>0</v>
      </c>
      <c r="Z90" s="6">
        <v>0</v>
      </c>
      <c r="AA90" s="6">
        <v>0</v>
      </c>
      <c r="AB90" s="28">
        <v>0</v>
      </c>
      <c r="AD90" s="20">
        <v>0</v>
      </c>
      <c r="AF90" s="36">
        <v>10.994583105790259</v>
      </c>
    </row>
    <row r="91" spans="1:34" outlineLevel="1">
      <c r="C91" t="s">
        <v>24</v>
      </c>
      <c r="D91" s="6">
        <v>0</v>
      </c>
      <c r="E91" s="6">
        <v>0</v>
      </c>
      <c r="F91" s="6">
        <v>0</v>
      </c>
      <c r="G91" s="6">
        <v>0</v>
      </c>
      <c r="H91" s="6">
        <v>0</v>
      </c>
      <c r="I91" s="6">
        <v>0</v>
      </c>
      <c r="J91" s="6">
        <v>2.7225538153151128</v>
      </c>
      <c r="K91" s="6">
        <v>3.8893625933073039</v>
      </c>
      <c r="L91" s="6">
        <v>61.062992714924675</v>
      </c>
      <c r="M91" s="6">
        <v>54.451076306302255</v>
      </c>
      <c r="N91" s="6">
        <v>0</v>
      </c>
      <c r="O91" s="6">
        <v>0</v>
      </c>
      <c r="P91" s="6">
        <v>0</v>
      </c>
      <c r="Q91" s="6">
        <v>0</v>
      </c>
      <c r="R91" s="6">
        <v>0</v>
      </c>
      <c r="S91" s="6">
        <v>58.340438899609559</v>
      </c>
      <c r="T91" s="6">
        <v>0</v>
      </c>
      <c r="U91" s="6">
        <v>32.86511391344672</v>
      </c>
      <c r="V91" s="6">
        <v>7.7787251866146079</v>
      </c>
      <c r="W91" s="6">
        <v>13.612769076575564</v>
      </c>
      <c r="X91" s="6">
        <v>31.114900746458432</v>
      </c>
      <c r="Y91" s="6">
        <v>0</v>
      </c>
      <c r="Z91" s="6">
        <v>0</v>
      </c>
      <c r="AA91" s="6">
        <v>0</v>
      </c>
      <c r="AB91" s="28">
        <v>265.83793325255419</v>
      </c>
      <c r="AD91" s="20">
        <v>12.65894920250258</v>
      </c>
      <c r="AF91" s="36">
        <v>21.242819255221089</v>
      </c>
    </row>
    <row r="92" spans="1:34" outlineLevel="1">
      <c r="C92" s="9" t="s">
        <v>14</v>
      </c>
      <c r="D92" s="28">
        <v>0</v>
      </c>
      <c r="E92" s="28">
        <v>814.71</v>
      </c>
      <c r="F92" s="28">
        <v>123.78980987000553</v>
      </c>
      <c r="G92" s="28">
        <v>66.935930230818713</v>
      </c>
      <c r="H92" s="28">
        <v>80.509805681461202</v>
      </c>
      <c r="I92" s="28">
        <v>130.79363221588955</v>
      </c>
      <c r="J92" s="28">
        <v>81.871082589118743</v>
      </c>
      <c r="K92" s="28">
        <v>94.511511017367496</v>
      </c>
      <c r="L92" s="28">
        <v>199.17611333004231</v>
      </c>
      <c r="M92" s="28">
        <v>174.07237206240927</v>
      </c>
      <c r="N92" s="28">
        <v>154.23682134362519</v>
      </c>
      <c r="O92" s="28">
        <v>165.12703660488563</v>
      </c>
      <c r="P92" s="28">
        <v>91.011084683390905</v>
      </c>
      <c r="Q92" s="28">
        <v>87.121722090083608</v>
      </c>
      <c r="R92" s="28">
        <v>46.283414860356913</v>
      </c>
      <c r="S92" s="28">
        <v>122.51492168918008</v>
      </c>
      <c r="T92" s="28">
        <v>70.397462938862205</v>
      </c>
      <c r="U92" s="28">
        <v>149.15705545333512</v>
      </c>
      <c r="V92" s="28">
        <v>180.4664243294589</v>
      </c>
      <c r="W92" s="28">
        <v>61.062992714924661</v>
      </c>
      <c r="X92" s="28">
        <v>124.26513485616836</v>
      </c>
      <c r="Y92" s="28">
        <v>84.557450373229216</v>
      </c>
      <c r="Z92" s="28">
        <v>145.89999999999998</v>
      </c>
      <c r="AA92" s="28">
        <v>30</v>
      </c>
      <c r="AB92" s="28">
        <v>3278.4717789346137</v>
      </c>
      <c r="AD92" s="20">
        <v>115.89341804450544</v>
      </c>
      <c r="AF92" s="36">
        <v>101.6430696829097</v>
      </c>
    </row>
    <row r="93" spans="1:34" outlineLevel="1">
      <c r="D93" s="6"/>
      <c r="E93" s="6"/>
      <c r="F93" s="6"/>
      <c r="G93" s="6"/>
      <c r="H93" s="6"/>
      <c r="I93" s="6"/>
      <c r="J93" s="6"/>
      <c r="K93" s="6"/>
      <c r="L93" s="6"/>
      <c r="M93" s="6"/>
      <c r="N93" s="6"/>
      <c r="O93" s="6"/>
      <c r="P93" s="6"/>
      <c r="Q93" s="6"/>
      <c r="R93" s="6"/>
      <c r="S93" s="6"/>
      <c r="T93" s="6"/>
      <c r="U93" s="6"/>
      <c r="V93" s="6"/>
      <c r="W93" s="6"/>
      <c r="X93" s="6"/>
      <c r="Y93" s="6"/>
      <c r="Z93" s="6"/>
      <c r="AA93" s="6"/>
      <c r="AB93" s="28"/>
      <c r="AF93" s="43"/>
    </row>
    <row r="94" spans="1:34" outlineLevel="1">
      <c r="D94" s="6"/>
      <c r="E94" s="6"/>
      <c r="F94" s="6"/>
      <c r="G94" s="6"/>
      <c r="H94" s="6"/>
      <c r="I94" s="6"/>
      <c r="J94" s="6"/>
      <c r="K94" s="6"/>
      <c r="L94" s="6"/>
      <c r="M94" s="6"/>
      <c r="N94" s="6"/>
      <c r="O94" s="6"/>
      <c r="P94" s="6"/>
      <c r="Q94" s="6"/>
      <c r="R94" s="6"/>
      <c r="S94" s="6"/>
      <c r="T94" s="6"/>
      <c r="U94" s="6"/>
      <c r="V94" s="6"/>
      <c r="W94" s="6"/>
      <c r="X94" s="6"/>
      <c r="Y94" s="6"/>
      <c r="Z94" s="6"/>
      <c r="AA94" s="6"/>
      <c r="AB94" s="28"/>
      <c r="AF94" s="43"/>
    </row>
    <row r="95" spans="1:34" outlineLevel="1">
      <c r="C95" t="s">
        <v>61</v>
      </c>
      <c r="D95" s="6">
        <v>0</v>
      </c>
      <c r="E95" s="6">
        <v>814.71</v>
      </c>
      <c r="F95" s="6">
        <v>123.78980987000553</v>
      </c>
      <c r="G95" s="6">
        <v>66.935930230818713</v>
      </c>
      <c r="H95" s="6">
        <v>80.509805681461202</v>
      </c>
      <c r="I95" s="6">
        <v>130.79363221588955</v>
      </c>
      <c r="J95" s="6">
        <v>79.148528773803633</v>
      </c>
      <c r="K95" s="6">
        <v>90.622148424060185</v>
      </c>
      <c r="L95" s="6">
        <v>138.11312061511765</v>
      </c>
      <c r="M95" s="6">
        <v>119.62129575610703</v>
      </c>
      <c r="N95" s="6">
        <v>154.23682134362519</v>
      </c>
      <c r="O95" s="6">
        <v>165.12703660488563</v>
      </c>
      <c r="P95" s="6">
        <v>91.011084683390905</v>
      </c>
      <c r="Q95" s="6">
        <v>87.121722090083608</v>
      </c>
      <c r="R95" s="6">
        <v>46.283414860356913</v>
      </c>
      <c r="S95" s="6">
        <v>64.174482789570519</v>
      </c>
      <c r="T95" s="6">
        <v>70.397462938862205</v>
      </c>
      <c r="U95" s="6">
        <v>116.2919415398884</v>
      </c>
      <c r="V95" s="6">
        <v>172.68769914284431</v>
      </c>
      <c r="W95" s="6">
        <v>47.450223638349101</v>
      </c>
      <c r="X95" s="6">
        <v>93.150234109709928</v>
      </c>
      <c r="Y95" s="6">
        <v>84.557450373229216</v>
      </c>
      <c r="Z95" s="6">
        <v>145.89999999999998</v>
      </c>
      <c r="AA95" s="6">
        <v>30</v>
      </c>
      <c r="AB95" s="28">
        <v>3012.6338456820595</v>
      </c>
      <c r="AD95" s="20">
        <v>103.23446884200283</v>
      </c>
      <c r="AF95" s="37">
        <v>80.400250427688604</v>
      </c>
    </row>
    <row r="96" spans="1:34" outlineLevel="1">
      <c r="C96" t="s">
        <v>24</v>
      </c>
      <c r="D96" s="6">
        <v>0</v>
      </c>
      <c r="E96" s="6">
        <v>0</v>
      </c>
      <c r="F96" s="6">
        <v>0</v>
      </c>
      <c r="G96" s="6">
        <v>0</v>
      </c>
      <c r="H96" s="6">
        <v>0</v>
      </c>
      <c r="I96" s="6">
        <v>0</v>
      </c>
      <c r="J96" s="6">
        <v>2.7225538153151128</v>
      </c>
      <c r="K96" s="6">
        <v>3.8893625933073039</v>
      </c>
      <c r="L96" s="6">
        <v>61.062992714924675</v>
      </c>
      <c r="M96" s="6">
        <v>54.451076306302255</v>
      </c>
      <c r="N96" s="6">
        <v>0</v>
      </c>
      <c r="O96" s="6">
        <v>0</v>
      </c>
      <c r="P96" s="6">
        <v>0</v>
      </c>
      <c r="Q96" s="6">
        <v>0</v>
      </c>
      <c r="R96" s="6">
        <v>0</v>
      </c>
      <c r="S96" s="6">
        <v>58.340438899609559</v>
      </c>
      <c r="T96" s="6">
        <v>0</v>
      </c>
      <c r="U96" s="6">
        <v>32.86511391344672</v>
      </c>
      <c r="V96" s="6">
        <v>7.7787251866146079</v>
      </c>
      <c r="W96" s="6">
        <v>13.612769076575564</v>
      </c>
      <c r="X96" s="6">
        <v>31.114900746458432</v>
      </c>
      <c r="Y96" s="6">
        <v>0</v>
      </c>
      <c r="Z96" s="6">
        <v>0</v>
      </c>
      <c r="AA96" s="6">
        <v>0</v>
      </c>
      <c r="AB96" s="28">
        <v>265.83793325255419</v>
      </c>
      <c r="AD96" s="20">
        <v>12.65894920250258</v>
      </c>
      <c r="AF96" s="37">
        <v>21.242819255221089</v>
      </c>
    </row>
    <row r="97" spans="1:42" outlineLevel="1">
      <c r="D97" s="28">
        <v>0</v>
      </c>
      <c r="E97" s="28">
        <v>814.71</v>
      </c>
      <c r="F97" s="28">
        <v>123.78980987000553</v>
      </c>
      <c r="G97" s="28">
        <v>66.935930230818713</v>
      </c>
      <c r="H97" s="28">
        <v>80.509805681461202</v>
      </c>
      <c r="I97" s="28">
        <v>130.79363221588955</v>
      </c>
      <c r="J97" s="28">
        <v>81.871082589118743</v>
      </c>
      <c r="K97" s="28">
        <v>94.511511017367496</v>
      </c>
      <c r="L97" s="28">
        <v>199.17611333004231</v>
      </c>
      <c r="M97" s="28">
        <v>174.07237206240927</v>
      </c>
      <c r="N97" s="28">
        <v>154.23682134362519</v>
      </c>
      <c r="O97" s="28">
        <v>165.12703660488563</v>
      </c>
      <c r="P97" s="28">
        <v>91.011084683390905</v>
      </c>
      <c r="Q97" s="28">
        <v>87.121722090083608</v>
      </c>
      <c r="R97" s="28">
        <v>46.283414860356913</v>
      </c>
      <c r="S97" s="28">
        <v>122.51492168918008</v>
      </c>
      <c r="T97" s="28">
        <v>70.397462938862205</v>
      </c>
      <c r="U97" s="28">
        <v>149.15705545333512</v>
      </c>
      <c r="V97" s="28">
        <v>180.4664243294589</v>
      </c>
      <c r="W97" s="28">
        <v>61.062992714924661</v>
      </c>
      <c r="X97" s="28">
        <v>124.26513485616836</v>
      </c>
      <c r="Y97" s="28">
        <v>84.557450373229216</v>
      </c>
      <c r="Z97" s="28">
        <v>145.89999999999998</v>
      </c>
      <c r="AA97" s="28">
        <v>30</v>
      </c>
      <c r="AB97" s="28">
        <v>3278.4717789346137</v>
      </c>
      <c r="AD97" s="20">
        <v>115.89341804450541</v>
      </c>
      <c r="AF97" s="38">
        <v>101.6430696829097</v>
      </c>
    </row>
    <row r="98" spans="1:42">
      <c r="A98" s="9" t="s">
        <v>98</v>
      </c>
    </row>
    <row r="99" spans="1:42">
      <c r="AB99" s="28">
        <v>0</v>
      </c>
    </row>
    <row r="100" spans="1:42" ht="115.2" hidden="1" outlineLevel="1">
      <c r="D100" s="18"/>
      <c r="E100" s="17"/>
      <c r="F100" s="17"/>
      <c r="G100" s="33" t="s">
        <v>74</v>
      </c>
      <c r="H100" s="17" t="s">
        <v>78</v>
      </c>
      <c r="I100" s="17"/>
      <c r="J100" s="17"/>
      <c r="K100" s="17"/>
      <c r="M100" s="17"/>
      <c r="N100" s="17" t="s">
        <v>81</v>
      </c>
      <c r="O100" s="17"/>
      <c r="P100" s="17" t="s">
        <v>93</v>
      </c>
      <c r="Q100" s="17" t="s">
        <v>92</v>
      </c>
      <c r="R100" s="17" t="s">
        <v>91</v>
      </c>
      <c r="S100" s="17"/>
      <c r="T100" s="17"/>
      <c r="U100" s="17"/>
      <c r="V100" s="17"/>
      <c r="W100" s="17"/>
      <c r="X100" s="17"/>
      <c r="Y100" s="17"/>
      <c r="Z100" s="17"/>
      <c r="AA100" s="17"/>
      <c r="AB100" s="3"/>
      <c r="AC100" s="18"/>
    </row>
    <row r="101" spans="1:42" collapsed="1">
      <c r="A101" s="9" t="s">
        <v>95</v>
      </c>
    </row>
    <row r="103" spans="1:42" ht="15" thickBot="1">
      <c r="F103" s="2" t="s">
        <v>52</v>
      </c>
      <c r="G103" s="2" t="s">
        <v>52</v>
      </c>
      <c r="H103" s="2" t="s">
        <v>52</v>
      </c>
      <c r="I103" s="2" t="s">
        <v>52</v>
      </c>
      <c r="J103" s="2" t="s">
        <v>52</v>
      </c>
      <c r="K103" s="2" t="s">
        <v>52</v>
      </c>
      <c r="L103" s="2" t="s">
        <v>52</v>
      </c>
      <c r="M103" s="2" t="s">
        <v>52</v>
      </c>
      <c r="N103" s="2" t="s">
        <v>157</v>
      </c>
      <c r="O103" s="2" t="s">
        <v>157</v>
      </c>
      <c r="P103" s="2" t="s">
        <v>80</v>
      </c>
      <c r="Q103" s="2" t="s">
        <v>52</v>
      </c>
    </row>
    <row r="104" spans="1:42" s="18" customFormat="1" ht="54" customHeight="1" thickBot="1">
      <c r="A104" s="18" t="s">
        <v>8</v>
      </c>
      <c r="E104" s="17"/>
      <c r="F104" s="17" t="s">
        <v>155</v>
      </c>
      <c r="G104" s="17" t="s">
        <v>155</v>
      </c>
      <c r="H104" s="17" t="s">
        <v>156</v>
      </c>
      <c r="I104" s="17" t="s">
        <v>156</v>
      </c>
      <c r="J104" s="17" t="s">
        <v>156</v>
      </c>
      <c r="K104" s="17" t="s">
        <v>156</v>
      </c>
      <c r="L104" s="17" t="s">
        <v>159</v>
      </c>
      <c r="M104" s="17" t="s">
        <v>159</v>
      </c>
      <c r="N104" s="17" t="s">
        <v>160</v>
      </c>
      <c r="O104" s="17" t="s">
        <v>160</v>
      </c>
      <c r="P104" s="17"/>
      <c r="Q104" s="17" t="s">
        <v>159</v>
      </c>
      <c r="R104" s="45" t="s">
        <v>163</v>
      </c>
      <c r="S104" s="45" t="s">
        <v>163</v>
      </c>
      <c r="T104" s="17" t="s">
        <v>159</v>
      </c>
      <c r="U104" s="17" t="s">
        <v>159</v>
      </c>
      <c r="V104" s="17" t="s">
        <v>162</v>
      </c>
      <c r="W104" s="17" t="s">
        <v>159</v>
      </c>
      <c r="X104" s="17" t="s">
        <v>159</v>
      </c>
      <c r="Y104" s="17" t="s">
        <v>172</v>
      </c>
      <c r="Z104" s="17"/>
      <c r="AA104" s="17"/>
      <c r="AB104" s="17"/>
      <c r="AM104"/>
      <c r="AN104"/>
      <c r="AO104"/>
      <c r="AP104"/>
    </row>
    <row r="105" spans="1:42">
      <c r="F105" s="6">
        <v>36.17107211775793</v>
      </c>
      <c r="G105" s="6">
        <v>37.182306392017829</v>
      </c>
      <c r="H105" s="6">
        <v>33.059582043112087</v>
      </c>
      <c r="I105" s="6">
        <v>97.539582043112091</v>
      </c>
      <c r="J105" s="6">
        <v>31.114900746458432</v>
      </c>
      <c r="K105" s="6">
        <v>31.114900746458432</v>
      </c>
      <c r="L105" s="6">
        <v>111.27651872129725</v>
      </c>
      <c r="M105" s="6">
        <v>73.726817155080852</v>
      </c>
      <c r="N105" s="6">
        <v>98.23</v>
      </c>
      <c r="O105" s="6">
        <v>98.23</v>
      </c>
      <c r="P105" s="6">
        <v>38.893625933073039</v>
      </c>
      <c r="Q105" s="6">
        <v>35.004263339765735</v>
      </c>
      <c r="R105" s="6">
        <v>38.893625933073039</v>
      </c>
      <c r="S105" s="6">
        <v>38.893625933073039</v>
      </c>
      <c r="T105" s="6">
        <v>38.893625933073039</v>
      </c>
      <c r="U105" s="6">
        <v>36.948944636419391</v>
      </c>
      <c r="V105" s="6">
        <v>132.23832817244835</v>
      </c>
      <c r="W105" s="6">
        <v>35.004263339765735</v>
      </c>
      <c r="X105" s="6">
        <v>35.004263339765735</v>
      </c>
      <c r="Y105" s="6">
        <v>60</v>
      </c>
      <c r="Z105" s="6">
        <v>71.099999999999994</v>
      </c>
      <c r="AA105" s="6">
        <v>0</v>
      </c>
      <c r="AB105" s="28">
        <v>1208.5202465257519</v>
      </c>
    </row>
    <row r="106" spans="1:42">
      <c r="R106" s="2" t="s">
        <v>166</v>
      </c>
      <c r="W106" s="2" t="s">
        <v>165</v>
      </c>
    </row>
    <row r="107" spans="1:42">
      <c r="R107" s="2" t="s">
        <v>164</v>
      </c>
      <c r="W107" s="2" t="s">
        <v>167</v>
      </c>
    </row>
    <row r="108" spans="1:42">
      <c r="R108" s="2" t="s">
        <v>169</v>
      </c>
      <c r="W108" s="2" t="s">
        <v>168</v>
      </c>
      <c r="AM108" s="18"/>
      <c r="AN108" s="18"/>
      <c r="AO108" s="18"/>
      <c r="AP108" s="18"/>
    </row>
    <row r="109" spans="1:42">
      <c r="R109" s="2" t="s">
        <v>171</v>
      </c>
      <c r="W109" s="2" t="s">
        <v>170</v>
      </c>
    </row>
    <row r="110" spans="1:42">
      <c r="AC110" s="26"/>
    </row>
    <row r="111" spans="1:42">
      <c r="AC111" s="26"/>
    </row>
    <row r="112" spans="1:42">
      <c r="AC112" s="26"/>
    </row>
    <row r="113" spans="29:29">
      <c r="AC113" s="26"/>
    </row>
    <row r="114" spans="29:29">
      <c r="AC114" s="26"/>
    </row>
    <row r="115" spans="29:29">
      <c r="AC115" s="26"/>
    </row>
    <row r="116" spans="29:29">
      <c r="AC116" s="26"/>
    </row>
    <row r="117" spans="29:29">
      <c r="AC117" s="26"/>
    </row>
    <row r="118" spans="29:29">
      <c r="AC118" s="26"/>
    </row>
    <row r="119" spans="29:29">
      <c r="AC119" s="26"/>
    </row>
    <row r="120" spans="29:29">
      <c r="AC120" s="26"/>
    </row>
    <row r="121" spans="29:29">
      <c r="AC121" s="26"/>
    </row>
    <row r="122" spans="29:29">
      <c r="AC122" s="26"/>
    </row>
    <row r="123" spans="29:29">
      <c r="AC123" s="26"/>
    </row>
    <row r="124" spans="29:29">
      <c r="AC124" s="26"/>
    </row>
    <row r="125" spans="29:29">
      <c r="AC125" s="26"/>
    </row>
    <row r="126" spans="29:29">
      <c r="AC126" s="26"/>
    </row>
    <row r="127" spans="29:29">
      <c r="AC127" s="26"/>
    </row>
    <row r="128" spans="29:29">
      <c r="AC128" s="26"/>
    </row>
    <row r="129" spans="29:29">
      <c r="AC129" s="26"/>
    </row>
    <row r="130" spans="29:29">
      <c r="AC130" s="26"/>
    </row>
    <row r="131" spans="29:29">
      <c r="AC131" s="26"/>
    </row>
    <row r="132" spans="29:29">
      <c r="AC132" s="26"/>
    </row>
    <row r="133" spans="29:29">
      <c r="AC133" s="26"/>
    </row>
    <row r="134" spans="29:29">
      <c r="AC134" s="26"/>
    </row>
    <row r="135" spans="29:29">
      <c r="AC135" s="26"/>
    </row>
    <row r="136" spans="29:29">
      <c r="AC136" s="26"/>
    </row>
    <row r="137" spans="29:29">
      <c r="AC137" s="26"/>
    </row>
    <row r="138" spans="29:29">
      <c r="AC138" s="26"/>
    </row>
    <row r="139" spans="29:29">
      <c r="AC139" s="26"/>
    </row>
    <row r="140" spans="29:29">
      <c r="AC140" s="26"/>
    </row>
    <row r="141" spans="29:29">
      <c r="AC141" s="26"/>
    </row>
    <row r="142" spans="29:29">
      <c r="AC142" s="26"/>
    </row>
    <row r="143" spans="29:29">
      <c r="AC143" s="26"/>
    </row>
    <row r="144" spans="29:29">
      <c r="AC144" s="26"/>
    </row>
    <row r="145" spans="29:29">
      <c r="AC145" s="26"/>
    </row>
    <row r="146" spans="29:29">
      <c r="AC146" s="26"/>
    </row>
    <row r="147" spans="29:29">
      <c r="AC147" s="26"/>
    </row>
    <row r="148" spans="29:29">
      <c r="AC148" s="26"/>
    </row>
    <row r="149" spans="29:29">
      <c r="AC149" s="26"/>
    </row>
    <row r="150" spans="29:29">
      <c r="AC150" s="26"/>
    </row>
    <row r="151" spans="29:29">
      <c r="AC151" s="26"/>
    </row>
    <row r="152" spans="29:29">
      <c r="AC152" s="26"/>
    </row>
    <row r="153" spans="29:29">
      <c r="AC153" s="26"/>
    </row>
    <row r="154" spans="29:29">
      <c r="AC154" s="26"/>
    </row>
    <row r="155" spans="29:29">
      <c r="AC155" s="26"/>
    </row>
    <row r="156" spans="29:29">
      <c r="AC156" s="26"/>
    </row>
    <row r="157" spans="29:29">
      <c r="AC157" s="26"/>
    </row>
    <row r="158" spans="29:29">
      <c r="AC158" s="26"/>
    </row>
    <row r="159" spans="29:29">
      <c r="AC159" s="26"/>
    </row>
    <row r="160" spans="29:29">
      <c r="AC160" s="26"/>
    </row>
    <row r="161" spans="29:29">
      <c r="AC161" s="26"/>
    </row>
  </sheetData>
  <autoFilter ref="B6:AB23"/>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2:S33"/>
  <sheetViews>
    <sheetView zoomScale="115" zoomScaleNormal="115" workbookViewId="0">
      <selection activeCell="B22" sqref="B22"/>
    </sheetView>
  </sheetViews>
  <sheetFormatPr baseColWidth="10" defaultRowHeight="14.4"/>
  <cols>
    <col min="1" max="1" width="5.44140625" customWidth="1"/>
    <col min="2" max="2" width="6.88671875" customWidth="1"/>
    <col min="3" max="4" width="9.5546875" style="2" customWidth="1"/>
    <col min="5" max="5" width="10.44140625" style="2" bestFit="1" customWidth="1"/>
    <col min="6" max="7" width="11" style="2" customWidth="1"/>
    <col min="8" max="10" width="9.5546875" style="2" customWidth="1"/>
    <col min="11" max="11" width="2.33203125" style="2" customWidth="1"/>
    <col min="12" max="12" width="11.5546875" style="2" customWidth="1"/>
    <col min="13" max="13" width="11.5546875" style="2"/>
    <col min="14" max="14" width="2.44140625" style="2" customWidth="1"/>
    <col min="15" max="16" width="11.5546875" style="2"/>
    <col min="17" max="17" width="11.44140625" customWidth="1"/>
    <col min="21" max="21" width="11.44140625" customWidth="1"/>
    <col min="40" max="40" width="11.44140625" customWidth="1"/>
  </cols>
  <sheetData>
    <row r="2" spans="2:19" ht="15" thickBot="1">
      <c r="B2" s="9"/>
      <c r="C2" s="4" t="s">
        <v>1143</v>
      </c>
      <c r="D2" s="4"/>
    </row>
    <row r="3" spans="2:19" ht="15" thickBot="1">
      <c r="C3" s="4" t="s">
        <v>791</v>
      </c>
      <c r="D3" s="4" t="s">
        <v>709</v>
      </c>
      <c r="E3" s="4" t="s">
        <v>796</v>
      </c>
      <c r="F3" s="4" t="s">
        <v>794</v>
      </c>
      <c r="G3" s="4" t="s">
        <v>795</v>
      </c>
      <c r="H3" s="146">
        <v>4</v>
      </c>
      <c r="I3" s="4" t="s">
        <v>712</v>
      </c>
      <c r="J3" s="4" t="s">
        <v>713</v>
      </c>
      <c r="K3" s="4"/>
      <c r="L3" s="4" t="s">
        <v>714</v>
      </c>
      <c r="M3" s="4" t="s">
        <v>715</v>
      </c>
      <c r="O3" s="4" t="s">
        <v>793</v>
      </c>
      <c r="P3" s="4" t="s">
        <v>792</v>
      </c>
    </row>
    <row r="4" spans="2:19">
      <c r="D4" s="5">
        <v>45084</v>
      </c>
      <c r="E4" s="2" t="s">
        <v>1141</v>
      </c>
      <c r="F4" s="2">
        <v>45693</v>
      </c>
      <c r="J4" s="233"/>
      <c r="L4" s="400"/>
    </row>
    <row r="5" spans="2:19">
      <c r="C5" s="2">
        <f t="shared" ref="C5:C6" si="0">D5-D4</f>
        <v>30</v>
      </c>
      <c r="D5" s="5">
        <v>45114</v>
      </c>
      <c r="E5" s="2" t="s">
        <v>1140</v>
      </c>
      <c r="F5" s="2">
        <v>46452</v>
      </c>
      <c r="I5" s="2">
        <f>F5-F4</f>
        <v>759</v>
      </c>
      <c r="J5" s="29">
        <f>I5*$H$3</f>
        <v>3036</v>
      </c>
      <c r="L5" s="4">
        <f>+I5/C5</f>
        <v>25.3</v>
      </c>
      <c r="M5" s="14">
        <f>L5*$H$3</f>
        <v>101.2</v>
      </c>
      <c r="O5" s="404">
        <f>J5/25</f>
        <v>121.44</v>
      </c>
      <c r="P5" s="404">
        <f>+O5/C5</f>
        <v>4.048</v>
      </c>
      <c r="Q5" s="29">
        <v>11000</v>
      </c>
      <c r="R5" s="159">
        <f>+J5+Q5</f>
        <v>14036</v>
      </c>
      <c r="S5">
        <f>+R5/31</f>
        <v>452.77419354838707</v>
      </c>
    </row>
    <row r="6" spans="2:19">
      <c r="C6" s="2">
        <f t="shared" si="0"/>
        <v>3</v>
      </c>
      <c r="D6" s="5">
        <v>45117</v>
      </c>
      <c r="E6" s="2" t="s">
        <v>1146</v>
      </c>
      <c r="F6" s="2">
        <v>46731</v>
      </c>
      <c r="I6" s="2">
        <f>F6-F5</f>
        <v>279</v>
      </c>
      <c r="J6" s="29">
        <f>I6*$H$3</f>
        <v>1116</v>
      </c>
      <c r="L6" s="4">
        <f>+I6/C6</f>
        <v>93</v>
      </c>
      <c r="M6" s="426">
        <f>L6*$H$3</f>
        <v>372</v>
      </c>
      <c r="O6" s="404">
        <f>J6/25</f>
        <v>44.64</v>
      </c>
      <c r="P6" s="404">
        <f>+O6/C6</f>
        <v>14.88</v>
      </c>
    </row>
    <row r="7" spans="2:19">
      <c r="C7" s="2">
        <v>0.5</v>
      </c>
      <c r="D7" s="5">
        <v>45118</v>
      </c>
      <c r="E7" s="2" t="s">
        <v>1147</v>
      </c>
      <c r="F7" s="2">
        <v>46744</v>
      </c>
      <c r="I7" s="2">
        <f>F7-F6</f>
        <v>13</v>
      </c>
      <c r="J7" s="29">
        <f>I7*$H$3</f>
        <v>52</v>
      </c>
      <c r="L7" s="4">
        <f>+I7/C7</f>
        <v>26</v>
      </c>
      <c r="M7" s="426">
        <f>L7*$H$3</f>
        <v>104</v>
      </c>
      <c r="O7" s="404">
        <f>J7/25</f>
        <v>2.08</v>
      </c>
      <c r="P7" s="404">
        <f>+O7/C7</f>
        <v>4.16</v>
      </c>
      <c r="Q7" t="s">
        <v>1148</v>
      </c>
    </row>
    <row r="10" spans="2:19">
      <c r="J10" s="2">
        <f>+J5/31</f>
        <v>97.935483870967744</v>
      </c>
      <c r="Q10">
        <f>+Q5/31</f>
        <v>354.83870967741933</v>
      </c>
      <c r="R10">
        <f>+R5/31</f>
        <v>452.77419354838707</v>
      </c>
    </row>
    <row r="12" spans="2:19">
      <c r="E12" s="2" t="s">
        <v>1149</v>
      </c>
    </row>
    <row r="17" spans="3:16" ht="15" thickBot="1">
      <c r="C17" s="4" t="s">
        <v>1142</v>
      </c>
    </row>
    <row r="18" spans="3:16" ht="15" thickBot="1">
      <c r="C18" s="4" t="s">
        <v>791</v>
      </c>
      <c r="D18" s="4" t="s">
        <v>709</v>
      </c>
      <c r="E18" s="4" t="s">
        <v>796</v>
      </c>
      <c r="F18" s="4" t="s">
        <v>794</v>
      </c>
      <c r="G18" s="4" t="s">
        <v>795</v>
      </c>
      <c r="H18" s="146">
        <v>4</v>
      </c>
      <c r="I18" s="4" t="s">
        <v>712</v>
      </c>
      <c r="J18" s="4" t="s">
        <v>713</v>
      </c>
      <c r="K18" s="4"/>
      <c r="L18" s="4" t="s">
        <v>714</v>
      </c>
      <c r="M18" s="4" t="s">
        <v>715</v>
      </c>
      <c r="O18" s="4" t="s">
        <v>793</v>
      </c>
      <c r="P18" s="4" t="s">
        <v>792</v>
      </c>
    </row>
    <row r="19" spans="3:16">
      <c r="D19" s="5">
        <v>44886</v>
      </c>
      <c r="E19" s="2" t="s">
        <v>710</v>
      </c>
      <c r="F19" s="2">
        <v>31940</v>
      </c>
      <c r="G19" s="2">
        <v>9711</v>
      </c>
      <c r="H19" s="191">
        <v>41667</v>
      </c>
    </row>
    <row r="20" spans="3:16">
      <c r="C20" s="2">
        <f t="shared" ref="C20:C25" si="1">D20-D19</f>
        <v>28</v>
      </c>
      <c r="D20" s="5">
        <v>44914</v>
      </c>
      <c r="E20" s="2" t="s">
        <v>711</v>
      </c>
      <c r="F20" s="2">
        <v>32099</v>
      </c>
      <c r="G20" s="2">
        <v>9763</v>
      </c>
      <c r="H20" s="2">
        <f t="shared" ref="H20:H25" si="2">SUM(F20:G20)</f>
        <v>41862</v>
      </c>
      <c r="I20" s="2">
        <f t="shared" ref="I20:I25" si="3">H20-H19</f>
        <v>195</v>
      </c>
      <c r="J20" s="29">
        <f t="shared" ref="J20:J25" si="4">I20*$H$18</f>
        <v>780</v>
      </c>
      <c r="L20" s="14">
        <f t="shared" ref="L20:L26" si="5">I20/C20</f>
        <v>6.9642857142857144</v>
      </c>
      <c r="M20" s="14">
        <f t="shared" ref="M20:M25" si="6">L20*$H$18</f>
        <v>27.857142857142858</v>
      </c>
      <c r="O20" s="404">
        <f>J20/'cash IX'!$O$23</f>
        <v>30.758030758030756</v>
      </c>
      <c r="P20" s="434">
        <f>M20/'cash IX'!$O$23</f>
        <v>1.0985010985010986</v>
      </c>
    </row>
    <row r="21" spans="3:16">
      <c r="C21" s="2">
        <f t="shared" si="1"/>
        <v>9</v>
      </c>
      <c r="D21" s="5">
        <v>44923</v>
      </c>
      <c r="E21" s="2" t="s">
        <v>724</v>
      </c>
      <c r="F21" s="2">
        <v>32130</v>
      </c>
      <c r="G21" s="2">
        <v>9777</v>
      </c>
      <c r="H21" s="2">
        <f t="shared" si="2"/>
        <v>41907</v>
      </c>
      <c r="I21" s="2">
        <f t="shared" si="3"/>
        <v>45</v>
      </c>
      <c r="J21" s="29">
        <f t="shared" si="4"/>
        <v>180</v>
      </c>
      <c r="L21" s="14">
        <f t="shared" si="5"/>
        <v>5</v>
      </c>
      <c r="M21" s="14">
        <f t="shared" si="6"/>
        <v>20</v>
      </c>
      <c r="O21" s="404">
        <f>J21/'cash IX'!$O$23</f>
        <v>7.0980070980070975</v>
      </c>
      <c r="P21" s="434">
        <f>M21/'cash IX'!$O$23</f>
        <v>0.78866745533412197</v>
      </c>
    </row>
    <row r="22" spans="3:16">
      <c r="C22" s="2">
        <f t="shared" si="1"/>
        <v>28</v>
      </c>
      <c r="D22" s="5">
        <v>44951</v>
      </c>
      <c r="E22" s="2" t="s">
        <v>790</v>
      </c>
      <c r="F22" s="2">
        <v>32386</v>
      </c>
      <c r="G22" s="2">
        <v>9846</v>
      </c>
      <c r="H22" s="2">
        <f t="shared" si="2"/>
        <v>42232</v>
      </c>
      <c r="I22" s="2">
        <f t="shared" si="3"/>
        <v>325</v>
      </c>
      <c r="J22" s="29">
        <f t="shared" si="4"/>
        <v>1300</v>
      </c>
      <c r="L22" s="435">
        <f t="shared" si="5"/>
        <v>11.607142857142858</v>
      </c>
      <c r="M22" s="14">
        <f t="shared" si="6"/>
        <v>46.428571428571431</v>
      </c>
      <c r="O22" s="404">
        <f>J22/'cash IX'!$O$23</f>
        <v>51.263384596717927</v>
      </c>
      <c r="P22" s="434">
        <f>M22/'cash IX'!$O$23</f>
        <v>1.8308351641684975</v>
      </c>
    </row>
    <row r="23" spans="3:16">
      <c r="C23" s="2">
        <f t="shared" si="1"/>
        <v>22</v>
      </c>
      <c r="D23" s="5">
        <v>44973</v>
      </c>
      <c r="E23" s="2" t="s">
        <v>852</v>
      </c>
      <c r="F23" s="2">
        <v>32518</v>
      </c>
      <c r="G23" s="2">
        <v>9892</v>
      </c>
      <c r="H23" s="2">
        <f t="shared" si="2"/>
        <v>42410</v>
      </c>
      <c r="I23" s="2">
        <f t="shared" si="3"/>
        <v>178</v>
      </c>
      <c r="J23" s="29">
        <f t="shared" si="4"/>
        <v>712</v>
      </c>
      <c r="L23" s="14">
        <f t="shared" si="5"/>
        <v>8.0909090909090917</v>
      </c>
      <c r="M23" s="14">
        <f t="shared" si="6"/>
        <v>32.363636363636367</v>
      </c>
      <c r="O23" s="404">
        <f>J23/'cash IX'!$O$23</f>
        <v>28.076561409894744</v>
      </c>
      <c r="P23" s="434">
        <f>M23/'cash IX'!$O$23</f>
        <v>1.2762073368133975</v>
      </c>
    </row>
    <row r="24" spans="3:16">
      <c r="C24" s="2">
        <f t="shared" si="1"/>
        <v>17</v>
      </c>
      <c r="D24" s="5">
        <v>44990</v>
      </c>
      <c r="E24" s="2" t="s">
        <v>973</v>
      </c>
      <c r="F24" s="2">
        <v>32586</v>
      </c>
      <c r="G24" s="2">
        <v>9927</v>
      </c>
      <c r="H24" s="2">
        <f t="shared" si="2"/>
        <v>42513</v>
      </c>
      <c r="I24" s="2">
        <f t="shared" si="3"/>
        <v>103</v>
      </c>
      <c r="J24" s="29">
        <f t="shared" si="4"/>
        <v>412</v>
      </c>
      <c r="L24" s="14">
        <f t="shared" si="5"/>
        <v>6.0588235294117645</v>
      </c>
      <c r="M24" s="14">
        <f t="shared" si="6"/>
        <v>24.235294117647058</v>
      </c>
      <c r="O24" s="404">
        <f>J24/'cash IX'!$O$23</f>
        <v>16.246549579882913</v>
      </c>
      <c r="P24" s="434">
        <f>M24/'cash IX'!$O$23</f>
        <v>0.955679387051936</v>
      </c>
    </row>
    <row r="25" spans="3:16">
      <c r="C25" s="2">
        <f t="shared" si="1"/>
        <v>4</v>
      </c>
      <c r="D25" s="5">
        <v>44994</v>
      </c>
      <c r="E25" s="2" t="s">
        <v>976</v>
      </c>
      <c r="F25" s="2">
        <v>32598</v>
      </c>
      <c r="G25" s="2">
        <v>9935</v>
      </c>
      <c r="H25" s="2">
        <f t="shared" si="2"/>
        <v>42533</v>
      </c>
      <c r="I25" s="2">
        <f t="shared" si="3"/>
        <v>20</v>
      </c>
      <c r="J25" s="29">
        <f t="shared" si="4"/>
        <v>80</v>
      </c>
      <c r="L25" s="14">
        <f t="shared" si="5"/>
        <v>5</v>
      </c>
      <c r="M25" s="14">
        <f t="shared" si="6"/>
        <v>20</v>
      </c>
      <c r="O25" s="404">
        <f>J25/'cash IX'!$O$23</f>
        <v>3.1546698213364879</v>
      </c>
      <c r="P25" s="434">
        <f>M25/'cash IX'!$O$23</f>
        <v>0.78866745533412197</v>
      </c>
    </row>
    <row r="26" spans="3:16">
      <c r="C26" s="4">
        <f>SUM(C20:C25)</f>
        <v>108</v>
      </c>
      <c r="I26" s="2">
        <f>SUM(I20:I25)</f>
        <v>866</v>
      </c>
      <c r="J26" s="29">
        <f>SUM(J20:J25)</f>
        <v>3464</v>
      </c>
      <c r="L26" s="14">
        <f t="shared" si="5"/>
        <v>8.018518518518519</v>
      </c>
      <c r="M26" s="29">
        <f>J26/C26</f>
        <v>32.074074074074076</v>
      </c>
      <c r="O26" s="404">
        <f>SUM(O20:O25)</f>
        <v>136.59720326386991</v>
      </c>
      <c r="P26" s="434">
        <f>O26/C26</f>
        <v>1.2647889191099067</v>
      </c>
    </row>
    <row r="28" spans="3:16">
      <c r="E28" s="2" t="s">
        <v>797</v>
      </c>
      <c r="F28" s="2">
        <v>1580</v>
      </c>
    </row>
    <row r="29" spans="3:16">
      <c r="H29" s="2" t="s">
        <v>853</v>
      </c>
      <c r="I29" s="2" t="s">
        <v>854</v>
      </c>
      <c r="J29" s="29">
        <v>960</v>
      </c>
    </row>
    <row r="30" spans="3:16">
      <c r="H30" s="2" t="s">
        <v>853</v>
      </c>
      <c r="I30" s="2" t="s">
        <v>855</v>
      </c>
      <c r="J30" s="29">
        <v>1296</v>
      </c>
      <c r="M30" s="4" t="s">
        <v>857</v>
      </c>
      <c r="O30" s="233">
        <f>+J26+J33</f>
        <v>3464</v>
      </c>
    </row>
    <row r="31" spans="3:16">
      <c r="J31" s="233">
        <f>SUM(J29:J30)</f>
        <v>2256</v>
      </c>
    </row>
    <row r="32" spans="3:16">
      <c r="H32" s="2" t="s">
        <v>856</v>
      </c>
      <c r="I32" s="2" t="s">
        <v>977</v>
      </c>
      <c r="J32" s="29">
        <f>J26-J31</f>
        <v>1208</v>
      </c>
    </row>
    <row r="33" spans="10:10">
      <c r="J33" s="29"/>
    </row>
  </sheetData>
  <sortState ref="A40:C43">
    <sortCondition descending="1" ref="B40:B43"/>
  </sortState>
  <phoneticPr fontId="1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R159"/>
  <sheetViews>
    <sheetView topLeftCell="A5" workbookViewId="0">
      <selection activeCell="I21" sqref="I21"/>
    </sheetView>
  </sheetViews>
  <sheetFormatPr baseColWidth="10" defaultRowHeight="14.4" outlineLevelRow="2" outlineLevelCol="1"/>
  <cols>
    <col min="1" max="1" width="16.5546875" bestFit="1" customWidth="1"/>
    <col min="3" max="3" width="17.6640625" bestFit="1" customWidth="1"/>
    <col min="4" max="4" width="7.6640625" customWidth="1"/>
    <col min="5" max="5" width="8" style="2" customWidth="1"/>
    <col min="6" max="6" width="7.6640625" style="2" customWidth="1"/>
    <col min="7" max="7" width="9.33203125" style="2" customWidth="1" outlineLevel="1"/>
    <col min="8" max="8" width="8.5546875" style="2" customWidth="1" outlineLevel="1"/>
    <col min="9" max="9" width="8.109375" style="2" customWidth="1" outlineLevel="1"/>
    <col min="10" max="10" width="9.44140625" style="2" customWidth="1" outlineLevel="1"/>
    <col min="11" max="11" width="8.109375" style="2" customWidth="1" outlineLevel="1"/>
    <col min="12" max="12" width="8.44140625" style="2" customWidth="1" outlineLevel="1"/>
    <col min="13" max="13" width="8.109375" style="2" customWidth="1" outlineLevel="1"/>
    <col min="14" max="14" width="8.33203125" style="2" customWidth="1" outlineLevel="1"/>
    <col min="15" max="15" width="9.109375" style="2" bestFit="1" customWidth="1"/>
    <col min="16" max="17" width="6.88671875" style="2" customWidth="1"/>
    <col min="18" max="20" width="6.88671875" style="2" customWidth="1" outlineLevel="1"/>
    <col min="21" max="21" width="9.44140625" style="2" customWidth="1" outlineLevel="1"/>
    <col min="22" max="23" width="6.88671875" style="2" customWidth="1" outlineLevel="1"/>
    <col min="24" max="26" width="8.109375" style="2" customWidth="1" outlineLevel="1"/>
    <col min="27" max="27" width="8.109375" style="2" bestFit="1" customWidth="1"/>
    <col min="28" max="28" width="6.88671875" style="2" customWidth="1"/>
    <col min="29" max="29" width="11.44140625" style="4"/>
    <col min="30" max="30" width="6.88671875" style="2" customWidth="1"/>
    <col min="31" max="31" width="7.6640625" customWidth="1"/>
    <col min="32" max="32" width="5.5546875" style="2" bestFit="1" customWidth="1"/>
    <col min="33" max="38" width="0.33203125" style="2" customWidth="1"/>
  </cols>
  <sheetData>
    <row r="1" spans="1:44">
      <c r="AF1" s="2">
        <v>1</v>
      </c>
      <c r="AG1" s="2">
        <v>2</v>
      </c>
      <c r="AH1" s="2">
        <v>3</v>
      </c>
      <c r="AI1" s="2">
        <v>4</v>
      </c>
      <c r="AJ1" s="2">
        <v>5</v>
      </c>
      <c r="AK1" s="2">
        <v>6</v>
      </c>
      <c r="AL1" s="2">
        <v>7</v>
      </c>
    </row>
    <row r="2" spans="1:44">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C2" s="2"/>
      <c r="AF2" s="2" t="s">
        <v>84</v>
      </c>
      <c r="AG2" s="2" t="s">
        <v>85</v>
      </c>
      <c r="AH2" s="2" t="s">
        <v>86</v>
      </c>
      <c r="AI2" s="2" t="s">
        <v>87</v>
      </c>
      <c r="AJ2" s="2" t="s">
        <v>88</v>
      </c>
      <c r="AK2" s="2" t="s">
        <v>89</v>
      </c>
      <c r="AL2" s="2" t="s">
        <v>90</v>
      </c>
    </row>
    <row r="3" spans="1:44">
      <c r="E3" s="2" t="s">
        <v>86</v>
      </c>
      <c r="F3" s="2" t="s">
        <v>87</v>
      </c>
      <c r="G3" s="2" t="s">
        <v>88</v>
      </c>
      <c r="H3" s="2" t="s">
        <v>89</v>
      </c>
      <c r="I3" s="2" t="s">
        <v>90</v>
      </c>
      <c r="J3" s="2" t="s">
        <v>84</v>
      </c>
      <c r="K3" s="2" t="s">
        <v>85</v>
      </c>
      <c r="L3" s="2" t="s">
        <v>86</v>
      </c>
      <c r="M3" s="2" t="s">
        <v>87</v>
      </c>
      <c r="N3" s="2" t="s">
        <v>88</v>
      </c>
      <c r="O3" s="2" t="s">
        <v>89</v>
      </c>
      <c r="P3" s="2" t="s">
        <v>90</v>
      </c>
      <c r="Q3" s="2" t="s">
        <v>84</v>
      </c>
      <c r="R3" s="2" t="s">
        <v>85</v>
      </c>
      <c r="S3" s="2" t="s">
        <v>86</v>
      </c>
      <c r="T3" s="2" t="s">
        <v>87</v>
      </c>
      <c r="U3" s="2" t="s">
        <v>88</v>
      </c>
      <c r="V3" s="2" t="s">
        <v>89</v>
      </c>
      <c r="W3" s="2" t="s">
        <v>90</v>
      </c>
      <c r="X3" s="2" t="s">
        <v>84</v>
      </c>
      <c r="Y3" s="2" t="s">
        <v>85</v>
      </c>
      <c r="Z3" s="2" t="s">
        <v>86</v>
      </c>
      <c r="AA3" s="2" t="s">
        <v>87</v>
      </c>
      <c r="AB3" s="2" t="s">
        <v>88</v>
      </c>
      <c r="AC3" s="2"/>
    </row>
    <row r="4" spans="1:44" s="10" customFormat="1" ht="15" thickBot="1">
      <c r="E4" s="34">
        <v>43495</v>
      </c>
      <c r="F4" s="34">
        <v>43496</v>
      </c>
      <c r="G4" s="34">
        <v>43497</v>
      </c>
      <c r="H4" s="34">
        <v>43498</v>
      </c>
      <c r="I4" s="34">
        <v>43499</v>
      </c>
      <c r="J4" s="34">
        <v>43500</v>
      </c>
      <c r="K4" s="34">
        <v>43501</v>
      </c>
      <c r="L4" s="34">
        <v>43502</v>
      </c>
      <c r="M4" s="34">
        <v>43503</v>
      </c>
      <c r="N4" s="34">
        <v>43504</v>
      </c>
      <c r="O4" s="34">
        <v>43505</v>
      </c>
      <c r="P4" s="34">
        <v>43506</v>
      </c>
      <c r="Q4" s="34">
        <v>43507</v>
      </c>
      <c r="R4" s="34">
        <v>43508</v>
      </c>
      <c r="S4" s="34">
        <v>43509</v>
      </c>
      <c r="T4" s="34">
        <v>43510</v>
      </c>
      <c r="U4" s="34">
        <v>43511</v>
      </c>
      <c r="V4" s="34">
        <v>43512</v>
      </c>
      <c r="W4" s="34">
        <v>43513</v>
      </c>
      <c r="X4" s="34">
        <v>43514</v>
      </c>
      <c r="Y4" s="34">
        <v>43515</v>
      </c>
      <c r="Z4" s="34">
        <v>43516</v>
      </c>
      <c r="AA4" s="34">
        <v>43517</v>
      </c>
      <c r="AB4" s="34">
        <v>43518</v>
      </c>
      <c r="AC4" s="12"/>
      <c r="AD4" s="1"/>
      <c r="AF4" s="1"/>
      <c r="AG4" s="1"/>
      <c r="AH4" s="1"/>
      <c r="AI4" s="1"/>
      <c r="AJ4" s="1"/>
      <c r="AK4" s="1"/>
      <c r="AL4" s="1"/>
    </row>
    <row r="5" spans="1:44" ht="15" thickBot="1">
      <c r="D5" s="2" t="s">
        <v>12</v>
      </c>
      <c r="E5" s="2" t="s">
        <v>67</v>
      </c>
      <c r="F5" s="2" t="s">
        <v>52</v>
      </c>
      <c r="G5" s="2" t="s">
        <v>52</v>
      </c>
      <c r="H5" s="217" t="s">
        <v>20</v>
      </c>
      <c r="I5" s="218" t="s">
        <v>20</v>
      </c>
      <c r="J5" s="218" t="s">
        <v>20</v>
      </c>
      <c r="K5" s="219" t="s">
        <v>20</v>
      </c>
      <c r="L5" s="2" t="s">
        <v>52</v>
      </c>
      <c r="M5" s="2" t="s">
        <v>80</v>
      </c>
      <c r="N5" s="2" t="s">
        <v>80</v>
      </c>
      <c r="O5" s="217" t="s">
        <v>82</v>
      </c>
      <c r="P5" s="218" t="s">
        <v>83</v>
      </c>
      <c r="Q5" s="218" t="s">
        <v>83</v>
      </c>
      <c r="R5" s="219" t="s">
        <v>108</v>
      </c>
      <c r="S5" s="2" t="s">
        <v>53</v>
      </c>
      <c r="T5" s="217" t="s">
        <v>54</v>
      </c>
      <c r="U5" s="218" t="s">
        <v>55</v>
      </c>
      <c r="V5" s="218" t="s">
        <v>105</v>
      </c>
      <c r="W5" s="219" t="s">
        <v>53</v>
      </c>
      <c r="X5" s="2" t="s">
        <v>52</v>
      </c>
      <c r="Y5" s="2" t="s">
        <v>52</v>
      </c>
      <c r="Z5" s="2" t="s">
        <v>52</v>
      </c>
      <c r="AA5" s="2" t="s">
        <v>52</v>
      </c>
      <c r="AB5" s="2" t="s">
        <v>68</v>
      </c>
      <c r="AC5" s="4" t="s">
        <v>13</v>
      </c>
    </row>
    <row r="6" spans="1:44" outlineLevel="1">
      <c r="D6" s="11" t="s">
        <v>17</v>
      </c>
      <c r="E6" s="2" t="s">
        <v>16</v>
      </c>
      <c r="F6" s="2" t="s">
        <v>16</v>
      </c>
      <c r="G6" s="2" t="s">
        <v>16</v>
      </c>
      <c r="AO6" s="4" t="s">
        <v>135</v>
      </c>
      <c r="AP6" s="4" t="s">
        <v>9</v>
      </c>
    </row>
    <row r="7" spans="1:44" outlineLevel="1">
      <c r="A7" t="s">
        <v>70</v>
      </c>
      <c r="B7" t="s">
        <v>21</v>
      </c>
      <c r="C7" t="s">
        <v>0</v>
      </c>
      <c r="D7" s="11"/>
      <c r="E7" s="27"/>
      <c r="F7" s="27"/>
      <c r="G7" s="27"/>
      <c r="H7" s="27">
        <v>130</v>
      </c>
      <c r="I7" s="27"/>
      <c r="J7" s="27"/>
      <c r="K7" s="27"/>
      <c r="L7" s="27"/>
      <c r="M7" s="27"/>
      <c r="N7" s="27"/>
      <c r="O7" s="27"/>
      <c r="P7" s="27"/>
      <c r="Q7" s="27"/>
      <c r="R7" s="27"/>
      <c r="S7" s="27"/>
      <c r="T7" s="27">
        <v>80</v>
      </c>
      <c r="U7" s="27">
        <v>100</v>
      </c>
      <c r="V7" s="27">
        <v>150</v>
      </c>
      <c r="W7" s="27">
        <v>50</v>
      </c>
      <c r="X7" s="27"/>
      <c r="Y7" s="27"/>
      <c r="Z7" s="27">
        <v>70</v>
      </c>
      <c r="AA7" s="27">
        <v>140</v>
      </c>
      <c r="AB7" s="27"/>
      <c r="AC7" s="29">
        <v>720</v>
      </c>
      <c r="AD7" s="6">
        <v>27.66443437122107</v>
      </c>
      <c r="AE7" s="203">
        <f>+AC7/AD7</f>
        <v>26.026196319018403</v>
      </c>
      <c r="AF7" s="27"/>
      <c r="AN7" s="9" t="s">
        <v>138</v>
      </c>
      <c r="AO7" s="2"/>
      <c r="AP7" s="6">
        <v>729</v>
      </c>
      <c r="AQ7" s="65">
        <v>729</v>
      </c>
    </row>
    <row r="8" spans="1:44" outlineLevel="1">
      <c r="A8" t="s">
        <v>70</v>
      </c>
      <c r="B8" t="s">
        <v>21</v>
      </c>
      <c r="C8" t="s">
        <v>1</v>
      </c>
      <c r="D8" s="11"/>
      <c r="E8" s="27"/>
      <c r="F8" s="27">
        <v>75</v>
      </c>
      <c r="G8" s="27">
        <v>485</v>
      </c>
      <c r="H8" s="27">
        <v>400</v>
      </c>
      <c r="I8" s="27">
        <v>305</v>
      </c>
      <c r="J8" s="27">
        <v>470</v>
      </c>
      <c r="K8" s="27">
        <v>300</v>
      </c>
      <c r="L8" s="27">
        <v>290</v>
      </c>
      <c r="M8" s="27">
        <v>425</v>
      </c>
      <c r="N8" s="27">
        <v>135</v>
      </c>
      <c r="O8" s="27">
        <v>350</v>
      </c>
      <c r="P8" s="27">
        <v>360</v>
      </c>
      <c r="Q8" s="27">
        <v>40</v>
      </c>
      <c r="R8" s="27">
        <v>80</v>
      </c>
      <c r="S8" s="27">
        <v>60</v>
      </c>
      <c r="T8" s="27">
        <v>195</v>
      </c>
      <c r="U8" s="27">
        <v>330</v>
      </c>
      <c r="V8" s="27">
        <v>120</v>
      </c>
      <c r="W8" s="27">
        <v>270</v>
      </c>
      <c r="X8" s="27">
        <v>105</v>
      </c>
      <c r="Y8" s="27"/>
      <c r="Z8" s="27">
        <v>240</v>
      </c>
      <c r="AA8" s="27">
        <v>400</v>
      </c>
      <c r="AB8" s="27"/>
      <c r="AC8" s="29">
        <v>5435</v>
      </c>
      <c r="AD8" s="6">
        <v>208.82805667720348</v>
      </c>
      <c r="AE8" s="27"/>
      <c r="AF8" s="27"/>
      <c r="AN8" s="9" t="s">
        <v>61</v>
      </c>
      <c r="AO8" s="6">
        <v>1318.94033147348</v>
      </c>
      <c r="AP8" s="6">
        <v>203</v>
      </c>
      <c r="AQ8" s="66">
        <v>1521.94033147348</v>
      </c>
      <c r="AR8" s="28">
        <v>2250.94033147348</v>
      </c>
    </row>
    <row r="9" spans="1:44" outlineLevel="1">
      <c r="A9" t="s">
        <v>70</v>
      </c>
      <c r="B9" t="s">
        <v>21</v>
      </c>
      <c r="C9" t="s">
        <v>71</v>
      </c>
      <c r="D9" s="11"/>
      <c r="E9" s="27"/>
      <c r="F9" s="27">
        <v>70</v>
      </c>
      <c r="G9" s="27">
        <v>165</v>
      </c>
      <c r="H9" s="27">
        <v>60</v>
      </c>
      <c r="I9" s="27">
        <v>240</v>
      </c>
      <c r="J9" s="27">
        <v>90</v>
      </c>
      <c r="K9" s="27">
        <v>155</v>
      </c>
      <c r="L9" s="27"/>
      <c r="M9" s="27"/>
      <c r="N9" s="27"/>
      <c r="O9" s="27">
        <v>20</v>
      </c>
      <c r="P9" s="27">
        <v>110</v>
      </c>
      <c r="Q9" s="27">
        <v>170</v>
      </c>
      <c r="R9" s="27">
        <v>50</v>
      </c>
      <c r="S9" s="27">
        <v>30</v>
      </c>
      <c r="T9" s="27"/>
      <c r="U9" s="27">
        <v>110</v>
      </c>
      <c r="V9" s="27">
        <v>15</v>
      </c>
      <c r="W9" s="27">
        <v>60</v>
      </c>
      <c r="X9" s="27">
        <v>185</v>
      </c>
      <c r="Y9" s="27">
        <v>600</v>
      </c>
      <c r="Z9" s="27">
        <v>600</v>
      </c>
      <c r="AA9" s="27"/>
      <c r="AB9" s="27"/>
      <c r="AC9" s="29">
        <v>2730</v>
      </c>
      <c r="AD9" s="6">
        <v>104.89431365754656</v>
      </c>
      <c r="AE9" s="27"/>
      <c r="AF9" s="27"/>
      <c r="AN9" s="9" t="s">
        <v>136</v>
      </c>
      <c r="AO9" s="6">
        <v>58.018466528533075</v>
      </c>
      <c r="AP9" s="2"/>
      <c r="AQ9" s="6">
        <v>58.018466528533075</v>
      </c>
    </row>
    <row r="10" spans="1:44" outlineLevel="1">
      <c r="A10" t="s">
        <v>70</v>
      </c>
      <c r="B10" t="s">
        <v>21</v>
      </c>
      <c r="C10" t="s">
        <v>2</v>
      </c>
      <c r="D10" s="11"/>
      <c r="E10" s="27">
        <v>75</v>
      </c>
      <c r="F10" s="27">
        <v>280</v>
      </c>
      <c r="G10" s="27">
        <v>16</v>
      </c>
      <c r="H10" s="27">
        <v>190</v>
      </c>
      <c r="I10" s="27"/>
      <c r="J10" s="27">
        <v>50</v>
      </c>
      <c r="K10" s="27">
        <v>90</v>
      </c>
      <c r="L10" s="27"/>
      <c r="M10" s="27">
        <v>50</v>
      </c>
      <c r="N10" s="27">
        <v>313</v>
      </c>
      <c r="O10" s="27">
        <v>60</v>
      </c>
      <c r="P10" s="27">
        <v>60</v>
      </c>
      <c r="Q10" s="27"/>
      <c r="R10" s="27"/>
      <c r="S10" s="27"/>
      <c r="T10" s="46">
        <v>140</v>
      </c>
      <c r="U10" s="47">
        <v>40</v>
      </c>
      <c r="V10" s="47">
        <v>115</v>
      </c>
      <c r="W10" s="48">
        <v>90</v>
      </c>
      <c r="X10" s="27"/>
      <c r="Y10" s="27"/>
      <c r="Z10" s="27"/>
      <c r="AA10" s="27"/>
      <c r="AB10" s="27"/>
      <c r="AC10" s="29">
        <v>1569</v>
      </c>
      <c r="AD10" s="6">
        <v>60.285413233952582</v>
      </c>
      <c r="AE10" s="27"/>
      <c r="AF10" s="27"/>
      <c r="AN10" s="9" t="s">
        <v>137</v>
      </c>
      <c r="AO10" s="6">
        <v>160.60741065514455</v>
      </c>
      <c r="AP10" s="2"/>
      <c r="AQ10" s="6">
        <v>160.60741065514455</v>
      </c>
    </row>
    <row r="11" spans="1:44" outlineLevel="1">
      <c r="A11" t="s">
        <v>70</v>
      </c>
      <c r="B11" t="s">
        <v>23</v>
      </c>
      <c r="C11" t="s">
        <v>5</v>
      </c>
      <c r="D11" s="11"/>
      <c r="E11" s="27"/>
      <c r="F11" s="27"/>
      <c r="G11" s="27">
        <v>60</v>
      </c>
      <c r="H11" s="27"/>
      <c r="I11" s="27">
        <v>155</v>
      </c>
      <c r="J11" s="27">
        <v>100</v>
      </c>
      <c r="K11" s="27">
        <v>100</v>
      </c>
      <c r="L11" s="27">
        <v>950</v>
      </c>
      <c r="M11" s="42">
        <v>1040</v>
      </c>
      <c r="N11" s="27">
        <v>370</v>
      </c>
      <c r="O11" s="27"/>
      <c r="P11" s="27"/>
      <c r="Q11" s="27">
        <v>560</v>
      </c>
      <c r="R11" s="27">
        <v>100</v>
      </c>
      <c r="S11" s="27"/>
      <c r="T11" s="49">
        <v>140</v>
      </c>
      <c r="U11" s="50">
        <v>175</v>
      </c>
      <c r="V11" s="50">
        <v>140</v>
      </c>
      <c r="W11" s="51"/>
      <c r="X11" s="27"/>
      <c r="Y11" s="27"/>
      <c r="Z11" s="27"/>
      <c r="AA11" s="27"/>
      <c r="AB11" s="27"/>
      <c r="AC11" s="29">
        <v>3890</v>
      </c>
      <c r="AD11" s="6">
        <v>149.46479125562496</v>
      </c>
      <c r="AE11" s="27"/>
      <c r="AF11" s="27"/>
      <c r="AO11" s="28">
        <v>1537.5662086571576</v>
      </c>
      <c r="AP11" s="28">
        <v>932</v>
      </c>
      <c r="AQ11" s="28">
        <v>2469.5662086571574</v>
      </c>
    </row>
    <row r="12" spans="1:44" outlineLevel="1">
      <c r="A12" t="s">
        <v>70</v>
      </c>
      <c r="B12" t="s">
        <v>21</v>
      </c>
      <c r="C12" t="s">
        <v>27</v>
      </c>
      <c r="D12" s="11"/>
      <c r="E12" s="27"/>
      <c r="F12" s="27"/>
      <c r="G12" s="27">
        <v>50</v>
      </c>
      <c r="H12" s="27">
        <v>40</v>
      </c>
      <c r="I12" s="27"/>
      <c r="J12" s="27"/>
      <c r="K12" s="27"/>
      <c r="L12" s="27"/>
      <c r="M12" s="27"/>
      <c r="N12" s="27"/>
      <c r="O12" s="27"/>
      <c r="P12" s="27"/>
      <c r="Q12" s="27"/>
      <c r="R12" s="27"/>
      <c r="S12" s="27"/>
      <c r="T12" s="27"/>
      <c r="U12" s="27"/>
      <c r="V12" s="27"/>
      <c r="W12" s="27">
        <v>40</v>
      </c>
      <c r="X12" s="27">
        <v>55</v>
      </c>
      <c r="Y12" s="27"/>
      <c r="Z12" s="27"/>
      <c r="AA12" s="27"/>
      <c r="AB12" s="27"/>
      <c r="AC12" s="29">
        <v>185</v>
      </c>
      <c r="AD12" s="6">
        <v>7.1082227203831918</v>
      </c>
      <c r="AE12" s="27"/>
      <c r="AF12" s="27"/>
    </row>
    <row r="13" spans="1:44" outlineLevel="1">
      <c r="A13" t="s">
        <v>70</v>
      </c>
      <c r="B13" t="s">
        <v>25</v>
      </c>
      <c r="C13" t="s">
        <v>28</v>
      </c>
      <c r="D13" s="11"/>
      <c r="E13" s="27"/>
      <c r="F13" s="27">
        <v>300</v>
      </c>
      <c r="G13" s="27"/>
      <c r="H13" s="27">
        <v>640</v>
      </c>
      <c r="I13" s="27"/>
      <c r="J13" s="27"/>
      <c r="K13" s="27"/>
      <c r="L13" s="27">
        <v>900</v>
      </c>
      <c r="M13" s="27"/>
      <c r="O13" s="27">
        <v>80</v>
      </c>
      <c r="P13" s="27"/>
      <c r="Q13" s="27"/>
      <c r="S13" s="27"/>
      <c r="T13" s="27"/>
      <c r="U13" s="27"/>
      <c r="V13" s="27"/>
      <c r="W13" s="27"/>
      <c r="X13" s="27"/>
      <c r="Y13" s="27"/>
      <c r="Z13" s="27"/>
      <c r="AA13" s="27">
        <v>350</v>
      </c>
      <c r="AB13" s="27"/>
      <c r="AC13" s="29">
        <v>2270</v>
      </c>
      <c r="AD13" s="6">
        <v>87.219813920377533</v>
      </c>
      <c r="AE13" s="27"/>
      <c r="AF13" s="27"/>
    </row>
    <row r="14" spans="1:44" outlineLevel="1">
      <c r="A14" t="s">
        <v>70</v>
      </c>
      <c r="B14" t="s">
        <v>21</v>
      </c>
      <c r="C14" t="s">
        <v>8</v>
      </c>
      <c r="D14" s="11"/>
      <c r="E14" s="27"/>
      <c r="F14" s="27"/>
      <c r="G14" s="27"/>
      <c r="H14" s="27">
        <v>954</v>
      </c>
      <c r="I14" s="27">
        <v>954</v>
      </c>
      <c r="J14" s="27">
        <v>954</v>
      </c>
      <c r="K14" s="27">
        <v>954</v>
      </c>
      <c r="L14" s="27"/>
      <c r="M14" s="27">
        <v>638</v>
      </c>
      <c r="N14" s="27">
        <v>638</v>
      </c>
      <c r="O14" s="27">
        <v>466</v>
      </c>
      <c r="P14" s="27"/>
      <c r="Q14" s="27">
        <v>450</v>
      </c>
      <c r="R14" s="27"/>
      <c r="S14" s="27">
        <v>240</v>
      </c>
      <c r="T14" s="2">
        <v>200</v>
      </c>
      <c r="U14" s="27">
        <v>350</v>
      </c>
      <c r="V14" s="27">
        <v>150</v>
      </c>
      <c r="W14" s="27">
        <v>150</v>
      </c>
      <c r="X14" s="27">
        <v>1330</v>
      </c>
      <c r="Y14" s="27">
        <v>750</v>
      </c>
      <c r="Z14" s="27">
        <v>750</v>
      </c>
      <c r="AA14" s="27">
        <v>400</v>
      </c>
      <c r="AB14" s="27"/>
      <c r="AC14" s="29">
        <v>10328</v>
      </c>
      <c r="AD14" s="6">
        <v>396.83094192496003</v>
      </c>
      <c r="AE14" s="27"/>
      <c r="AF14" s="27"/>
    </row>
    <row r="15" spans="1:44" outlineLevel="1">
      <c r="A15" t="s">
        <v>70</v>
      </c>
      <c r="B15" t="s">
        <v>25</v>
      </c>
      <c r="C15" t="s">
        <v>25</v>
      </c>
      <c r="D15" s="11"/>
      <c r="E15" s="27"/>
      <c r="F15" s="27"/>
      <c r="G15" s="27"/>
      <c r="H15" s="27"/>
      <c r="I15" s="27"/>
      <c r="J15" s="27"/>
      <c r="K15" s="27"/>
      <c r="L15" s="27">
        <v>1950</v>
      </c>
      <c r="M15" s="41">
        <v>460</v>
      </c>
      <c r="O15" s="27">
        <v>290</v>
      </c>
      <c r="P15" s="27"/>
      <c r="Q15" s="27"/>
      <c r="R15" s="27">
        <v>250</v>
      </c>
      <c r="S15" s="27">
        <v>200</v>
      </c>
      <c r="T15" s="27"/>
      <c r="U15" s="27"/>
      <c r="V15" s="27"/>
      <c r="W15" s="27">
        <v>200</v>
      </c>
      <c r="X15" s="27"/>
      <c r="Y15" s="27"/>
      <c r="Z15" s="27"/>
      <c r="AA15" s="27"/>
      <c r="AB15" s="27"/>
      <c r="AC15" s="29">
        <v>3350</v>
      </c>
      <c r="AD15" s="6">
        <v>128.71646547720914</v>
      </c>
      <c r="AE15" s="27"/>
      <c r="AF15" s="27"/>
    </row>
    <row r="16" spans="1:44" outlineLevel="1">
      <c r="A16" t="s">
        <v>70</v>
      </c>
      <c r="B16" t="s">
        <v>24</v>
      </c>
      <c r="C16" t="s">
        <v>19</v>
      </c>
      <c r="D16" s="11"/>
      <c r="E16" s="27"/>
      <c r="F16" s="27"/>
      <c r="G16" s="27"/>
      <c r="H16" s="27"/>
      <c r="I16" s="27"/>
      <c r="K16" s="27"/>
      <c r="L16" s="27"/>
      <c r="N16" s="27"/>
      <c r="O16" s="27"/>
      <c r="P16" s="27"/>
      <c r="Q16" s="27"/>
      <c r="R16" s="27"/>
      <c r="S16" s="27"/>
      <c r="T16" s="27"/>
      <c r="U16" s="27"/>
      <c r="V16" s="27"/>
      <c r="W16" s="27"/>
      <c r="X16" s="27"/>
      <c r="Y16" s="27"/>
      <c r="Z16" s="27"/>
      <c r="AA16" s="27"/>
      <c r="AB16" s="27"/>
      <c r="AC16" s="27"/>
      <c r="AD16" s="6">
        <v>0</v>
      </c>
      <c r="AE16" s="27"/>
      <c r="AF16" s="27"/>
    </row>
    <row r="17" spans="1:32" outlineLevel="1">
      <c r="A17" t="s">
        <v>70</v>
      </c>
      <c r="B17" t="s">
        <v>24</v>
      </c>
      <c r="C17" t="s">
        <v>18</v>
      </c>
      <c r="D17" s="11"/>
      <c r="E17" s="27"/>
      <c r="F17" s="27"/>
      <c r="G17" s="27"/>
      <c r="H17" s="27"/>
      <c r="I17" s="27"/>
      <c r="K17" s="27"/>
      <c r="L17" s="27"/>
      <c r="M17" s="27"/>
      <c r="N17" s="27"/>
      <c r="O17" s="27"/>
      <c r="P17" s="27"/>
      <c r="Q17" s="27"/>
      <c r="R17" s="27"/>
      <c r="S17" s="27"/>
      <c r="T17" s="27"/>
      <c r="U17" s="27"/>
      <c r="V17" s="27"/>
      <c r="W17" s="27"/>
      <c r="X17" s="27"/>
      <c r="Y17" s="27"/>
      <c r="Z17" s="27"/>
      <c r="AA17" s="27"/>
      <c r="AB17" s="27"/>
      <c r="AC17" s="29">
        <v>0</v>
      </c>
      <c r="AD17" s="6">
        <v>0</v>
      </c>
      <c r="AE17" s="27"/>
      <c r="AF17" s="27"/>
    </row>
    <row r="18" spans="1:32" outlineLevel="1">
      <c r="A18" t="s">
        <v>70</v>
      </c>
      <c r="B18" t="s">
        <v>24</v>
      </c>
      <c r="C18" t="s">
        <v>6</v>
      </c>
      <c r="D18" s="11"/>
      <c r="E18" s="27"/>
      <c r="F18" s="27"/>
      <c r="G18" s="27"/>
      <c r="H18" s="27"/>
      <c r="I18" s="27"/>
      <c r="J18" s="27"/>
      <c r="K18" s="27"/>
      <c r="L18" s="27"/>
      <c r="M18" s="27"/>
      <c r="N18" s="27"/>
      <c r="O18" s="27"/>
      <c r="P18" s="27"/>
      <c r="Q18" s="27"/>
      <c r="R18" s="27">
        <v>200</v>
      </c>
      <c r="S18" s="27"/>
      <c r="T18" s="27"/>
      <c r="U18" s="27"/>
      <c r="V18" s="27"/>
      <c r="W18" s="27"/>
      <c r="X18" s="27"/>
      <c r="Y18" s="27"/>
      <c r="Z18" s="27">
        <v>360</v>
      </c>
      <c r="AA18" s="55">
        <v>950</v>
      </c>
      <c r="AB18" s="27"/>
      <c r="AC18" s="56">
        <v>1510</v>
      </c>
      <c r="AD18" s="6">
        <v>58.018466528533075</v>
      </c>
      <c r="AE18" s="27"/>
      <c r="AF18" s="27"/>
    </row>
    <row r="19" spans="1:32" outlineLevel="1">
      <c r="A19" t="s">
        <v>70</v>
      </c>
      <c r="B19" t="s">
        <v>24</v>
      </c>
      <c r="C19" t="s">
        <v>3</v>
      </c>
      <c r="D19" s="11"/>
      <c r="E19" s="27"/>
      <c r="F19" s="27"/>
      <c r="G19" s="27">
        <v>50</v>
      </c>
      <c r="H19" s="27"/>
      <c r="I19" s="27"/>
      <c r="J19" s="27"/>
      <c r="K19" s="27"/>
      <c r="L19" s="27"/>
      <c r="M19" s="27"/>
      <c r="N19" s="27"/>
      <c r="P19" s="27">
        <v>280</v>
      </c>
      <c r="Q19" s="27"/>
      <c r="R19" s="27"/>
      <c r="S19" s="27"/>
      <c r="T19" s="27">
        <v>110</v>
      </c>
      <c r="U19" s="27">
        <v>150</v>
      </c>
      <c r="V19" s="27"/>
      <c r="W19" s="27"/>
      <c r="X19" s="55">
        <v>2000</v>
      </c>
      <c r="Y19" s="27">
        <v>600</v>
      </c>
      <c r="AA19" s="55">
        <v>990</v>
      </c>
      <c r="AB19" s="27"/>
      <c r="AC19" s="56">
        <v>4180</v>
      </c>
      <c r="AD19" s="6">
        <v>160.60741065514455</v>
      </c>
      <c r="AE19" s="27"/>
      <c r="AF19" s="27"/>
    </row>
    <row r="20" spans="1:32" outlineLevel="1">
      <c r="A20" t="s">
        <v>70</v>
      </c>
      <c r="B20" t="s">
        <v>23</v>
      </c>
      <c r="C20" t="s">
        <v>4</v>
      </c>
      <c r="D20" s="11"/>
      <c r="E20" s="27"/>
      <c r="F20" s="27"/>
      <c r="G20" s="27">
        <v>550</v>
      </c>
      <c r="H20" s="27"/>
      <c r="I20" s="27"/>
      <c r="J20" s="27"/>
      <c r="K20" s="27">
        <v>400</v>
      </c>
      <c r="L20" s="27"/>
      <c r="M20" s="27"/>
      <c r="N20" s="27"/>
      <c r="O20" s="27"/>
      <c r="P20" s="27"/>
      <c r="Q20" s="27"/>
      <c r="R20" s="27"/>
      <c r="S20" s="27"/>
      <c r="T20" s="27"/>
      <c r="U20" s="27"/>
      <c r="V20" s="27"/>
      <c r="W20" s="27"/>
      <c r="X20" s="27"/>
      <c r="Y20" s="27"/>
      <c r="Z20" s="27"/>
      <c r="AA20" s="27"/>
      <c r="AB20" s="27"/>
      <c r="AC20" s="29">
        <v>950</v>
      </c>
      <c r="AD20" s="6">
        <v>36.501684239805577</v>
      </c>
      <c r="AE20" s="27"/>
      <c r="AF20" s="27"/>
    </row>
    <row r="21" spans="1:32" outlineLevel="2">
      <c r="A21" t="s">
        <v>70</v>
      </c>
      <c r="B21" t="s">
        <v>23</v>
      </c>
      <c r="C21" t="s">
        <v>60</v>
      </c>
      <c r="D21" s="11"/>
      <c r="E21" s="27"/>
      <c r="F21" s="27"/>
      <c r="G21" s="27"/>
      <c r="H21" s="27"/>
      <c r="I21" s="27">
        <v>700</v>
      </c>
      <c r="J21" s="27"/>
      <c r="K21" s="27"/>
      <c r="L21" s="27"/>
      <c r="M21" s="27"/>
      <c r="N21" s="27"/>
      <c r="O21" s="27"/>
      <c r="P21" s="27"/>
      <c r="Q21" s="27"/>
      <c r="R21" s="27"/>
      <c r="S21" s="27"/>
      <c r="T21" s="27"/>
      <c r="U21" s="27"/>
      <c r="V21" s="27"/>
      <c r="W21" s="27"/>
      <c r="X21" s="27"/>
      <c r="Y21" s="27">
        <v>950</v>
      </c>
      <c r="Z21" s="27">
        <v>1250</v>
      </c>
      <c r="AA21" s="27"/>
      <c r="AB21" s="27"/>
      <c r="AC21" s="29">
        <v>2900</v>
      </c>
      <c r="AD21" s="6">
        <v>111.42619399519597</v>
      </c>
      <c r="AE21" s="27"/>
      <c r="AF21" s="27"/>
    </row>
    <row r="22" spans="1:32" outlineLevel="1">
      <c r="D22" s="2"/>
      <c r="E22" s="27"/>
      <c r="F22" s="27"/>
      <c r="G22" s="27"/>
      <c r="H22" s="27"/>
      <c r="I22" s="27"/>
      <c r="J22" s="27"/>
      <c r="K22" s="27"/>
      <c r="L22" s="27"/>
      <c r="M22" s="27"/>
      <c r="N22" s="27"/>
      <c r="O22" s="27"/>
      <c r="P22" s="27"/>
      <c r="Q22" s="27"/>
      <c r="R22" s="27"/>
      <c r="S22" s="27"/>
      <c r="T22" s="27"/>
      <c r="U22" s="27"/>
      <c r="V22" s="27"/>
      <c r="W22" s="27"/>
      <c r="X22" s="27"/>
      <c r="Y22" s="27"/>
      <c r="Z22" s="27"/>
      <c r="AA22" s="27"/>
      <c r="AB22" s="27"/>
      <c r="AC22" s="29">
        <v>0</v>
      </c>
      <c r="AD22" s="6">
        <v>0</v>
      </c>
      <c r="AE22" s="27"/>
    </row>
    <row r="23" spans="1:32" outlineLevel="1">
      <c r="C23" s="9" t="s">
        <v>14</v>
      </c>
      <c r="E23" s="29">
        <v>75</v>
      </c>
      <c r="F23" s="29">
        <v>725</v>
      </c>
      <c r="G23" s="29">
        <v>1376</v>
      </c>
      <c r="H23" s="29">
        <v>2414</v>
      </c>
      <c r="I23" s="29">
        <v>2354</v>
      </c>
      <c r="J23" s="29">
        <v>1664</v>
      </c>
      <c r="K23" s="29">
        <v>1999</v>
      </c>
      <c r="L23" s="29">
        <v>4090</v>
      </c>
      <c r="M23" s="29">
        <v>2613</v>
      </c>
      <c r="N23" s="29">
        <v>1456</v>
      </c>
      <c r="O23" s="29">
        <v>1266</v>
      </c>
      <c r="P23" s="29">
        <v>810</v>
      </c>
      <c r="Q23" s="29">
        <v>1220</v>
      </c>
      <c r="R23" s="29">
        <v>680</v>
      </c>
      <c r="S23" s="29">
        <v>530</v>
      </c>
      <c r="T23" s="29">
        <v>865</v>
      </c>
      <c r="U23" s="29">
        <v>1255</v>
      </c>
      <c r="V23" s="29">
        <v>690</v>
      </c>
      <c r="W23" s="29">
        <v>860</v>
      </c>
      <c r="X23" s="29">
        <v>3675</v>
      </c>
      <c r="Y23" s="29">
        <v>2900</v>
      </c>
      <c r="Z23" s="29">
        <v>3270</v>
      </c>
      <c r="AA23" s="29">
        <v>3230</v>
      </c>
      <c r="AB23" s="29">
        <v>0</v>
      </c>
      <c r="AC23" s="29">
        <v>40017</v>
      </c>
      <c r="AD23" s="6">
        <v>1537.5662086571576</v>
      </c>
      <c r="AE23" s="27"/>
    </row>
    <row r="24" spans="1:32">
      <c r="A24" s="44" t="s">
        <v>94</v>
      </c>
      <c r="C24" s="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6"/>
      <c r="AE24" s="27"/>
    </row>
    <row r="25" spans="1:32">
      <c r="A25" s="44"/>
      <c r="C25" s="9"/>
      <c r="E25" s="29"/>
      <c r="F25" s="29"/>
      <c r="G25" s="29"/>
      <c r="H25" s="29"/>
      <c r="I25" s="29"/>
      <c r="J25" s="29"/>
      <c r="K25" s="29"/>
      <c r="L25" s="29"/>
      <c r="M25" s="29"/>
      <c r="N25" s="29"/>
      <c r="O25" s="29"/>
      <c r="P25" s="29"/>
      <c r="Q25" s="29" t="s">
        <v>112</v>
      </c>
      <c r="R25" s="29"/>
      <c r="S25" s="29"/>
      <c r="T25" s="29" t="s">
        <v>109</v>
      </c>
      <c r="U25" s="29" t="s">
        <v>110</v>
      </c>
      <c r="V25" s="29" t="s">
        <v>111</v>
      </c>
      <c r="W25" s="29" t="s">
        <v>109</v>
      </c>
      <c r="X25" s="29"/>
      <c r="Y25" s="29"/>
      <c r="Z25" s="29"/>
      <c r="AA25" s="29"/>
      <c r="AB25" s="29"/>
      <c r="AC25" s="29"/>
      <c r="AD25" s="6"/>
      <c r="AE25" s="27"/>
    </row>
    <row r="26" spans="1:32" outlineLevel="1"/>
    <row r="27" spans="1:32" outlineLevel="1">
      <c r="C27" t="s">
        <v>21</v>
      </c>
      <c r="E27" s="2">
        <v>75</v>
      </c>
      <c r="F27" s="2">
        <v>425</v>
      </c>
      <c r="G27" s="2">
        <v>716</v>
      </c>
      <c r="H27" s="2">
        <v>1774</v>
      </c>
      <c r="I27" s="2">
        <v>1499</v>
      </c>
      <c r="J27" s="2">
        <v>1564</v>
      </c>
      <c r="K27" s="2">
        <v>1499</v>
      </c>
      <c r="L27" s="2">
        <v>290</v>
      </c>
      <c r="M27" s="2">
        <v>1113</v>
      </c>
      <c r="N27" s="2">
        <v>1086</v>
      </c>
      <c r="O27" s="2">
        <v>896</v>
      </c>
      <c r="P27" s="2">
        <v>530</v>
      </c>
      <c r="Q27" s="2">
        <v>660</v>
      </c>
      <c r="R27" s="2">
        <v>130</v>
      </c>
      <c r="S27" s="2">
        <v>330</v>
      </c>
      <c r="T27" s="2">
        <v>615</v>
      </c>
      <c r="U27" s="2">
        <v>930</v>
      </c>
      <c r="V27" s="2">
        <v>550</v>
      </c>
      <c r="W27" s="2">
        <v>660</v>
      </c>
      <c r="X27" s="2">
        <v>1675</v>
      </c>
      <c r="Y27" s="2">
        <v>1350</v>
      </c>
      <c r="Z27" s="2">
        <v>1660</v>
      </c>
      <c r="AA27" s="2">
        <v>940</v>
      </c>
      <c r="AC27" s="4">
        <v>20967</v>
      </c>
      <c r="AD27" s="14">
        <v>805.61138258526694</v>
      </c>
    </row>
    <row r="28" spans="1:32" outlineLevel="1">
      <c r="C28" t="s">
        <v>23</v>
      </c>
      <c r="E28" s="2">
        <v>0</v>
      </c>
      <c r="F28" s="2">
        <v>0</v>
      </c>
      <c r="G28" s="2">
        <v>610</v>
      </c>
      <c r="H28" s="2">
        <v>0</v>
      </c>
      <c r="I28" s="2">
        <v>855</v>
      </c>
      <c r="J28" s="2">
        <v>100</v>
      </c>
      <c r="K28" s="2">
        <v>500</v>
      </c>
      <c r="L28" s="2">
        <v>950</v>
      </c>
      <c r="M28" s="2">
        <v>1040</v>
      </c>
      <c r="N28" s="2">
        <v>370</v>
      </c>
      <c r="O28" s="2">
        <v>0</v>
      </c>
      <c r="P28" s="2">
        <v>0</v>
      </c>
      <c r="Q28" s="2">
        <v>560</v>
      </c>
      <c r="R28" s="2">
        <v>100</v>
      </c>
      <c r="S28" s="2">
        <v>0</v>
      </c>
      <c r="T28" s="2">
        <v>140</v>
      </c>
      <c r="U28" s="2">
        <v>175</v>
      </c>
      <c r="V28" s="2">
        <v>140</v>
      </c>
      <c r="W28" s="2">
        <v>0</v>
      </c>
      <c r="X28" s="2">
        <v>0</v>
      </c>
      <c r="Y28" s="2">
        <v>950</v>
      </c>
      <c r="Z28" s="2">
        <v>1250</v>
      </c>
      <c r="AA28" s="2">
        <v>0</v>
      </c>
      <c r="AC28" s="4">
        <v>7740</v>
      </c>
      <c r="AD28" s="14">
        <v>297.39266949062647</v>
      </c>
    </row>
    <row r="29" spans="1:32" outlineLevel="1">
      <c r="C29" t="s">
        <v>25</v>
      </c>
      <c r="E29" s="2">
        <v>0</v>
      </c>
      <c r="F29" s="2">
        <v>300</v>
      </c>
      <c r="G29" s="2">
        <v>0</v>
      </c>
      <c r="H29" s="2">
        <v>640</v>
      </c>
      <c r="I29" s="2">
        <v>0</v>
      </c>
      <c r="J29" s="2">
        <v>0</v>
      </c>
      <c r="K29" s="2">
        <v>0</v>
      </c>
      <c r="L29" s="2">
        <v>2850</v>
      </c>
      <c r="M29" s="2">
        <v>460</v>
      </c>
      <c r="N29" s="2">
        <v>0</v>
      </c>
      <c r="O29" s="2">
        <v>370</v>
      </c>
      <c r="P29" s="2">
        <v>0</v>
      </c>
      <c r="Q29" s="2">
        <v>0</v>
      </c>
      <c r="R29" s="2">
        <v>250</v>
      </c>
      <c r="S29" s="2">
        <v>200</v>
      </c>
      <c r="T29" s="2">
        <v>0</v>
      </c>
      <c r="U29" s="2">
        <v>0</v>
      </c>
      <c r="V29" s="2">
        <v>0</v>
      </c>
      <c r="W29" s="2">
        <v>200</v>
      </c>
      <c r="X29" s="2">
        <v>0</v>
      </c>
      <c r="Y29" s="2">
        <v>0</v>
      </c>
      <c r="Z29" s="2">
        <v>0</v>
      </c>
      <c r="AA29" s="2">
        <v>350</v>
      </c>
      <c r="AC29" s="4">
        <v>5620</v>
      </c>
      <c r="AD29" s="14">
        <v>215.93627939758667</v>
      </c>
    </row>
    <row r="30" spans="1:32" outlineLevel="1">
      <c r="C30" t="s">
        <v>26</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v>0</v>
      </c>
      <c r="Y30" s="2">
        <v>0</v>
      </c>
      <c r="Z30" s="2">
        <v>0</v>
      </c>
      <c r="AA30" s="2">
        <v>0</v>
      </c>
      <c r="AC30" s="4">
        <v>0</v>
      </c>
      <c r="AD30" s="14">
        <v>0</v>
      </c>
    </row>
    <row r="31" spans="1:32" outlineLevel="1">
      <c r="C31" t="s">
        <v>22</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C31" s="4">
        <v>0</v>
      </c>
      <c r="AD31" s="14">
        <v>0</v>
      </c>
    </row>
    <row r="32" spans="1:32" outlineLevel="1">
      <c r="C32" t="s">
        <v>24</v>
      </c>
      <c r="E32" s="2">
        <v>0</v>
      </c>
      <c r="F32" s="2">
        <v>0</v>
      </c>
      <c r="G32" s="2">
        <v>50</v>
      </c>
      <c r="H32" s="2">
        <v>0</v>
      </c>
      <c r="I32" s="2">
        <v>0</v>
      </c>
      <c r="J32" s="2">
        <v>0</v>
      </c>
      <c r="K32" s="2">
        <v>0</v>
      </c>
      <c r="L32" s="2">
        <v>0</v>
      </c>
      <c r="M32" s="2">
        <v>0</v>
      </c>
      <c r="N32" s="2">
        <v>0</v>
      </c>
      <c r="O32" s="2">
        <v>0</v>
      </c>
      <c r="P32" s="2">
        <v>280</v>
      </c>
      <c r="Q32" s="2">
        <v>0</v>
      </c>
      <c r="R32" s="2">
        <v>200</v>
      </c>
      <c r="S32" s="2">
        <v>0</v>
      </c>
      <c r="T32" s="2">
        <v>110</v>
      </c>
      <c r="U32" s="2">
        <v>150</v>
      </c>
      <c r="V32" s="2">
        <v>0</v>
      </c>
      <c r="W32" s="2">
        <v>0</v>
      </c>
      <c r="X32" s="2">
        <v>2000</v>
      </c>
      <c r="Y32" s="2">
        <v>600</v>
      </c>
      <c r="Z32" s="2">
        <v>360</v>
      </c>
      <c r="AA32" s="2">
        <v>1940</v>
      </c>
      <c r="AC32" s="4">
        <v>5690</v>
      </c>
      <c r="AD32" s="14">
        <v>218.62587718367763</v>
      </c>
    </row>
    <row r="33" spans="1:41" outlineLevel="1">
      <c r="C33" s="9" t="s">
        <v>14</v>
      </c>
      <c r="E33" s="4">
        <v>75</v>
      </c>
      <c r="F33" s="4">
        <v>725</v>
      </c>
      <c r="G33" s="4">
        <v>1376</v>
      </c>
      <c r="H33" s="4">
        <v>2414</v>
      </c>
      <c r="I33" s="4">
        <v>2354</v>
      </c>
      <c r="J33" s="4">
        <v>1664</v>
      </c>
      <c r="K33" s="4">
        <v>1999</v>
      </c>
      <c r="L33" s="4">
        <v>4090</v>
      </c>
      <c r="M33" s="4">
        <v>2613</v>
      </c>
      <c r="N33" s="4">
        <v>1456</v>
      </c>
      <c r="O33" s="4">
        <v>1266</v>
      </c>
      <c r="P33" s="4">
        <v>810</v>
      </c>
      <c r="Q33" s="4">
        <v>1220</v>
      </c>
      <c r="R33" s="4">
        <v>680</v>
      </c>
      <c r="S33" s="4">
        <v>530</v>
      </c>
      <c r="T33" s="4">
        <v>865</v>
      </c>
      <c r="U33" s="4">
        <v>1255</v>
      </c>
      <c r="V33" s="4">
        <v>690</v>
      </c>
      <c r="W33" s="4">
        <v>860</v>
      </c>
      <c r="X33" s="4">
        <v>3675</v>
      </c>
      <c r="Y33" s="4">
        <v>2900</v>
      </c>
      <c r="Z33" s="4">
        <v>3270</v>
      </c>
      <c r="AA33" s="4">
        <v>3230</v>
      </c>
      <c r="AC33" s="4">
        <v>40017</v>
      </c>
      <c r="AD33" s="14">
        <v>1537.5662086571576</v>
      </c>
    </row>
    <row r="34" spans="1:41">
      <c r="A34" s="9" t="s">
        <v>96</v>
      </c>
      <c r="C34" s="9"/>
      <c r="F34" s="4"/>
      <c r="G34" s="4"/>
      <c r="H34" s="4"/>
      <c r="I34" s="4"/>
      <c r="J34" s="4"/>
      <c r="K34" s="4"/>
      <c r="L34" s="4"/>
      <c r="M34" s="4"/>
      <c r="N34" s="4"/>
      <c r="O34" s="4"/>
      <c r="P34" s="4"/>
      <c r="Q34" s="4"/>
      <c r="R34" s="4"/>
      <c r="S34" s="4"/>
      <c r="T34" s="4"/>
      <c r="U34" s="4"/>
      <c r="V34" s="4"/>
      <c r="W34" s="4"/>
      <c r="X34" s="4"/>
      <c r="AD34" s="14"/>
    </row>
    <row r="35" spans="1:41">
      <c r="A35" s="9"/>
      <c r="C35" s="9"/>
      <c r="E35" s="2" t="s">
        <v>67</v>
      </c>
      <c r="F35" s="2" t="s">
        <v>52</v>
      </c>
      <c r="G35" s="2" t="s">
        <v>52</v>
      </c>
      <c r="H35" s="2" t="s">
        <v>20</v>
      </c>
      <c r="I35" s="2" t="s">
        <v>20</v>
      </c>
      <c r="J35" s="2" t="s">
        <v>20</v>
      </c>
      <c r="K35" s="2" t="s">
        <v>20</v>
      </c>
      <c r="L35" s="2" t="s">
        <v>52</v>
      </c>
      <c r="M35" s="2" t="s">
        <v>80</v>
      </c>
      <c r="N35" s="2" t="s">
        <v>80</v>
      </c>
      <c r="O35" s="2" t="s">
        <v>82</v>
      </c>
      <c r="P35" s="2" t="s">
        <v>83</v>
      </c>
      <c r="Q35" s="2" t="s">
        <v>83</v>
      </c>
      <c r="R35" s="2" t="s">
        <v>108</v>
      </c>
      <c r="S35" s="2" t="s">
        <v>53</v>
      </c>
      <c r="T35" s="2" t="s">
        <v>54</v>
      </c>
      <c r="U35" s="2" t="s">
        <v>55</v>
      </c>
      <c r="V35" s="2" t="s">
        <v>105</v>
      </c>
      <c r="W35" s="2" t="s">
        <v>53</v>
      </c>
      <c r="X35" s="2" t="s">
        <v>52</v>
      </c>
      <c r="Y35" s="2" t="s">
        <v>52</v>
      </c>
      <c r="Z35" s="2" t="s">
        <v>52</v>
      </c>
      <c r="AA35" s="2">
        <v>0</v>
      </c>
      <c r="AB35" s="2" t="s">
        <v>68</v>
      </c>
      <c r="AD35" s="14"/>
    </row>
    <row r="36" spans="1:41" outlineLevel="1">
      <c r="C36" s="9"/>
      <c r="E36" s="2" t="s">
        <v>86</v>
      </c>
      <c r="F36" s="2" t="s">
        <v>87</v>
      </c>
      <c r="G36" s="2" t="s">
        <v>88</v>
      </c>
      <c r="H36" s="2" t="s">
        <v>89</v>
      </c>
      <c r="I36" s="2" t="s">
        <v>90</v>
      </c>
      <c r="J36" s="2" t="s">
        <v>84</v>
      </c>
      <c r="K36" s="2" t="s">
        <v>85</v>
      </c>
      <c r="L36" s="2" t="s">
        <v>86</v>
      </c>
      <c r="M36" s="2" t="s">
        <v>87</v>
      </c>
      <c r="N36" s="2" t="s">
        <v>88</v>
      </c>
      <c r="O36" s="2" t="s">
        <v>89</v>
      </c>
      <c r="P36" s="2" t="s">
        <v>90</v>
      </c>
      <c r="Q36" s="2" t="s">
        <v>84</v>
      </c>
      <c r="R36" s="2" t="s">
        <v>85</v>
      </c>
      <c r="S36" s="2" t="s">
        <v>86</v>
      </c>
      <c r="T36" s="2" t="s">
        <v>87</v>
      </c>
      <c r="U36" s="2" t="s">
        <v>88</v>
      </c>
      <c r="V36" s="2" t="s">
        <v>89</v>
      </c>
      <c r="W36" s="2" t="s">
        <v>90</v>
      </c>
      <c r="X36" s="2" t="s">
        <v>84</v>
      </c>
      <c r="Y36" s="2" t="s">
        <v>85</v>
      </c>
      <c r="Z36" s="2" t="s">
        <v>86</v>
      </c>
      <c r="AA36" s="2" t="s">
        <v>87</v>
      </c>
      <c r="AB36" s="2" t="s">
        <v>88</v>
      </c>
      <c r="AD36" s="14"/>
    </row>
    <row r="37" spans="1:41" outlineLevel="1">
      <c r="E37" s="39">
        <v>43495</v>
      </c>
      <c r="F37" s="39">
        <v>43496</v>
      </c>
      <c r="G37" s="39">
        <v>43497</v>
      </c>
      <c r="H37" s="39">
        <v>43498</v>
      </c>
      <c r="I37" s="39">
        <v>43499</v>
      </c>
      <c r="J37" s="39">
        <v>43500</v>
      </c>
      <c r="K37" s="39">
        <v>43501</v>
      </c>
      <c r="L37" s="39">
        <v>43502</v>
      </c>
      <c r="M37" s="39">
        <v>43503</v>
      </c>
      <c r="N37" s="39">
        <v>43504</v>
      </c>
      <c r="O37" s="39">
        <v>43505</v>
      </c>
      <c r="P37" s="39">
        <v>43506</v>
      </c>
      <c r="Q37" s="39">
        <v>43507</v>
      </c>
      <c r="R37" s="39">
        <v>43508</v>
      </c>
      <c r="S37" s="39">
        <v>43509</v>
      </c>
      <c r="T37" s="39">
        <v>43510</v>
      </c>
      <c r="U37" s="39">
        <v>43511</v>
      </c>
      <c r="V37" s="39">
        <v>43512</v>
      </c>
      <c r="W37" s="39">
        <v>43513</v>
      </c>
      <c r="X37" s="39">
        <v>43514</v>
      </c>
      <c r="Y37" s="39">
        <v>43515</v>
      </c>
      <c r="Z37" s="39">
        <v>43516</v>
      </c>
      <c r="AA37" s="39">
        <v>43517</v>
      </c>
      <c r="AB37" s="39">
        <v>43518</v>
      </c>
    </row>
    <row r="38" spans="1:41" outlineLevel="1">
      <c r="C38" s="9" t="s">
        <v>33</v>
      </c>
      <c r="F38" s="2">
        <v>1</v>
      </c>
      <c r="G38" s="2">
        <v>2</v>
      </c>
      <c r="H38" s="2">
        <v>3</v>
      </c>
      <c r="I38" s="2">
        <v>4</v>
      </c>
      <c r="J38" s="2">
        <v>5</v>
      </c>
      <c r="K38" s="2">
        <v>6</v>
      </c>
      <c r="L38" s="2">
        <v>7</v>
      </c>
      <c r="M38" s="2">
        <v>8</v>
      </c>
      <c r="N38" s="2">
        <v>9</v>
      </c>
      <c r="O38" s="2">
        <v>10</v>
      </c>
      <c r="P38" s="2">
        <v>11</v>
      </c>
      <c r="Q38" s="2">
        <v>12</v>
      </c>
      <c r="R38" s="2">
        <v>13</v>
      </c>
      <c r="S38" s="2">
        <v>14</v>
      </c>
      <c r="T38" s="2">
        <v>15</v>
      </c>
      <c r="U38" s="2">
        <v>16</v>
      </c>
      <c r="V38" s="2">
        <v>17</v>
      </c>
      <c r="W38" s="2">
        <v>18</v>
      </c>
      <c r="X38" s="2">
        <v>19</v>
      </c>
      <c r="Y38" s="2">
        <v>20</v>
      </c>
      <c r="Z38" s="2">
        <v>21</v>
      </c>
    </row>
    <row r="39" spans="1:41" outlineLevel="1">
      <c r="A39" t="s">
        <v>56</v>
      </c>
      <c r="B39" t="s">
        <v>26</v>
      </c>
      <c r="C39" t="s">
        <v>25</v>
      </c>
      <c r="D39" s="63">
        <v>683</v>
      </c>
      <c r="E39" s="6"/>
      <c r="F39" s="6"/>
      <c r="G39" s="6"/>
      <c r="H39" s="63">
        <v>46</v>
      </c>
      <c r="I39" s="6"/>
      <c r="J39" s="6"/>
      <c r="K39" s="6"/>
      <c r="L39" s="6"/>
      <c r="M39" s="6"/>
      <c r="N39" s="6"/>
      <c r="O39" s="6"/>
      <c r="P39" s="6"/>
      <c r="Q39" s="6"/>
      <c r="R39" s="6"/>
      <c r="S39" s="6"/>
      <c r="T39" s="6"/>
      <c r="U39" s="6"/>
      <c r="V39" s="6"/>
      <c r="W39" s="6"/>
      <c r="X39" s="6"/>
      <c r="Y39" s="6"/>
      <c r="Z39" s="6"/>
      <c r="AA39" s="6"/>
      <c r="AB39" s="6"/>
      <c r="AC39" s="28">
        <v>729</v>
      </c>
      <c r="AM39" t="s">
        <v>134</v>
      </c>
    </row>
    <row r="40" spans="1:41" ht="15.6" outlineLevel="1">
      <c r="A40" t="s">
        <v>69</v>
      </c>
      <c r="B40" t="s">
        <v>25</v>
      </c>
      <c r="C40" t="s">
        <v>28</v>
      </c>
      <c r="D40" s="6"/>
      <c r="E40" s="6"/>
      <c r="F40" s="6"/>
      <c r="G40" s="6"/>
      <c r="H40" s="6"/>
      <c r="I40" s="6"/>
      <c r="J40" s="6"/>
      <c r="K40" s="6"/>
      <c r="L40" s="6"/>
      <c r="M40" s="6"/>
      <c r="O40" s="6"/>
      <c r="P40" s="6"/>
      <c r="Q40" s="6"/>
      <c r="R40" s="6"/>
      <c r="S40" s="6"/>
      <c r="T40" s="6"/>
      <c r="U40" s="6"/>
      <c r="V40" s="6"/>
      <c r="W40" s="6"/>
      <c r="X40" s="6"/>
      <c r="Y40" s="6"/>
      <c r="Z40" s="6"/>
      <c r="AA40" s="63">
        <v>30</v>
      </c>
      <c r="AB40" s="6"/>
      <c r="AC40" s="28">
        <v>30</v>
      </c>
      <c r="AM40" s="57" t="s">
        <v>131</v>
      </c>
      <c r="AN40" s="58">
        <v>-45.74</v>
      </c>
      <c r="AO40" s="60" t="s">
        <v>132</v>
      </c>
    </row>
    <row r="41" spans="1:41" ht="15.6" outlineLevel="1">
      <c r="B41" t="s">
        <v>21</v>
      </c>
      <c r="C41" t="s">
        <v>8</v>
      </c>
      <c r="D41" s="6"/>
      <c r="E41" s="6"/>
      <c r="F41" s="63">
        <v>18</v>
      </c>
      <c r="G41" s="63">
        <v>18</v>
      </c>
      <c r="H41" s="6"/>
      <c r="I41" s="6"/>
      <c r="J41" s="6"/>
      <c r="K41" s="6"/>
      <c r="L41" s="63">
        <v>23</v>
      </c>
      <c r="M41" s="6"/>
      <c r="N41" s="6"/>
      <c r="O41" s="6"/>
      <c r="P41" s="6"/>
      <c r="Q41" s="6"/>
      <c r="R41" s="6"/>
      <c r="S41" s="6"/>
      <c r="T41" s="6"/>
      <c r="U41" s="6"/>
      <c r="V41" s="6"/>
      <c r="W41" s="6"/>
      <c r="X41" s="63">
        <v>32</v>
      </c>
      <c r="Y41" s="6"/>
      <c r="Z41" s="6"/>
      <c r="AA41" s="6"/>
      <c r="AB41" s="6"/>
      <c r="AC41" s="28">
        <v>91</v>
      </c>
      <c r="AM41" s="57" t="s">
        <v>131</v>
      </c>
      <c r="AN41" s="58">
        <v>-683.23</v>
      </c>
      <c r="AO41" s="60" t="s">
        <v>133</v>
      </c>
    </row>
    <row r="42" spans="1:41" ht="15.6" outlineLevel="1">
      <c r="A42" t="s">
        <v>73</v>
      </c>
      <c r="B42" t="s">
        <v>21</v>
      </c>
      <c r="C42" t="s">
        <v>1</v>
      </c>
      <c r="D42" s="6"/>
      <c r="E42" s="63">
        <v>10</v>
      </c>
      <c r="F42" s="6"/>
      <c r="G42" s="6"/>
      <c r="H42" s="6"/>
      <c r="I42" s="6"/>
      <c r="J42" s="6"/>
      <c r="K42" s="6"/>
      <c r="L42" s="6"/>
      <c r="M42" s="6"/>
      <c r="N42" s="6"/>
      <c r="O42" s="6"/>
      <c r="P42" s="6"/>
      <c r="Q42" s="6"/>
      <c r="R42" s="6"/>
      <c r="S42" s="6"/>
      <c r="T42" s="6"/>
      <c r="U42" s="6"/>
      <c r="V42" s="6"/>
      <c r="W42" s="6"/>
      <c r="X42" s="6"/>
      <c r="Y42" s="6"/>
      <c r="Z42" s="6"/>
      <c r="AA42" s="63">
        <v>11</v>
      </c>
      <c r="AB42" s="6"/>
      <c r="AC42" s="28">
        <v>21</v>
      </c>
      <c r="AM42" s="57" t="s">
        <v>113</v>
      </c>
      <c r="AN42" s="58">
        <v>-36.659999999999997</v>
      </c>
      <c r="AO42" t="s">
        <v>114</v>
      </c>
    </row>
    <row r="43" spans="1:41" ht="15.6" outlineLevel="1">
      <c r="A43" t="s">
        <v>73</v>
      </c>
      <c r="B43" t="s">
        <v>21</v>
      </c>
      <c r="C43" t="s">
        <v>1</v>
      </c>
      <c r="D43" s="6"/>
      <c r="E43" s="64">
        <v>4</v>
      </c>
      <c r="F43" s="64">
        <v>7</v>
      </c>
      <c r="G43" s="6"/>
      <c r="H43" s="6"/>
      <c r="I43" s="6"/>
      <c r="J43" s="6"/>
      <c r="K43" s="6"/>
      <c r="L43" s="6"/>
      <c r="M43" s="6"/>
      <c r="N43" s="6"/>
      <c r="O43" s="6"/>
      <c r="P43" s="6"/>
      <c r="Q43" s="6"/>
      <c r="R43" s="6"/>
      <c r="S43" s="6"/>
      <c r="T43" s="6"/>
      <c r="U43" s="6"/>
      <c r="V43" s="6"/>
      <c r="W43" s="6"/>
      <c r="X43" s="6"/>
      <c r="Y43" s="6"/>
      <c r="Z43" s="6"/>
      <c r="AA43" s="6"/>
      <c r="AB43" s="6"/>
      <c r="AC43" s="28">
        <v>11</v>
      </c>
      <c r="AM43" s="57" t="s">
        <v>115</v>
      </c>
      <c r="AN43" s="58">
        <v>-10</v>
      </c>
      <c r="AO43" t="s">
        <v>121</v>
      </c>
    </row>
    <row r="44" spans="1:41" ht="15.6" outlineLevel="1">
      <c r="A44" t="s">
        <v>30</v>
      </c>
      <c r="B44" t="s">
        <v>24</v>
      </c>
      <c r="C44" t="s">
        <v>3</v>
      </c>
      <c r="D44" s="6"/>
      <c r="E44" s="6"/>
      <c r="F44" s="6"/>
      <c r="G44" s="6"/>
      <c r="H44" s="6"/>
      <c r="I44" s="6"/>
      <c r="J44" s="6"/>
      <c r="K44" s="6"/>
      <c r="L44" s="6"/>
      <c r="M44" s="6"/>
      <c r="N44" s="6"/>
      <c r="O44" s="6"/>
      <c r="P44" s="6"/>
      <c r="Q44" s="6"/>
      <c r="R44" s="6"/>
      <c r="S44" s="6"/>
      <c r="T44" s="6"/>
      <c r="U44" s="6"/>
      <c r="V44" s="6"/>
      <c r="W44" s="6"/>
      <c r="X44" s="6"/>
      <c r="Y44" s="6"/>
      <c r="Z44" s="6"/>
      <c r="AA44" s="6"/>
      <c r="AB44" s="6"/>
      <c r="AC44" s="28">
        <v>0</v>
      </c>
      <c r="AM44" s="57" t="s">
        <v>115</v>
      </c>
      <c r="AN44" s="58">
        <v>-4.4000000000000004</v>
      </c>
      <c r="AO44" t="s">
        <v>122</v>
      </c>
    </row>
    <row r="45" spans="1:41" ht="15.6" outlineLevel="1">
      <c r="A45" t="s">
        <v>72</v>
      </c>
      <c r="B45" t="s">
        <v>24</v>
      </c>
      <c r="C45" t="s">
        <v>6</v>
      </c>
      <c r="D45" s="6"/>
      <c r="E45" s="63">
        <v>21</v>
      </c>
      <c r="F45" s="6"/>
      <c r="G45" s="6"/>
      <c r="H45" s="6"/>
      <c r="I45" s="6"/>
      <c r="J45" s="6"/>
      <c r="K45" s="6"/>
      <c r="L45" s="6"/>
      <c r="M45" s="6"/>
      <c r="N45" s="6"/>
      <c r="O45" s="6"/>
      <c r="P45" s="6"/>
      <c r="Q45" s="6"/>
      <c r="R45" s="6"/>
      <c r="S45" s="6"/>
      <c r="T45" s="6"/>
      <c r="U45" s="6"/>
      <c r="V45" s="6"/>
      <c r="W45" s="6"/>
      <c r="X45" s="6"/>
      <c r="Y45" s="6"/>
      <c r="Z45" s="6"/>
      <c r="AA45" s="6"/>
      <c r="AB45" s="6"/>
      <c r="AC45" s="28">
        <v>21</v>
      </c>
      <c r="AM45" s="57" t="s">
        <v>115</v>
      </c>
      <c r="AN45" s="58">
        <v>-20.91</v>
      </c>
      <c r="AO45" t="s">
        <v>123</v>
      </c>
    </row>
    <row r="46" spans="1:41" ht="15.6" outlineLevel="2">
      <c r="A46" t="s">
        <v>36</v>
      </c>
      <c r="B46" t="s">
        <v>26</v>
      </c>
      <c r="C46" t="s">
        <v>60</v>
      </c>
      <c r="D46" s="6"/>
      <c r="E46" s="6"/>
      <c r="F46" s="6"/>
      <c r="G46" s="6"/>
      <c r="H46" s="6"/>
      <c r="I46" s="6"/>
      <c r="J46" s="6"/>
      <c r="K46" s="6"/>
      <c r="L46" s="6"/>
      <c r="M46" s="6"/>
      <c r="N46" s="6"/>
      <c r="O46" s="6"/>
      <c r="P46" s="6"/>
      <c r="Q46" s="6"/>
      <c r="R46" s="6"/>
      <c r="S46" s="6"/>
      <c r="T46" s="6"/>
      <c r="U46" s="6"/>
      <c r="V46" s="6"/>
      <c r="W46" s="6"/>
      <c r="X46" s="6"/>
      <c r="Y46" s="6"/>
      <c r="Z46" s="6"/>
      <c r="AA46" s="6"/>
      <c r="AB46" s="6"/>
      <c r="AC46" s="28">
        <v>0</v>
      </c>
      <c r="AM46" s="57" t="s">
        <v>116</v>
      </c>
      <c r="AN46" s="58">
        <v>-6.49</v>
      </c>
      <c r="AO46" t="s">
        <v>124</v>
      </c>
    </row>
    <row r="47" spans="1:41" ht="15.6" outlineLevel="1">
      <c r="A47" t="s">
        <v>43</v>
      </c>
      <c r="B47" t="s">
        <v>23</v>
      </c>
      <c r="C47" t="s">
        <v>5</v>
      </c>
      <c r="D47" s="6"/>
      <c r="E47" s="6"/>
      <c r="F47" s="6"/>
      <c r="G47" s="6"/>
      <c r="H47" s="6"/>
      <c r="I47" s="6"/>
      <c r="J47" s="6"/>
      <c r="K47" s="6"/>
      <c r="L47" s="6"/>
      <c r="M47" s="6"/>
      <c r="N47" s="6"/>
      <c r="O47" s="6"/>
      <c r="P47" s="6"/>
      <c r="Q47" s="6"/>
      <c r="R47" s="6"/>
      <c r="S47" s="6"/>
      <c r="T47" s="6"/>
      <c r="U47" s="6"/>
      <c r="V47" s="6"/>
      <c r="W47" s="6"/>
      <c r="X47" s="6"/>
      <c r="Y47" s="63">
        <v>29</v>
      </c>
      <c r="Z47" s="6"/>
      <c r="AA47" s="6"/>
      <c r="AB47" s="6"/>
      <c r="AC47" s="28">
        <v>29</v>
      </c>
      <c r="AM47" s="57" t="s">
        <v>117</v>
      </c>
      <c r="AN47" s="58">
        <v>-22.65</v>
      </c>
      <c r="AO47" t="s">
        <v>125</v>
      </c>
    </row>
    <row r="48" spans="1:41" ht="15.6" outlineLevel="1">
      <c r="A48" t="s">
        <v>50</v>
      </c>
      <c r="B48" t="s">
        <v>23</v>
      </c>
      <c r="C48" t="s">
        <v>5</v>
      </c>
      <c r="D48" s="6"/>
      <c r="E48" s="6"/>
      <c r="F48" s="6"/>
      <c r="G48" s="6"/>
      <c r="H48" s="6"/>
      <c r="I48" s="6"/>
      <c r="J48" s="6"/>
      <c r="K48" s="6"/>
      <c r="L48" s="6"/>
      <c r="M48" s="6"/>
      <c r="N48" s="6"/>
      <c r="O48" s="6"/>
      <c r="P48" s="6"/>
      <c r="Q48" s="6"/>
      <c r="R48" s="6"/>
      <c r="S48" s="6"/>
      <c r="T48" s="6"/>
      <c r="U48" s="6"/>
      <c r="V48" s="6"/>
      <c r="W48" s="6"/>
      <c r="X48" s="6"/>
      <c r="Y48" s="6"/>
      <c r="Z48" s="6"/>
      <c r="AA48" s="6"/>
      <c r="AB48" s="6"/>
      <c r="AC48" s="28">
        <v>0</v>
      </c>
      <c r="AM48" s="57" t="s">
        <v>118</v>
      </c>
      <c r="AN48" s="59">
        <v>-31.88</v>
      </c>
      <c r="AO48" t="s">
        <v>126</v>
      </c>
    </row>
    <row r="49" spans="1:41" ht="15.6" outlineLevel="1">
      <c r="A49" t="s">
        <v>51</v>
      </c>
      <c r="B49" t="s">
        <v>25</v>
      </c>
      <c r="C49" t="s">
        <v>25</v>
      </c>
      <c r="D49" s="6"/>
      <c r="E49" s="6"/>
      <c r="F49" s="6"/>
      <c r="G49" s="6"/>
      <c r="H49" s="6"/>
      <c r="I49" s="6"/>
      <c r="J49" s="6"/>
      <c r="K49" s="6"/>
      <c r="L49" s="6"/>
      <c r="M49" s="6"/>
      <c r="N49" s="6"/>
      <c r="O49" s="6"/>
      <c r="P49" s="6"/>
      <c r="Q49" s="6"/>
      <c r="R49" s="6"/>
      <c r="S49" s="6"/>
      <c r="T49" s="6"/>
      <c r="U49" s="6"/>
      <c r="V49" s="6"/>
      <c r="W49" s="6"/>
      <c r="X49" s="6"/>
      <c r="Y49" s="6"/>
      <c r="Z49" s="6"/>
      <c r="AA49" s="6"/>
      <c r="AB49" s="6"/>
      <c r="AC49" s="28">
        <v>0</v>
      </c>
      <c r="AM49" s="57" t="s">
        <v>119</v>
      </c>
      <c r="AN49" s="58">
        <v>-28.81</v>
      </c>
      <c r="AO49" t="s">
        <v>127</v>
      </c>
    </row>
    <row r="50" spans="1:41" ht="15.6" outlineLevel="1">
      <c r="A50" t="s">
        <v>62</v>
      </c>
      <c r="B50" t="s">
        <v>24</v>
      </c>
      <c r="C50" t="s">
        <v>18</v>
      </c>
      <c r="D50" s="6"/>
      <c r="E50" s="6"/>
      <c r="F50" s="6"/>
      <c r="G50" s="6"/>
      <c r="H50" s="6"/>
      <c r="I50" s="6"/>
      <c r="J50" s="6"/>
      <c r="K50" s="6"/>
      <c r="L50" s="6"/>
      <c r="M50" s="6"/>
      <c r="N50" s="6"/>
      <c r="O50" s="6"/>
      <c r="P50" s="6"/>
      <c r="Q50" s="6"/>
      <c r="R50" s="6"/>
      <c r="S50" s="6"/>
      <c r="T50" s="6"/>
      <c r="U50" s="6"/>
      <c r="V50" s="6"/>
      <c r="W50" s="6"/>
      <c r="X50" s="6"/>
      <c r="Y50" s="6"/>
      <c r="Z50" s="6"/>
      <c r="AA50" s="6"/>
      <c r="AB50" s="6"/>
      <c r="AC50" s="28"/>
      <c r="AM50" s="57" t="s">
        <v>120</v>
      </c>
      <c r="AN50" s="58">
        <v>-10.55</v>
      </c>
      <c r="AO50" t="s">
        <v>128</v>
      </c>
    </row>
    <row r="51" spans="1:41" ht="15.6" outlineLevel="1">
      <c r="C51" t="s">
        <v>63</v>
      </c>
      <c r="D51" s="6"/>
      <c r="E51" s="6"/>
      <c r="F51" s="6"/>
      <c r="G51" s="6"/>
      <c r="H51" s="6"/>
      <c r="I51" s="6"/>
      <c r="J51" s="6"/>
      <c r="K51" s="6"/>
      <c r="L51" s="6"/>
      <c r="M51" s="6"/>
      <c r="N51" s="6"/>
      <c r="O51" s="6"/>
      <c r="P51" s="6"/>
      <c r="Q51" s="6"/>
      <c r="R51" s="6"/>
      <c r="S51" s="6"/>
      <c r="T51" s="6"/>
      <c r="U51" s="6"/>
      <c r="V51" s="6"/>
      <c r="W51" s="6"/>
      <c r="X51" s="6"/>
      <c r="Y51" s="6"/>
      <c r="Z51" s="6"/>
      <c r="AA51" s="6"/>
      <c r="AB51" s="6"/>
      <c r="AC51" s="28"/>
      <c r="AM51" s="57" t="s">
        <v>129</v>
      </c>
      <c r="AN51" s="58">
        <v>-30.25</v>
      </c>
      <c r="AO51" t="s">
        <v>130</v>
      </c>
    </row>
    <row r="52" spans="1:41" ht="15.6" outlineLevel="1">
      <c r="C52" t="s">
        <v>64</v>
      </c>
      <c r="D52" s="6"/>
      <c r="E52" s="6"/>
      <c r="F52" s="6"/>
      <c r="G52" s="6"/>
      <c r="H52" s="6"/>
      <c r="I52" s="6"/>
      <c r="J52" s="6"/>
      <c r="K52" s="6"/>
      <c r="L52" s="6"/>
      <c r="M52" s="6"/>
      <c r="N52" s="6"/>
      <c r="O52" s="6"/>
      <c r="P52" s="6"/>
      <c r="Q52" s="6"/>
      <c r="R52" s="6"/>
      <c r="S52" s="6"/>
      <c r="T52" s="6"/>
      <c r="U52" s="6"/>
      <c r="V52" s="6"/>
      <c r="W52" s="6"/>
      <c r="X52" s="6"/>
      <c r="Y52" s="6"/>
      <c r="Z52" s="6"/>
      <c r="AA52" s="6"/>
      <c r="AB52" s="6"/>
      <c r="AC52" s="28">
        <v>0</v>
      </c>
      <c r="AN52" s="58">
        <v>-931.56999999999982</v>
      </c>
    </row>
    <row r="53" spans="1:41" outlineLevel="1">
      <c r="D53" s="6"/>
      <c r="E53" s="6"/>
      <c r="F53" s="6"/>
      <c r="G53" s="6"/>
      <c r="H53" s="6"/>
      <c r="I53" s="6"/>
      <c r="J53" s="6"/>
      <c r="K53" s="6"/>
      <c r="L53" s="6"/>
      <c r="M53" s="6"/>
      <c r="N53" s="6"/>
      <c r="O53" s="6"/>
      <c r="P53" s="6"/>
      <c r="Q53" s="6"/>
      <c r="R53" s="6"/>
      <c r="S53" s="6"/>
      <c r="T53" s="6"/>
      <c r="U53" s="6"/>
      <c r="V53" s="6"/>
      <c r="W53" s="6"/>
      <c r="X53" s="6"/>
      <c r="Y53" s="6"/>
      <c r="Z53" s="6"/>
      <c r="AA53" s="6"/>
      <c r="AB53" s="6"/>
      <c r="AC53" s="28"/>
      <c r="AN53" s="61">
        <v>932</v>
      </c>
    </row>
    <row r="54" spans="1:41" outlineLevel="1">
      <c r="D54" s="6"/>
      <c r="E54" s="6"/>
      <c r="F54" s="6"/>
      <c r="G54" s="6"/>
      <c r="H54" s="6"/>
      <c r="I54" s="6"/>
      <c r="J54" s="6"/>
      <c r="K54" s="6"/>
      <c r="L54" s="6"/>
      <c r="M54" s="6"/>
      <c r="N54" s="6"/>
      <c r="O54" s="6"/>
      <c r="P54" s="6"/>
      <c r="Q54" s="6"/>
      <c r="R54" s="6"/>
      <c r="S54" s="6"/>
      <c r="T54" s="6"/>
      <c r="U54" s="6"/>
      <c r="V54" s="6"/>
      <c r="W54" s="6"/>
      <c r="X54" s="6"/>
      <c r="Y54" s="6"/>
      <c r="Z54" s="6"/>
      <c r="AA54" s="6"/>
      <c r="AB54" s="6"/>
      <c r="AC54" s="28">
        <v>0</v>
      </c>
      <c r="AN54" s="62">
        <v>0.43000000000017735</v>
      </c>
    </row>
    <row r="55" spans="1:41" outlineLevel="1">
      <c r="C55" s="9" t="s">
        <v>32</v>
      </c>
      <c r="D55" s="28">
        <v>683</v>
      </c>
      <c r="E55" s="28">
        <v>35</v>
      </c>
      <c r="F55" s="28">
        <v>25</v>
      </c>
      <c r="G55" s="28">
        <v>18</v>
      </c>
      <c r="H55" s="28">
        <v>46</v>
      </c>
      <c r="I55" s="28">
        <v>0</v>
      </c>
      <c r="J55" s="28">
        <v>0</v>
      </c>
      <c r="K55" s="28">
        <v>0</v>
      </c>
      <c r="L55" s="28">
        <v>23</v>
      </c>
      <c r="M55" s="28">
        <v>0</v>
      </c>
      <c r="N55" s="28">
        <v>0</v>
      </c>
      <c r="O55" s="28">
        <v>0</v>
      </c>
      <c r="P55" s="28">
        <v>0</v>
      </c>
      <c r="Q55" s="28">
        <v>0</v>
      </c>
      <c r="R55" s="28">
        <v>0</v>
      </c>
      <c r="S55" s="28">
        <v>0</v>
      </c>
      <c r="T55" s="28">
        <v>0</v>
      </c>
      <c r="U55" s="28">
        <v>0</v>
      </c>
      <c r="V55" s="28">
        <v>0</v>
      </c>
      <c r="W55" s="28">
        <v>0</v>
      </c>
      <c r="X55" s="28">
        <v>32</v>
      </c>
      <c r="Y55" s="28">
        <v>29</v>
      </c>
      <c r="Z55" s="28">
        <v>0</v>
      </c>
      <c r="AA55" s="28">
        <v>41</v>
      </c>
      <c r="AB55" s="28">
        <v>0</v>
      </c>
      <c r="AC55" s="28">
        <v>932</v>
      </c>
    </row>
    <row r="56" spans="1:41">
      <c r="A56" s="9" t="s">
        <v>75</v>
      </c>
    </row>
    <row r="58" spans="1:41" outlineLevel="1">
      <c r="E58" s="2" t="s">
        <v>86</v>
      </c>
      <c r="F58" s="2" t="s">
        <v>87</v>
      </c>
      <c r="G58" s="2" t="s">
        <v>88</v>
      </c>
      <c r="H58" s="2" t="s">
        <v>89</v>
      </c>
      <c r="I58" s="2" t="s">
        <v>90</v>
      </c>
      <c r="J58" s="2" t="s">
        <v>84</v>
      </c>
      <c r="K58" s="2" t="s">
        <v>85</v>
      </c>
      <c r="L58" s="2" t="s">
        <v>86</v>
      </c>
      <c r="M58" s="2" t="s">
        <v>87</v>
      </c>
      <c r="N58" s="2" t="s">
        <v>88</v>
      </c>
      <c r="O58" s="2" t="s">
        <v>89</v>
      </c>
      <c r="P58" s="2" t="s">
        <v>90</v>
      </c>
      <c r="Q58" s="2" t="s">
        <v>84</v>
      </c>
      <c r="R58" s="2" t="s">
        <v>85</v>
      </c>
      <c r="S58" s="2" t="s">
        <v>86</v>
      </c>
      <c r="T58" s="2" t="s">
        <v>87</v>
      </c>
      <c r="U58" s="2" t="s">
        <v>88</v>
      </c>
      <c r="V58" s="2" t="s">
        <v>89</v>
      </c>
      <c r="W58" s="2" t="s">
        <v>90</v>
      </c>
      <c r="X58" s="2" t="s">
        <v>84</v>
      </c>
      <c r="Y58" s="2" t="s">
        <v>85</v>
      </c>
      <c r="Z58" s="2" t="s">
        <v>86</v>
      </c>
      <c r="AA58" s="2" t="s">
        <v>87</v>
      </c>
      <c r="AB58" s="2" t="s">
        <v>88</v>
      </c>
    </row>
    <row r="59" spans="1:41" outlineLevel="1">
      <c r="E59" s="34">
        <v>43495</v>
      </c>
      <c r="F59" s="34">
        <v>43496</v>
      </c>
      <c r="G59" s="34">
        <v>43497</v>
      </c>
      <c r="H59" s="34">
        <v>43498</v>
      </c>
      <c r="I59" s="34">
        <v>43499</v>
      </c>
      <c r="J59" s="34">
        <v>43500</v>
      </c>
      <c r="K59" s="34">
        <v>43501</v>
      </c>
      <c r="L59" s="34">
        <v>43502</v>
      </c>
      <c r="M59" s="34">
        <v>43503</v>
      </c>
      <c r="N59" s="34">
        <v>43504</v>
      </c>
      <c r="O59" s="34">
        <v>43505</v>
      </c>
      <c r="P59" s="34">
        <v>43506</v>
      </c>
      <c r="Q59" s="34">
        <v>43507</v>
      </c>
      <c r="R59" s="34">
        <v>43508</v>
      </c>
      <c r="S59" s="34">
        <v>43509</v>
      </c>
      <c r="T59" s="34">
        <v>43510</v>
      </c>
      <c r="U59" s="34">
        <v>43511</v>
      </c>
      <c r="V59" s="34">
        <v>43512</v>
      </c>
      <c r="W59" s="34">
        <v>43513</v>
      </c>
      <c r="X59" s="34">
        <v>43514</v>
      </c>
      <c r="Y59" s="34">
        <v>43515</v>
      </c>
      <c r="Z59" s="34">
        <v>43516</v>
      </c>
      <c r="AA59" s="34">
        <v>43517</v>
      </c>
      <c r="AB59" s="34">
        <v>43518</v>
      </c>
    </row>
    <row r="60" spans="1:41" outlineLevel="1">
      <c r="F60" s="2">
        <v>1</v>
      </c>
      <c r="G60" s="2">
        <v>2</v>
      </c>
      <c r="H60" s="2">
        <v>3</v>
      </c>
      <c r="I60" s="2">
        <v>4</v>
      </c>
      <c r="J60" s="2">
        <v>5</v>
      </c>
      <c r="K60" s="2">
        <v>6</v>
      </c>
      <c r="L60" s="2">
        <v>7</v>
      </c>
      <c r="M60" s="2">
        <v>8</v>
      </c>
      <c r="N60" s="2">
        <v>9</v>
      </c>
      <c r="O60" s="2">
        <v>10</v>
      </c>
      <c r="P60" s="2">
        <v>11</v>
      </c>
      <c r="Q60" s="2">
        <v>12</v>
      </c>
      <c r="R60" s="2">
        <v>13</v>
      </c>
      <c r="S60" s="2">
        <v>14</v>
      </c>
      <c r="T60" s="2">
        <v>15</v>
      </c>
      <c r="U60" s="2">
        <v>16</v>
      </c>
      <c r="V60" s="2">
        <v>17</v>
      </c>
      <c r="W60" s="2">
        <v>18</v>
      </c>
      <c r="X60" s="2">
        <v>19</v>
      </c>
      <c r="Y60" s="2">
        <v>20</v>
      </c>
      <c r="Z60" s="2">
        <v>21</v>
      </c>
      <c r="AA60" s="2">
        <v>22</v>
      </c>
      <c r="AB60" s="2">
        <v>0</v>
      </c>
    </row>
    <row r="61" spans="1:41" outlineLevel="1">
      <c r="B61" t="s">
        <v>21</v>
      </c>
      <c r="C61" t="s">
        <v>0</v>
      </c>
      <c r="D61" s="6">
        <v>0</v>
      </c>
      <c r="E61" s="6">
        <v>0</v>
      </c>
      <c r="F61" s="6">
        <v>0</v>
      </c>
      <c r="G61" s="6">
        <v>0</v>
      </c>
      <c r="H61" s="6">
        <v>4.9949673170260267</v>
      </c>
      <c r="I61" s="6">
        <v>0</v>
      </c>
      <c r="J61" s="6">
        <v>0</v>
      </c>
      <c r="K61" s="6">
        <v>0</v>
      </c>
      <c r="L61" s="6">
        <v>0</v>
      </c>
      <c r="M61" s="6">
        <v>0</v>
      </c>
      <c r="N61" s="6">
        <v>0</v>
      </c>
      <c r="O61" s="6">
        <v>0</v>
      </c>
      <c r="P61" s="6">
        <v>0</v>
      </c>
      <c r="Q61" s="6">
        <v>0</v>
      </c>
      <c r="R61" s="6">
        <v>0</v>
      </c>
      <c r="S61" s="6">
        <v>0</v>
      </c>
      <c r="T61" s="6">
        <v>3.0738260412467855</v>
      </c>
      <c r="U61" s="6">
        <v>3.842282551558482</v>
      </c>
      <c r="V61" s="6">
        <v>5.7634238273377232</v>
      </c>
      <c r="W61" s="6">
        <v>1.921141275779241</v>
      </c>
      <c r="X61" s="6">
        <v>0</v>
      </c>
      <c r="Y61" s="6">
        <v>0</v>
      </c>
      <c r="Z61" s="6">
        <v>2.6895977860909372</v>
      </c>
      <c r="AA61" s="6">
        <v>5.3791955721818745</v>
      </c>
      <c r="AB61" s="6">
        <v>0</v>
      </c>
      <c r="AC61" s="28">
        <v>27.664434371221066</v>
      </c>
      <c r="AE61" s="20">
        <v>1.2574742896009576</v>
      </c>
      <c r="AF61" s="20">
        <v>1.2574742896009576</v>
      </c>
    </row>
    <row r="62" spans="1:41" outlineLevel="1">
      <c r="B62" t="s">
        <v>21</v>
      </c>
      <c r="C62" t="s">
        <v>1</v>
      </c>
      <c r="D62" s="6">
        <v>0</v>
      </c>
      <c r="E62" s="6">
        <v>14</v>
      </c>
      <c r="F62" s="6">
        <v>9.8817119136688625</v>
      </c>
      <c r="G62" s="6">
        <v>18.635070375058636</v>
      </c>
      <c r="H62" s="6">
        <v>15.369130206233928</v>
      </c>
      <c r="I62" s="6">
        <v>11.71896178225337</v>
      </c>
      <c r="J62" s="6">
        <v>18.058727992324865</v>
      </c>
      <c r="K62" s="6">
        <v>11.526847654675446</v>
      </c>
      <c r="L62" s="6">
        <v>11.142619399519598</v>
      </c>
      <c r="M62" s="6">
        <v>16.329700844123547</v>
      </c>
      <c r="N62" s="6">
        <v>5.1870814446039502</v>
      </c>
      <c r="O62" s="6">
        <v>13.447988930454686</v>
      </c>
      <c r="P62" s="6">
        <v>13.832217185610535</v>
      </c>
      <c r="Q62" s="6">
        <v>1.5369130206233927</v>
      </c>
      <c r="R62" s="6">
        <v>3.0738260412467855</v>
      </c>
      <c r="S62" s="6">
        <v>2.305369530935089</v>
      </c>
      <c r="T62" s="6">
        <v>7.4924509755390396</v>
      </c>
      <c r="U62" s="6">
        <v>12.679532420142991</v>
      </c>
      <c r="V62" s="6">
        <v>4.610739061870178</v>
      </c>
      <c r="W62" s="6">
        <v>10.3741628892079</v>
      </c>
      <c r="X62" s="6">
        <v>4.0343966791364059</v>
      </c>
      <c r="Y62" s="6">
        <v>0</v>
      </c>
      <c r="Z62" s="6">
        <v>9.221478123740356</v>
      </c>
      <c r="AA62" s="6">
        <v>26.369130206233926</v>
      </c>
      <c r="AB62" s="6">
        <v>0</v>
      </c>
      <c r="AC62" s="28">
        <v>240.82805667720351</v>
      </c>
      <c r="AE62" s="20">
        <v>10.946729848963797</v>
      </c>
      <c r="AF62" s="20">
        <v>10.946729848963797</v>
      </c>
    </row>
    <row r="63" spans="1:41" outlineLevel="1">
      <c r="B63" t="s">
        <v>21</v>
      </c>
      <c r="C63" t="s">
        <v>71</v>
      </c>
      <c r="D63" s="6">
        <v>0</v>
      </c>
      <c r="E63" s="6">
        <v>0</v>
      </c>
      <c r="F63" s="6">
        <v>2.6895977860909372</v>
      </c>
      <c r="G63" s="6">
        <v>6.3397662100714953</v>
      </c>
      <c r="H63" s="6">
        <v>2.305369530935089</v>
      </c>
      <c r="I63" s="6">
        <v>9.221478123740356</v>
      </c>
      <c r="J63" s="6">
        <v>3.4580542964026337</v>
      </c>
      <c r="K63" s="6">
        <v>5.9555379549156466</v>
      </c>
      <c r="L63" s="6">
        <v>0</v>
      </c>
      <c r="M63" s="6">
        <v>0</v>
      </c>
      <c r="N63" s="6">
        <v>0</v>
      </c>
      <c r="O63" s="6">
        <v>0.76845651031169637</v>
      </c>
      <c r="P63" s="6">
        <v>4.2265108067143302</v>
      </c>
      <c r="Q63" s="6">
        <v>6.5318803376494188</v>
      </c>
      <c r="R63" s="6">
        <v>1.921141275779241</v>
      </c>
      <c r="S63" s="6">
        <v>1.1526847654675445</v>
      </c>
      <c r="T63" s="6">
        <v>0</v>
      </c>
      <c r="U63" s="6">
        <v>4.2265108067143302</v>
      </c>
      <c r="V63" s="6">
        <v>0.57634238273377225</v>
      </c>
      <c r="W63" s="6">
        <v>2.305369530935089</v>
      </c>
      <c r="X63" s="6">
        <v>7.1082227203831918</v>
      </c>
      <c r="Y63" s="6">
        <v>23.053695309350893</v>
      </c>
      <c r="Z63" s="6">
        <v>23.053695309350893</v>
      </c>
      <c r="AA63" s="6">
        <v>0</v>
      </c>
      <c r="AB63" s="6">
        <v>0</v>
      </c>
      <c r="AC63" s="28">
        <v>104.89431365754655</v>
      </c>
      <c r="AE63" s="20">
        <v>4.7679233480702976</v>
      </c>
      <c r="AF63" s="20">
        <v>4.7679233480702976</v>
      </c>
    </row>
    <row r="64" spans="1:41" outlineLevel="1">
      <c r="B64" t="s">
        <v>21</v>
      </c>
      <c r="C64" t="s">
        <v>2</v>
      </c>
      <c r="D64" s="6">
        <v>0</v>
      </c>
      <c r="E64" s="6">
        <v>2.8817119136688616</v>
      </c>
      <c r="F64" s="6">
        <v>10.758391144363749</v>
      </c>
      <c r="G64" s="6">
        <v>0.6147652082493571</v>
      </c>
      <c r="H64" s="6">
        <v>7.3003368479611153</v>
      </c>
      <c r="I64" s="6">
        <v>0</v>
      </c>
      <c r="J64" s="6">
        <v>1.921141275779241</v>
      </c>
      <c r="K64" s="6">
        <v>3.4580542964026337</v>
      </c>
      <c r="L64" s="6">
        <v>0</v>
      </c>
      <c r="M64" s="6">
        <v>1.921141275779241</v>
      </c>
      <c r="N64" s="6">
        <v>12.026344386378048</v>
      </c>
      <c r="O64" s="6">
        <v>2.305369530935089</v>
      </c>
      <c r="P64" s="6">
        <v>2.305369530935089</v>
      </c>
      <c r="Q64" s="6">
        <v>0</v>
      </c>
      <c r="R64" s="6">
        <v>0</v>
      </c>
      <c r="S64" s="6">
        <v>0</v>
      </c>
      <c r="T64" s="6">
        <v>5.3791955721818745</v>
      </c>
      <c r="U64" s="6">
        <v>1.5369130206233927</v>
      </c>
      <c r="V64" s="6">
        <v>4.4186249342922546</v>
      </c>
      <c r="W64" s="6">
        <v>3.4580542964026337</v>
      </c>
      <c r="X64" s="6">
        <v>0</v>
      </c>
      <c r="Y64" s="6">
        <v>0</v>
      </c>
      <c r="Z64" s="6">
        <v>0</v>
      </c>
      <c r="AA64" s="6">
        <v>0</v>
      </c>
      <c r="AB64" s="6">
        <v>0</v>
      </c>
      <c r="AC64" s="28">
        <v>60.285413233952589</v>
      </c>
      <c r="AE64" s="20">
        <v>2.740246056088754</v>
      </c>
      <c r="AF64" s="20">
        <v>2.740246056088754</v>
      </c>
    </row>
    <row r="65" spans="1:32" outlineLevel="1">
      <c r="B65" t="s">
        <v>23</v>
      </c>
      <c r="C65" t="s">
        <v>5</v>
      </c>
      <c r="D65" s="6">
        <v>0</v>
      </c>
      <c r="E65" s="6">
        <v>0</v>
      </c>
      <c r="F65" s="6">
        <v>0</v>
      </c>
      <c r="G65" s="6">
        <v>2.305369530935089</v>
      </c>
      <c r="H65" s="6">
        <v>0</v>
      </c>
      <c r="I65" s="6">
        <v>5.9555379549156466</v>
      </c>
      <c r="J65" s="6">
        <v>3.842282551558482</v>
      </c>
      <c r="K65" s="6">
        <v>3.842282551558482</v>
      </c>
      <c r="L65" s="6">
        <v>36.501684239805577</v>
      </c>
      <c r="M65" s="6">
        <v>39.959738536208214</v>
      </c>
      <c r="N65" s="6">
        <v>14.216445440766384</v>
      </c>
      <c r="O65" s="6">
        <v>0</v>
      </c>
      <c r="P65" s="6">
        <v>0</v>
      </c>
      <c r="Q65" s="6">
        <v>21.516782288727498</v>
      </c>
      <c r="R65" s="6">
        <v>3.842282551558482</v>
      </c>
      <c r="S65" s="6">
        <v>0</v>
      </c>
      <c r="T65" s="6">
        <v>5.3791955721818745</v>
      </c>
      <c r="U65" s="6">
        <v>6.7239944652273431</v>
      </c>
      <c r="V65" s="6">
        <v>5.3791955721818745</v>
      </c>
      <c r="W65" s="6">
        <v>0</v>
      </c>
      <c r="X65" s="6">
        <v>0</v>
      </c>
      <c r="Y65" s="6">
        <v>29</v>
      </c>
      <c r="Z65" s="6">
        <v>0</v>
      </c>
      <c r="AA65" s="6">
        <v>0</v>
      </c>
      <c r="AB65" s="6">
        <v>0</v>
      </c>
      <c r="AC65" s="28">
        <v>178.46479125562496</v>
      </c>
      <c r="AE65" s="20">
        <v>8.1120359661647701</v>
      </c>
      <c r="AF65" s="20">
        <v>8.1120359661647701</v>
      </c>
    </row>
    <row r="66" spans="1:32" outlineLevel="1">
      <c r="B66" t="s">
        <v>21</v>
      </c>
      <c r="C66" t="s">
        <v>27</v>
      </c>
      <c r="D66" s="6">
        <v>0</v>
      </c>
      <c r="E66" s="6">
        <v>0</v>
      </c>
      <c r="F66" s="6">
        <v>0</v>
      </c>
      <c r="G66" s="6">
        <v>1.921141275779241</v>
      </c>
      <c r="H66" s="6">
        <v>1.5369130206233927</v>
      </c>
      <c r="I66" s="6">
        <v>0</v>
      </c>
      <c r="J66" s="6">
        <v>0</v>
      </c>
      <c r="K66" s="6">
        <v>0</v>
      </c>
      <c r="L66" s="6">
        <v>0</v>
      </c>
      <c r="M66" s="6">
        <v>0</v>
      </c>
      <c r="N66" s="6">
        <v>0</v>
      </c>
      <c r="O66" s="6">
        <v>0</v>
      </c>
      <c r="P66" s="6">
        <v>0</v>
      </c>
      <c r="Q66" s="6">
        <v>0</v>
      </c>
      <c r="R66" s="6">
        <v>0</v>
      </c>
      <c r="S66" s="6">
        <v>0</v>
      </c>
      <c r="T66" s="6">
        <v>0</v>
      </c>
      <c r="U66" s="6">
        <v>0</v>
      </c>
      <c r="V66" s="6">
        <v>0</v>
      </c>
      <c r="W66" s="6">
        <v>1.5369130206233927</v>
      </c>
      <c r="X66" s="6">
        <v>2.1132554033571651</v>
      </c>
      <c r="Y66" s="6">
        <v>0</v>
      </c>
      <c r="Z66" s="6">
        <v>0</v>
      </c>
      <c r="AA66" s="6">
        <v>0</v>
      </c>
      <c r="AB66" s="6">
        <v>0</v>
      </c>
      <c r="AC66" s="28">
        <v>7.1082227203831918</v>
      </c>
      <c r="AE66" s="20">
        <v>0.32310103274469054</v>
      </c>
      <c r="AF66" s="23">
        <v>0.16155051637234527</v>
      </c>
    </row>
    <row r="67" spans="1:32" outlineLevel="1">
      <c r="B67" t="s">
        <v>25</v>
      </c>
      <c r="C67" t="s">
        <v>28</v>
      </c>
      <c r="D67" s="6">
        <v>0</v>
      </c>
      <c r="E67" s="6">
        <v>0</v>
      </c>
      <c r="F67" s="6">
        <v>11.526847654675446</v>
      </c>
      <c r="G67" s="6">
        <v>0</v>
      </c>
      <c r="H67" s="6">
        <v>24.590608329974284</v>
      </c>
      <c r="I67" s="6">
        <v>0</v>
      </c>
      <c r="J67" s="6">
        <v>0</v>
      </c>
      <c r="K67" s="6">
        <v>0</v>
      </c>
      <c r="L67" s="6">
        <v>34.580542964026336</v>
      </c>
      <c r="M67" s="6">
        <v>0</v>
      </c>
      <c r="N67" s="6">
        <v>0</v>
      </c>
      <c r="O67" s="6">
        <v>3.0738260412467855</v>
      </c>
      <c r="P67" s="6">
        <v>0</v>
      </c>
      <c r="Q67" s="6">
        <v>0</v>
      </c>
      <c r="R67" s="6">
        <v>0</v>
      </c>
      <c r="S67" s="6">
        <v>0</v>
      </c>
      <c r="T67" s="6">
        <v>0</v>
      </c>
      <c r="U67" s="6">
        <v>0</v>
      </c>
      <c r="V67" s="6">
        <v>0</v>
      </c>
      <c r="W67" s="6">
        <v>0</v>
      </c>
      <c r="X67" s="6">
        <v>0</v>
      </c>
      <c r="Y67" s="6">
        <v>0</v>
      </c>
      <c r="Z67" s="6">
        <v>0</v>
      </c>
      <c r="AA67" s="6">
        <v>43.447988930454684</v>
      </c>
      <c r="AB67" s="6">
        <v>0</v>
      </c>
      <c r="AC67" s="28">
        <v>117.21981392037753</v>
      </c>
      <c r="AE67" s="20">
        <v>5.3281733600171606</v>
      </c>
      <c r="AF67" s="23">
        <v>2.6640866800085803</v>
      </c>
    </row>
    <row r="68" spans="1:32" outlineLevel="1">
      <c r="B68" t="s">
        <v>21</v>
      </c>
      <c r="C68" t="s">
        <v>8</v>
      </c>
      <c r="D68" s="6">
        <v>0</v>
      </c>
      <c r="E68" s="6">
        <v>0</v>
      </c>
      <c r="F68" s="6">
        <v>18</v>
      </c>
      <c r="G68" s="6">
        <v>18</v>
      </c>
      <c r="H68" s="6">
        <v>36.655375541867919</v>
      </c>
      <c r="I68" s="6">
        <v>36.655375541867919</v>
      </c>
      <c r="J68" s="6">
        <v>36.655375541867919</v>
      </c>
      <c r="K68" s="6">
        <v>36.655375541867919</v>
      </c>
      <c r="L68" s="6">
        <v>23</v>
      </c>
      <c r="M68" s="6">
        <v>24.513762678943113</v>
      </c>
      <c r="N68" s="6">
        <v>24.513762678943113</v>
      </c>
      <c r="O68" s="6">
        <v>17.905036690262527</v>
      </c>
      <c r="P68" s="6">
        <v>0</v>
      </c>
      <c r="Q68" s="6">
        <v>17.290271482013168</v>
      </c>
      <c r="R68" s="6">
        <v>0</v>
      </c>
      <c r="S68" s="6">
        <v>9.221478123740356</v>
      </c>
      <c r="T68" s="6">
        <v>7.6845651031169639</v>
      </c>
      <c r="U68" s="6">
        <v>13.447988930454686</v>
      </c>
      <c r="V68" s="6">
        <v>5.7634238273377232</v>
      </c>
      <c r="W68" s="6">
        <v>5.7634238273377232</v>
      </c>
      <c r="X68" s="6">
        <v>83.102357935727809</v>
      </c>
      <c r="Y68" s="6">
        <v>28.817119136688614</v>
      </c>
      <c r="Z68" s="6">
        <v>28.817119136688614</v>
      </c>
      <c r="AA68" s="6">
        <v>15.369130206233928</v>
      </c>
      <c r="AB68" s="6">
        <v>0</v>
      </c>
      <c r="AC68" s="28">
        <v>487.83094192496009</v>
      </c>
      <c r="AE68" s="20">
        <v>22.174133723861821</v>
      </c>
      <c r="AF68" s="23">
        <v>11.087066861930911</v>
      </c>
    </row>
    <row r="69" spans="1:32" outlineLevel="1">
      <c r="B69" t="s">
        <v>26</v>
      </c>
      <c r="C69" t="s">
        <v>25</v>
      </c>
      <c r="D69" s="6">
        <v>683</v>
      </c>
      <c r="E69" s="6">
        <v>0</v>
      </c>
      <c r="F69" s="6">
        <v>0</v>
      </c>
      <c r="G69" s="6">
        <v>0</v>
      </c>
      <c r="H69" s="6">
        <v>46</v>
      </c>
      <c r="I69" s="6">
        <v>0</v>
      </c>
      <c r="J69" s="6">
        <v>0</v>
      </c>
      <c r="K69" s="6">
        <v>0</v>
      </c>
      <c r="L69" s="6">
        <v>74.924509755390403</v>
      </c>
      <c r="M69" s="6">
        <v>17.674499737169018</v>
      </c>
      <c r="N69" s="6">
        <v>0</v>
      </c>
      <c r="O69" s="6">
        <v>11.142619399519598</v>
      </c>
      <c r="P69" s="6">
        <v>0</v>
      </c>
      <c r="Q69" s="6">
        <v>0</v>
      </c>
      <c r="R69" s="6">
        <v>9.6057063788962047</v>
      </c>
      <c r="S69" s="6">
        <v>7.6845651031169639</v>
      </c>
      <c r="T69" s="6">
        <v>0</v>
      </c>
      <c r="U69" s="6">
        <v>0</v>
      </c>
      <c r="V69" s="6">
        <v>0</v>
      </c>
      <c r="W69" s="6">
        <v>7.6845651031169639</v>
      </c>
      <c r="X69" s="6">
        <v>0</v>
      </c>
      <c r="Y69" s="6">
        <v>0</v>
      </c>
      <c r="Z69" s="6">
        <v>0</v>
      </c>
      <c r="AA69" s="6">
        <v>0</v>
      </c>
      <c r="AB69" s="6">
        <v>0</v>
      </c>
      <c r="AC69" s="28">
        <v>857.71646547720923</v>
      </c>
      <c r="AE69" s="20">
        <v>7.941657521691325</v>
      </c>
      <c r="AF69" s="20">
        <v>7.941657521691325</v>
      </c>
    </row>
    <row r="70" spans="1:32" outlineLevel="1">
      <c r="B70" t="s">
        <v>24</v>
      </c>
      <c r="C70" t="s">
        <v>19</v>
      </c>
      <c r="D70" s="6">
        <v>0</v>
      </c>
      <c r="E70" s="6">
        <v>0</v>
      </c>
      <c r="F70" s="6">
        <v>0</v>
      </c>
      <c r="G70" s="6">
        <v>0</v>
      </c>
      <c r="H70" s="6">
        <v>0</v>
      </c>
      <c r="I70" s="6">
        <v>0</v>
      </c>
      <c r="J70" s="6">
        <v>0</v>
      </c>
      <c r="K70" s="6">
        <v>0</v>
      </c>
      <c r="L70" s="6">
        <v>0</v>
      </c>
      <c r="M70" s="6">
        <v>0</v>
      </c>
      <c r="N70" s="6">
        <v>0</v>
      </c>
      <c r="O70" s="6">
        <v>0</v>
      </c>
      <c r="P70" s="6">
        <v>0</v>
      </c>
      <c r="Q70" s="6">
        <v>0</v>
      </c>
      <c r="R70" s="6">
        <v>0</v>
      </c>
      <c r="S70" s="6">
        <v>0</v>
      </c>
      <c r="T70" s="6">
        <v>0</v>
      </c>
      <c r="U70" s="6">
        <v>0</v>
      </c>
      <c r="V70" s="6">
        <v>0</v>
      </c>
      <c r="W70" s="6">
        <v>0</v>
      </c>
      <c r="X70" s="6">
        <v>0</v>
      </c>
      <c r="Y70" s="6">
        <v>0</v>
      </c>
      <c r="Z70" s="6">
        <v>0</v>
      </c>
      <c r="AA70" s="6">
        <v>0</v>
      </c>
      <c r="AB70" s="6">
        <v>0</v>
      </c>
      <c r="AC70" s="28">
        <v>0</v>
      </c>
      <c r="AE70" s="20">
        <v>0</v>
      </c>
      <c r="AF70" s="20">
        <v>0</v>
      </c>
    </row>
    <row r="71" spans="1:32" outlineLevel="1">
      <c r="B71" t="s">
        <v>24</v>
      </c>
      <c r="C71" t="s">
        <v>18</v>
      </c>
      <c r="D71" s="6">
        <v>0</v>
      </c>
      <c r="E71" s="6">
        <v>0</v>
      </c>
      <c r="F71" s="6">
        <v>0</v>
      </c>
      <c r="G71" s="6">
        <v>0</v>
      </c>
      <c r="H71" s="6">
        <v>0</v>
      </c>
      <c r="I71" s="6">
        <v>0</v>
      </c>
      <c r="J71" s="6">
        <v>0</v>
      </c>
      <c r="K71" s="6">
        <v>0</v>
      </c>
      <c r="L71" s="6">
        <v>0</v>
      </c>
      <c r="M71" s="6">
        <v>0</v>
      </c>
      <c r="N71" s="6">
        <v>0</v>
      </c>
      <c r="O71" s="6">
        <v>0</v>
      </c>
      <c r="P71" s="6">
        <v>0</v>
      </c>
      <c r="Q71" s="6">
        <v>0</v>
      </c>
      <c r="R71" s="6">
        <v>0</v>
      </c>
      <c r="S71" s="6">
        <v>0</v>
      </c>
      <c r="T71" s="6">
        <v>0</v>
      </c>
      <c r="U71" s="6">
        <v>0</v>
      </c>
      <c r="V71" s="6">
        <v>0</v>
      </c>
      <c r="W71" s="6">
        <v>0</v>
      </c>
      <c r="X71" s="6">
        <v>0</v>
      </c>
      <c r="Y71" s="6">
        <v>0</v>
      </c>
      <c r="Z71" s="6">
        <v>0</v>
      </c>
      <c r="AA71" s="6">
        <v>0</v>
      </c>
      <c r="AB71" s="6">
        <v>0</v>
      </c>
      <c r="AC71" s="28">
        <v>0</v>
      </c>
      <c r="AE71" s="20">
        <v>0</v>
      </c>
      <c r="AF71" s="20">
        <v>0</v>
      </c>
    </row>
    <row r="72" spans="1:32" outlineLevel="1">
      <c r="B72" t="s">
        <v>24</v>
      </c>
      <c r="C72" t="s">
        <v>6</v>
      </c>
      <c r="D72" s="6">
        <v>0</v>
      </c>
      <c r="E72" s="6">
        <v>21</v>
      </c>
      <c r="F72" s="6">
        <v>0</v>
      </c>
      <c r="G72" s="6">
        <v>0</v>
      </c>
      <c r="H72" s="6">
        <v>0</v>
      </c>
      <c r="I72" s="6">
        <v>0</v>
      </c>
      <c r="J72" s="6">
        <v>0</v>
      </c>
      <c r="K72" s="6">
        <v>0</v>
      </c>
      <c r="L72" s="6">
        <v>0</v>
      </c>
      <c r="M72" s="6">
        <v>0</v>
      </c>
      <c r="N72" s="6">
        <v>0</v>
      </c>
      <c r="O72" s="6">
        <v>0</v>
      </c>
      <c r="P72" s="6">
        <v>0</v>
      </c>
      <c r="Q72" s="6">
        <v>0</v>
      </c>
      <c r="R72" s="6">
        <v>7.6845651031169639</v>
      </c>
      <c r="S72" s="6">
        <v>0</v>
      </c>
      <c r="T72" s="6">
        <v>0</v>
      </c>
      <c r="U72" s="6">
        <v>0</v>
      </c>
      <c r="V72" s="6">
        <v>0</v>
      </c>
      <c r="W72" s="6">
        <v>0</v>
      </c>
      <c r="X72" s="6">
        <v>0</v>
      </c>
      <c r="Y72" s="6">
        <v>0</v>
      </c>
      <c r="Z72" s="6">
        <v>13.832217185610535</v>
      </c>
      <c r="AA72" s="6">
        <v>36.501684239805577</v>
      </c>
      <c r="AB72" s="6">
        <v>0</v>
      </c>
      <c r="AC72" s="28">
        <v>79.018466528533082</v>
      </c>
      <c r="AE72" s="20">
        <v>3.5917484785696856</v>
      </c>
      <c r="AF72" s="20">
        <v>3.5917484785696856</v>
      </c>
    </row>
    <row r="73" spans="1:32" outlineLevel="1">
      <c r="B73" t="s">
        <v>24</v>
      </c>
      <c r="C73" t="s">
        <v>3</v>
      </c>
      <c r="D73" s="6">
        <v>0</v>
      </c>
      <c r="E73" s="6">
        <v>0</v>
      </c>
      <c r="F73" s="6">
        <v>0</v>
      </c>
      <c r="G73" s="6">
        <v>1.921141275779241</v>
      </c>
      <c r="H73" s="6">
        <v>0</v>
      </c>
      <c r="I73" s="6">
        <v>0</v>
      </c>
      <c r="J73" s="6">
        <v>0</v>
      </c>
      <c r="K73" s="6">
        <v>0</v>
      </c>
      <c r="L73" s="6">
        <v>0</v>
      </c>
      <c r="M73" s="6">
        <v>0</v>
      </c>
      <c r="N73" s="6">
        <v>0</v>
      </c>
      <c r="O73" s="6">
        <v>0</v>
      </c>
      <c r="P73" s="6">
        <v>10.758391144363749</v>
      </c>
      <c r="Q73" s="6">
        <v>0</v>
      </c>
      <c r="R73" s="6">
        <v>0</v>
      </c>
      <c r="S73" s="6">
        <v>0</v>
      </c>
      <c r="T73" s="6">
        <v>4.2265108067143302</v>
      </c>
      <c r="U73" s="6">
        <v>5.7634238273377232</v>
      </c>
      <c r="V73" s="6">
        <v>0</v>
      </c>
      <c r="W73" s="6">
        <v>0</v>
      </c>
      <c r="X73" s="6">
        <v>76.845651031169638</v>
      </c>
      <c r="Y73" s="6">
        <v>23.053695309350893</v>
      </c>
      <c r="Z73" s="6">
        <v>0</v>
      </c>
      <c r="AA73" s="6">
        <v>38.038597260428972</v>
      </c>
      <c r="AB73" s="6">
        <v>0</v>
      </c>
      <c r="AC73" s="28">
        <v>160.60741065514458</v>
      </c>
      <c r="AE73" s="20">
        <v>7.300336847961117</v>
      </c>
      <c r="AF73" s="20">
        <v>7.300336847961117</v>
      </c>
    </row>
    <row r="74" spans="1:32" outlineLevel="1">
      <c r="B74" t="s">
        <v>23</v>
      </c>
      <c r="C74" t="s">
        <v>4</v>
      </c>
      <c r="D74" s="6">
        <v>0</v>
      </c>
      <c r="E74" s="6">
        <v>0</v>
      </c>
      <c r="F74" s="6">
        <v>0</v>
      </c>
      <c r="G74" s="6">
        <v>21.132554033571651</v>
      </c>
      <c r="H74" s="6">
        <v>0</v>
      </c>
      <c r="I74" s="6">
        <v>0</v>
      </c>
      <c r="J74" s="6">
        <v>0</v>
      </c>
      <c r="K74" s="6">
        <v>15.369130206233928</v>
      </c>
      <c r="L74" s="6">
        <v>0</v>
      </c>
      <c r="M74" s="6">
        <v>0</v>
      </c>
      <c r="N74" s="6">
        <v>0</v>
      </c>
      <c r="O74" s="6">
        <v>0</v>
      </c>
      <c r="P74" s="6">
        <v>0</v>
      </c>
      <c r="Q74" s="6">
        <v>0</v>
      </c>
      <c r="R74" s="6">
        <v>0</v>
      </c>
      <c r="S74" s="6">
        <v>0</v>
      </c>
      <c r="T74" s="6">
        <v>0</v>
      </c>
      <c r="U74" s="6">
        <v>0</v>
      </c>
      <c r="V74" s="6">
        <v>0</v>
      </c>
      <c r="W74" s="6">
        <v>0</v>
      </c>
      <c r="X74" s="6">
        <v>0</v>
      </c>
      <c r="Y74" s="6">
        <v>0</v>
      </c>
      <c r="Z74" s="6">
        <v>0</v>
      </c>
      <c r="AA74" s="6">
        <v>0</v>
      </c>
      <c r="AB74" s="6">
        <v>0</v>
      </c>
      <c r="AC74" s="28">
        <v>36.501684239805577</v>
      </c>
      <c r="AE74" s="20">
        <v>1.659167465445708</v>
      </c>
      <c r="AF74" s="20">
        <v>1.659167465445708</v>
      </c>
    </row>
    <row r="75" spans="1:32" outlineLevel="2">
      <c r="B75" t="s">
        <v>26</v>
      </c>
      <c r="C75" t="s">
        <v>60</v>
      </c>
      <c r="D75" s="6">
        <v>0</v>
      </c>
      <c r="E75" s="6">
        <v>0</v>
      </c>
      <c r="F75" s="6">
        <v>0</v>
      </c>
      <c r="G75" s="6">
        <v>0</v>
      </c>
      <c r="H75" s="6">
        <v>0</v>
      </c>
      <c r="I75" s="6">
        <v>26.895977860909372</v>
      </c>
      <c r="J75" s="6">
        <v>0</v>
      </c>
      <c r="K75" s="6">
        <v>0</v>
      </c>
      <c r="L75" s="6">
        <v>0</v>
      </c>
      <c r="M75" s="6">
        <v>0</v>
      </c>
      <c r="N75" s="6">
        <v>0</v>
      </c>
      <c r="O75" s="6">
        <v>0</v>
      </c>
      <c r="P75" s="6">
        <v>0</v>
      </c>
      <c r="Q75" s="6">
        <v>0</v>
      </c>
      <c r="R75" s="6">
        <v>0</v>
      </c>
      <c r="S75" s="6">
        <v>0</v>
      </c>
      <c r="T75" s="6">
        <v>0</v>
      </c>
      <c r="U75" s="6">
        <v>0</v>
      </c>
      <c r="V75" s="6">
        <v>0</v>
      </c>
      <c r="W75" s="6">
        <v>0</v>
      </c>
      <c r="X75" s="6">
        <v>0</v>
      </c>
      <c r="Y75" s="6">
        <v>36.501684239805577</v>
      </c>
      <c r="Z75" s="6">
        <v>48.028531894481027</v>
      </c>
      <c r="AA75" s="6">
        <v>0</v>
      </c>
      <c r="AB75" s="6"/>
      <c r="AC75" s="28">
        <v>111.42619399519597</v>
      </c>
      <c r="AE75" s="20">
        <v>5.0648269997816353</v>
      </c>
      <c r="AF75" s="20">
        <v>5.0648269997816353</v>
      </c>
    </row>
    <row r="76" spans="1:32" outlineLevel="1">
      <c r="D76" s="6"/>
      <c r="E76" s="6"/>
      <c r="F76" s="6"/>
      <c r="G76" s="6"/>
      <c r="H76" s="6"/>
      <c r="I76" s="6"/>
      <c r="J76" s="6"/>
      <c r="K76" s="6"/>
      <c r="L76" s="6"/>
      <c r="M76" s="6"/>
      <c r="N76" s="6"/>
      <c r="O76" s="6"/>
      <c r="P76" s="6"/>
      <c r="Q76" s="6"/>
      <c r="R76" s="6"/>
      <c r="S76" s="6"/>
      <c r="T76" s="6"/>
      <c r="U76" s="6"/>
      <c r="V76" s="6"/>
      <c r="W76" s="6"/>
      <c r="X76" s="6"/>
      <c r="Y76" s="6"/>
      <c r="Z76" s="6"/>
      <c r="AA76" s="6"/>
      <c r="AB76" s="6"/>
      <c r="AC76" s="28">
        <v>0</v>
      </c>
      <c r="AD76" s="16">
        <v>0</v>
      </c>
    </row>
    <row r="77" spans="1:32" outlineLevel="1">
      <c r="C77" s="9" t="s">
        <v>14</v>
      </c>
      <c r="D77" s="28">
        <v>683</v>
      </c>
      <c r="E77" s="28">
        <v>37.881711913668866</v>
      </c>
      <c r="F77" s="28">
        <v>52.856548498799</v>
      </c>
      <c r="G77" s="28">
        <v>70.869807909444717</v>
      </c>
      <c r="H77" s="28">
        <v>138.75270079462175</v>
      </c>
      <c r="I77" s="28">
        <v>90.447331263686664</v>
      </c>
      <c r="J77" s="28">
        <v>63.935581657933142</v>
      </c>
      <c r="K77" s="28">
        <v>76.807228205654056</v>
      </c>
      <c r="L77" s="28">
        <v>180.1493563587419</v>
      </c>
      <c r="M77" s="28">
        <v>100.39884307222313</v>
      </c>
      <c r="N77" s="28">
        <v>55.943633950691492</v>
      </c>
      <c r="O77" s="28">
        <v>48.643297102730379</v>
      </c>
      <c r="P77" s="28">
        <v>31.122488667623703</v>
      </c>
      <c r="Q77" s="28">
        <v>46.875847129013479</v>
      </c>
      <c r="R77" s="28">
        <v>26.127521350597679</v>
      </c>
      <c r="S77" s="28">
        <v>20.364097523259954</v>
      </c>
      <c r="T77" s="28">
        <v>33.235744070980871</v>
      </c>
      <c r="U77" s="28">
        <v>48.220646022058951</v>
      </c>
      <c r="V77" s="28">
        <v>26.511749605753529</v>
      </c>
      <c r="W77" s="28">
        <v>33.043629943402948</v>
      </c>
      <c r="X77" s="28">
        <v>173.20388376977422</v>
      </c>
      <c r="Y77" s="28">
        <v>140.42619399519597</v>
      </c>
      <c r="Z77" s="28">
        <v>125.64263943596237</v>
      </c>
      <c r="AA77" s="28">
        <v>165.10572641533895</v>
      </c>
      <c r="AB77" s="28">
        <v>0</v>
      </c>
      <c r="AC77" s="28">
        <v>2469.5662086571583</v>
      </c>
      <c r="AD77" s="13">
        <v>94.88771153441833</v>
      </c>
      <c r="AE77" s="20">
        <v>81.207554938961721</v>
      </c>
      <c r="AF77" s="20">
        <v>67.294850880649875</v>
      </c>
    </row>
    <row r="78" spans="1:32" outlineLevel="1">
      <c r="D78" s="2">
        <v>0</v>
      </c>
    </row>
    <row r="79" spans="1:32">
      <c r="A79" s="9" t="s">
        <v>97</v>
      </c>
      <c r="D79" s="2"/>
    </row>
    <row r="80" spans="1:32">
      <c r="A80" s="9"/>
      <c r="D80" s="2"/>
    </row>
    <row r="81" spans="1:35" outlineLevel="1">
      <c r="D81" s="2"/>
      <c r="E81" s="2" t="s">
        <v>86</v>
      </c>
      <c r="F81" s="2" t="s">
        <v>87</v>
      </c>
      <c r="G81" s="2" t="s">
        <v>88</v>
      </c>
      <c r="H81" s="2" t="s">
        <v>89</v>
      </c>
      <c r="I81" s="2" t="s">
        <v>90</v>
      </c>
      <c r="J81" s="2" t="s">
        <v>84</v>
      </c>
      <c r="K81" s="2" t="s">
        <v>85</v>
      </c>
      <c r="L81" s="2" t="s">
        <v>86</v>
      </c>
      <c r="M81" s="2" t="s">
        <v>87</v>
      </c>
      <c r="N81" s="2" t="s">
        <v>88</v>
      </c>
      <c r="O81" s="2" t="s">
        <v>89</v>
      </c>
      <c r="P81" s="2" t="s">
        <v>90</v>
      </c>
      <c r="Q81" s="2" t="s">
        <v>84</v>
      </c>
      <c r="R81" s="2" t="s">
        <v>85</v>
      </c>
      <c r="S81" s="2" t="s">
        <v>86</v>
      </c>
      <c r="T81" s="2" t="s">
        <v>87</v>
      </c>
      <c r="U81" s="2" t="s">
        <v>88</v>
      </c>
      <c r="V81" s="2" t="s">
        <v>89</v>
      </c>
      <c r="W81" s="2" t="s">
        <v>90</v>
      </c>
      <c r="X81" s="2" t="s">
        <v>84</v>
      </c>
      <c r="Y81" s="2" t="s">
        <v>85</v>
      </c>
      <c r="Z81" s="2" t="s">
        <v>86</v>
      </c>
      <c r="AA81" s="2" t="s">
        <v>87</v>
      </c>
      <c r="AB81" s="2" t="s">
        <v>88</v>
      </c>
      <c r="AE81" t="s">
        <v>79</v>
      </c>
    </row>
    <row r="82" spans="1:35" ht="23.4" outlineLevel="1">
      <c r="E82" s="34">
        <v>43495</v>
      </c>
      <c r="F82" s="34">
        <v>43496</v>
      </c>
      <c r="G82" s="34">
        <v>43497</v>
      </c>
      <c r="H82" s="34">
        <v>43498</v>
      </c>
      <c r="I82" s="34">
        <v>43499</v>
      </c>
      <c r="J82" s="34">
        <v>43500</v>
      </c>
      <c r="K82" s="34">
        <v>43501</v>
      </c>
      <c r="L82" s="34">
        <v>43502</v>
      </c>
      <c r="M82" s="34">
        <v>43503</v>
      </c>
      <c r="N82" s="34">
        <v>43504</v>
      </c>
      <c r="O82" s="34">
        <v>43505</v>
      </c>
      <c r="P82" s="34">
        <v>43506</v>
      </c>
      <c r="Q82" s="34">
        <v>43507</v>
      </c>
      <c r="R82" s="34">
        <v>43508</v>
      </c>
      <c r="S82" s="34">
        <v>43509</v>
      </c>
      <c r="T82" s="34">
        <v>43510</v>
      </c>
      <c r="U82" s="34">
        <v>43511</v>
      </c>
      <c r="V82" s="34">
        <v>43512</v>
      </c>
      <c r="W82" s="34">
        <v>43513</v>
      </c>
      <c r="X82" s="34">
        <v>43514</v>
      </c>
      <c r="Y82" s="34">
        <v>43515</v>
      </c>
      <c r="Z82" s="34">
        <v>43516</v>
      </c>
      <c r="AA82" s="34">
        <v>43517</v>
      </c>
      <c r="AB82" s="34">
        <v>43518</v>
      </c>
      <c r="AE82" s="40">
        <v>22</v>
      </c>
    </row>
    <row r="83" spans="1:35" outlineLevel="1">
      <c r="D83" s="6"/>
      <c r="F83" s="2">
        <v>1</v>
      </c>
      <c r="G83" s="2">
        <v>2</v>
      </c>
      <c r="H83" s="2">
        <v>3</v>
      </c>
      <c r="I83" s="2">
        <v>4</v>
      </c>
      <c r="J83" s="2">
        <v>5</v>
      </c>
      <c r="K83" s="2">
        <v>6</v>
      </c>
      <c r="L83" s="2">
        <v>7</v>
      </c>
      <c r="M83" s="2">
        <v>8</v>
      </c>
      <c r="N83" s="2">
        <v>9</v>
      </c>
      <c r="O83" s="2">
        <v>10</v>
      </c>
      <c r="P83" s="2">
        <v>11</v>
      </c>
      <c r="Q83" s="2">
        <v>12</v>
      </c>
      <c r="R83" s="2">
        <v>13</v>
      </c>
      <c r="S83" s="2">
        <v>14</v>
      </c>
      <c r="T83" s="2">
        <v>15</v>
      </c>
      <c r="U83" s="2">
        <v>16</v>
      </c>
      <c r="V83" s="2">
        <v>17</v>
      </c>
      <c r="W83" s="2">
        <v>18</v>
      </c>
      <c r="X83" s="2">
        <v>19</v>
      </c>
      <c r="Y83" s="2">
        <v>20</v>
      </c>
      <c r="Z83" s="2">
        <v>21</v>
      </c>
      <c r="AA83" s="2">
        <v>22</v>
      </c>
      <c r="AB83" s="2">
        <v>0</v>
      </c>
      <c r="AC83" s="6"/>
      <c r="AI83" s="4"/>
    </row>
    <row r="84" spans="1:35" outlineLevel="1">
      <c r="D84" s="2"/>
      <c r="AC84" s="6"/>
      <c r="AI84" s="4"/>
    </row>
    <row r="85" spans="1:35" outlineLevel="1">
      <c r="C85" t="s">
        <v>21</v>
      </c>
      <c r="D85" s="6">
        <v>0</v>
      </c>
      <c r="E85" s="6">
        <v>16.881711913668862</v>
      </c>
      <c r="F85" s="6">
        <v>41.32970084412355</v>
      </c>
      <c r="G85" s="6">
        <v>45.510743069158728</v>
      </c>
      <c r="H85" s="6">
        <v>68.162092464647472</v>
      </c>
      <c r="I85" s="6">
        <v>57.595815447861646</v>
      </c>
      <c r="J85" s="6">
        <v>60.093299106374658</v>
      </c>
      <c r="K85" s="6">
        <v>57.595815447861639</v>
      </c>
      <c r="L85" s="6">
        <v>34.142619399519596</v>
      </c>
      <c r="M85" s="6">
        <v>42.764604798845902</v>
      </c>
      <c r="N85" s="6">
        <v>41.727188509925114</v>
      </c>
      <c r="O85" s="6">
        <v>34.426851661963994</v>
      </c>
      <c r="P85" s="6">
        <v>20.364097523259954</v>
      </c>
      <c r="Q85" s="6">
        <v>25.359064840285981</v>
      </c>
      <c r="R85" s="6">
        <v>4.9949673170260267</v>
      </c>
      <c r="S85" s="6">
        <v>12.679532420142991</v>
      </c>
      <c r="T85" s="6">
        <v>23.630037692084663</v>
      </c>
      <c r="U85" s="6">
        <v>35.733227729493883</v>
      </c>
      <c r="V85" s="6">
        <v>21.132554033571651</v>
      </c>
      <c r="W85" s="6">
        <v>25.359064840285981</v>
      </c>
      <c r="X85" s="6">
        <v>96.35823273860457</v>
      </c>
      <c r="Y85" s="6">
        <v>51.870814446039503</v>
      </c>
      <c r="Z85" s="6">
        <v>63.7818903558708</v>
      </c>
      <c r="AA85" s="6">
        <v>47.11745598464973</v>
      </c>
      <c r="AB85" s="6">
        <v>0</v>
      </c>
      <c r="AC85" s="28">
        <v>928.61138258526705</v>
      </c>
      <c r="AE85" s="20">
        <v>41.442257757799915</v>
      </c>
      <c r="AG85" s="35">
        <v>37.04638988851692</v>
      </c>
    </row>
    <row r="86" spans="1:35" outlineLevel="1">
      <c r="C86" t="s">
        <v>23</v>
      </c>
      <c r="D86" s="6">
        <v>0</v>
      </c>
      <c r="E86" s="6">
        <v>0</v>
      </c>
      <c r="F86" s="6">
        <v>0</v>
      </c>
      <c r="G86" s="6">
        <v>23.43792356450674</v>
      </c>
      <c r="H86" s="6">
        <v>0</v>
      </c>
      <c r="I86" s="6">
        <v>5.9555379549156466</v>
      </c>
      <c r="J86" s="6">
        <v>3.842282551558482</v>
      </c>
      <c r="K86" s="6">
        <v>19.211412757792409</v>
      </c>
      <c r="L86" s="6">
        <v>36.501684239805577</v>
      </c>
      <c r="M86" s="6">
        <v>39.959738536208214</v>
      </c>
      <c r="N86" s="6">
        <v>14.216445440766384</v>
      </c>
      <c r="O86" s="6">
        <v>0</v>
      </c>
      <c r="P86" s="6">
        <v>0</v>
      </c>
      <c r="Q86" s="6">
        <v>21.516782288727498</v>
      </c>
      <c r="R86" s="6">
        <v>3.842282551558482</v>
      </c>
      <c r="S86" s="6">
        <v>0</v>
      </c>
      <c r="T86" s="6">
        <v>5.3791955721818745</v>
      </c>
      <c r="U86" s="6">
        <v>6.7239944652273431</v>
      </c>
      <c r="V86" s="6">
        <v>5.3791955721818745</v>
      </c>
      <c r="W86" s="6">
        <v>0</v>
      </c>
      <c r="X86" s="6">
        <v>0</v>
      </c>
      <c r="Y86" s="6">
        <v>29</v>
      </c>
      <c r="Z86" s="6">
        <v>0</v>
      </c>
      <c r="AA86" s="6">
        <v>0</v>
      </c>
      <c r="AB86" s="6">
        <v>0</v>
      </c>
      <c r="AC86" s="28">
        <v>214.96647549543053</v>
      </c>
      <c r="AE86" s="20">
        <v>9.7712034316104788</v>
      </c>
      <c r="AG86" s="36">
        <v>18.462925835440188</v>
      </c>
    </row>
    <row r="87" spans="1:35" outlineLevel="1">
      <c r="C87" t="s">
        <v>25</v>
      </c>
      <c r="D87" s="6">
        <v>0</v>
      </c>
      <c r="E87" s="6">
        <v>0</v>
      </c>
      <c r="F87" s="6">
        <v>11.526847654675446</v>
      </c>
      <c r="G87" s="6">
        <v>0</v>
      </c>
      <c r="H87" s="6">
        <v>24.590608329974284</v>
      </c>
      <c r="I87" s="6">
        <v>0</v>
      </c>
      <c r="J87" s="6">
        <v>0</v>
      </c>
      <c r="K87" s="6">
        <v>0</v>
      </c>
      <c r="L87" s="6">
        <v>34.580542964026336</v>
      </c>
      <c r="M87" s="6">
        <v>0</v>
      </c>
      <c r="N87" s="6">
        <v>0</v>
      </c>
      <c r="O87" s="6">
        <v>3.0738260412467855</v>
      </c>
      <c r="P87" s="6">
        <v>0</v>
      </c>
      <c r="Q87" s="6">
        <v>0</v>
      </c>
      <c r="R87" s="6">
        <v>0</v>
      </c>
      <c r="S87" s="6">
        <v>0</v>
      </c>
      <c r="T87" s="6">
        <v>0</v>
      </c>
      <c r="U87" s="6">
        <v>0</v>
      </c>
      <c r="V87" s="6">
        <v>0</v>
      </c>
      <c r="W87" s="6">
        <v>0</v>
      </c>
      <c r="X87" s="6">
        <v>0</v>
      </c>
      <c r="Y87" s="6">
        <v>0</v>
      </c>
      <c r="Z87" s="6">
        <v>0</v>
      </c>
      <c r="AA87" s="6">
        <v>43.447988930454684</v>
      </c>
      <c r="AB87" s="6">
        <v>0</v>
      </c>
      <c r="AC87" s="28">
        <v>117.21981392037753</v>
      </c>
      <c r="AE87" s="20">
        <v>5.3281733600171606</v>
      </c>
      <c r="AG87" s="36">
        <v>13.896351597941235</v>
      </c>
    </row>
    <row r="88" spans="1:35" outlineLevel="2">
      <c r="C88" t="s">
        <v>26</v>
      </c>
      <c r="D88" s="6">
        <v>683</v>
      </c>
      <c r="E88" s="6">
        <v>0</v>
      </c>
      <c r="F88" s="6">
        <v>0</v>
      </c>
      <c r="G88" s="6">
        <v>0</v>
      </c>
      <c r="H88" s="6">
        <v>46</v>
      </c>
      <c r="I88" s="6">
        <v>26.895977860909372</v>
      </c>
      <c r="J88" s="6">
        <v>0</v>
      </c>
      <c r="K88" s="6">
        <v>0</v>
      </c>
      <c r="L88" s="6">
        <v>74.924509755390403</v>
      </c>
      <c r="M88" s="6">
        <v>17.674499737169018</v>
      </c>
      <c r="N88" s="6">
        <v>0</v>
      </c>
      <c r="O88" s="6">
        <v>11.142619399519598</v>
      </c>
      <c r="P88" s="6">
        <v>0</v>
      </c>
      <c r="Q88" s="6">
        <v>0</v>
      </c>
      <c r="R88" s="6">
        <v>9.6057063788962047</v>
      </c>
      <c r="S88" s="6">
        <v>7.6845651031169639</v>
      </c>
      <c r="T88" s="6">
        <v>0</v>
      </c>
      <c r="U88" s="6">
        <v>0</v>
      </c>
      <c r="V88" s="6">
        <v>0</v>
      </c>
      <c r="W88" s="6">
        <v>7.6845651031169639</v>
      </c>
      <c r="X88" s="6">
        <v>0</v>
      </c>
      <c r="Y88" s="6">
        <v>36.501684239805577</v>
      </c>
      <c r="Z88" s="6">
        <v>48.028531894481027</v>
      </c>
      <c r="AA88" s="6">
        <v>0</v>
      </c>
      <c r="AB88" s="6">
        <v>0</v>
      </c>
      <c r="AC88" s="28">
        <v>969.14265947240528</v>
      </c>
      <c r="AE88" s="20">
        <v>13.006484521472959</v>
      </c>
      <c r="AG88" s="36">
        <v>10.994583105790259</v>
      </c>
    </row>
    <row r="89" spans="1:35" outlineLevel="1">
      <c r="C89" t="s">
        <v>24</v>
      </c>
      <c r="D89" s="6">
        <v>0</v>
      </c>
      <c r="E89" s="6">
        <v>21</v>
      </c>
      <c r="F89" s="6">
        <v>0</v>
      </c>
      <c r="G89" s="6">
        <v>1.921141275779241</v>
      </c>
      <c r="H89" s="6">
        <v>0</v>
      </c>
      <c r="I89" s="6">
        <v>0</v>
      </c>
      <c r="J89" s="6">
        <v>0</v>
      </c>
      <c r="K89" s="6">
        <v>0</v>
      </c>
      <c r="L89" s="6">
        <v>0</v>
      </c>
      <c r="M89" s="6">
        <v>0</v>
      </c>
      <c r="N89" s="6">
        <v>0</v>
      </c>
      <c r="O89" s="6">
        <v>0</v>
      </c>
      <c r="P89" s="6">
        <v>10.758391144363749</v>
      </c>
      <c r="Q89" s="6">
        <v>0</v>
      </c>
      <c r="R89" s="6">
        <v>7.6845651031169639</v>
      </c>
      <c r="S89" s="6">
        <v>0</v>
      </c>
      <c r="T89" s="6">
        <v>4.2265108067143302</v>
      </c>
      <c r="U89" s="6">
        <v>5.7634238273377232</v>
      </c>
      <c r="V89" s="6">
        <v>0</v>
      </c>
      <c r="W89" s="6">
        <v>0</v>
      </c>
      <c r="X89" s="6">
        <v>76.845651031169638</v>
      </c>
      <c r="Y89" s="6">
        <v>23.053695309350893</v>
      </c>
      <c r="Z89" s="6">
        <v>13.832217185610535</v>
      </c>
      <c r="AA89" s="6">
        <v>74.540281500234556</v>
      </c>
      <c r="AB89" s="6">
        <v>0</v>
      </c>
      <c r="AC89" s="28">
        <v>239.62587718367766</v>
      </c>
      <c r="AE89" s="20">
        <v>9.9375398719853472</v>
      </c>
      <c r="AG89" s="36">
        <v>21.242819255221089</v>
      </c>
    </row>
    <row r="90" spans="1:35" outlineLevel="1">
      <c r="C90" s="9" t="s">
        <v>14</v>
      </c>
      <c r="D90" s="28">
        <v>683</v>
      </c>
      <c r="E90" s="28">
        <v>37.881711913668866</v>
      </c>
      <c r="F90" s="28">
        <v>52.856548498799</v>
      </c>
      <c r="G90" s="28">
        <v>70.869807909444702</v>
      </c>
      <c r="H90" s="28">
        <v>138.75270079462177</v>
      </c>
      <c r="I90" s="28">
        <v>90.447331263686664</v>
      </c>
      <c r="J90" s="28">
        <v>63.935581657933142</v>
      </c>
      <c r="K90" s="28">
        <v>76.807228205654042</v>
      </c>
      <c r="L90" s="28">
        <v>180.1493563587419</v>
      </c>
      <c r="M90" s="28">
        <v>100.39884307222313</v>
      </c>
      <c r="N90" s="28">
        <v>55.943633950691499</v>
      </c>
      <c r="O90" s="28">
        <v>48.643297102730372</v>
      </c>
      <c r="P90" s="28">
        <v>31.122488667623703</v>
      </c>
      <c r="Q90" s="28">
        <v>46.875847129013479</v>
      </c>
      <c r="R90" s="28">
        <v>26.127521350597679</v>
      </c>
      <c r="S90" s="28">
        <v>20.364097523259954</v>
      </c>
      <c r="T90" s="28">
        <v>33.235744070980871</v>
      </c>
      <c r="U90" s="28">
        <v>48.220646022058951</v>
      </c>
      <c r="V90" s="28">
        <v>26.511749605753526</v>
      </c>
      <c r="W90" s="28">
        <v>33.043629943402948</v>
      </c>
      <c r="X90" s="28">
        <v>173.20388376977422</v>
      </c>
      <c r="Y90" s="28">
        <v>140.42619399519597</v>
      </c>
      <c r="Z90" s="28">
        <v>125.64263943596235</v>
      </c>
      <c r="AA90" s="28">
        <v>165.10572641533898</v>
      </c>
      <c r="AB90" s="28">
        <v>0</v>
      </c>
      <c r="AC90" s="28">
        <v>2469.5662086571579</v>
      </c>
      <c r="AE90" s="20">
        <v>79.485658942885863</v>
      </c>
      <c r="AG90" s="36">
        <v>101.6430696829097</v>
      </c>
    </row>
    <row r="91" spans="1:35" outlineLevel="1">
      <c r="D91" s="6"/>
      <c r="E91" s="6"/>
      <c r="F91" s="6"/>
      <c r="G91" s="6"/>
      <c r="H91" s="6"/>
      <c r="I91" s="6"/>
      <c r="J91" s="6"/>
      <c r="K91" s="6"/>
      <c r="L91" s="6"/>
      <c r="M91" s="6"/>
      <c r="N91" s="6"/>
      <c r="O91" s="6"/>
      <c r="P91" s="6"/>
      <c r="Q91" s="6"/>
      <c r="R91" s="6"/>
      <c r="S91" s="6"/>
      <c r="T91" s="6"/>
      <c r="U91" s="6"/>
      <c r="V91" s="6"/>
      <c r="W91" s="6"/>
      <c r="X91" s="6"/>
      <c r="Y91" s="6"/>
      <c r="Z91" s="6"/>
      <c r="AA91" s="6"/>
      <c r="AB91" s="6"/>
      <c r="AC91" s="28"/>
      <c r="AG91" s="43"/>
    </row>
    <row r="92" spans="1:35" outlineLevel="1">
      <c r="D92" s="6"/>
      <c r="E92" s="6"/>
      <c r="F92" s="6"/>
      <c r="G92" s="6"/>
      <c r="H92" s="6"/>
      <c r="I92" s="6"/>
      <c r="J92" s="6"/>
      <c r="K92" s="6"/>
      <c r="L92" s="6"/>
      <c r="M92" s="6"/>
      <c r="N92" s="6"/>
      <c r="O92" s="6"/>
      <c r="P92" s="6"/>
      <c r="Q92" s="6"/>
      <c r="R92" s="6"/>
      <c r="S92" s="6"/>
      <c r="T92" s="6"/>
      <c r="U92" s="6"/>
      <c r="V92" s="6"/>
      <c r="W92" s="6"/>
      <c r="X92" s="6"/>
      <c r="Y92" s="6"/>
      <c r="Z92" s="6"/>
      <c r="AA92" s="6"/>
      <c r="AB92" s="6"/>
      <c r="AC92" s="28"/>
      <c r="AG92" s="43"/>
    </row>
    <row r="93" spans="1:35" outlineLevel="1">
      <c r="C93" t="s">
        <v>61</v>
      </c>
      <c r="D93" s="6">
        <v>683</v>
      </c>
      <c r="E93" s="6">
        <v>16.881711913668862</v>
      </c>
      <c r="F93" s="6">
        <v>52.856548498799</v>
      </c>
      <c r="G93" s="6">
        <v>68.948666633665468</v>
      </c>
      <c r="H93" s="6">
        <v>138.75270079462177</v>
      </c>
      <c r="I93" s="6">
        <v>90.447331263686664</v>
      </c>
      <c r="J93" s="6">
        <v>63.935581657933142</v>
      </c>
      <c r="K93" s="6">
        <v>76.807228205654042</v>
      </c>
      <c r="L93" s="6">
        <v>180.1493563587419</v>
      </c>
      <c r="M93" s="6">
        <v>100.39884307222313</v>
      </c>
      <c r="N93" s="6">
        <v>55.943633950691499</v>
      </c>
      <c r="O93" s="6">
        <v>48.643297102730372</v>
      </c>
      <c r="P93" s="52">
        <v>20.364097523259954</v>
      </c>
      <c r="Q93" s="54">
        <v>46.875847129013479</v>
      </c>
      <c r="R93" s="6">
        <v>18.442956247480716</v>
      </c>
      <c r="S93" s="6">
        <v>20.364097523259954</v>
      </c>
      <c r="T93" s="52">
        <v>29.009233264266538</v>
      </c>
      <c r="U93" s="53">
        <v>42.457222194721226</v>
      </c>
      <c r="V93" s="53">
        <v>26.511749605753526</v>
      </c>
      <c r="W93" s="54">
        <v>33.043629943402948</v>
      </c>
      <c r="X93" s="52">
        <v>96.35823273860457</v>
      </c>
      <c r="Y93" s="53">
        <v>117.37249868584507</v>
      </c>
      <c r="Z93" s="53">
        <v>111.81042225035182</v>
      </c>
      <c r="AA93" s="54">
        <v>90.565444915104422</v>
      </c>
      <c r="AB93" s="6">
        <v>0</v>
      </c>
      <c r="AC93" s="28">
        <v>2229.94033147348</v>
      </c>
      <c r="AE93" s="20">
        <v>69.548119070900512</v>
      </c>
      <c r="AG93" s="37">
        <v>80.400250427688604</v>
      </c>
    </row>
    <row r="94" spans="1:35" outlineLevel="1">
      <c r="C94" t="s">
        <v>24</v>
      </c>
      <c r="D94" s="6">
        <v>0</v>
      </c>
      <c r="E94" s="6">
        <v>21</v>
      </c>
      <c r="F94" s="6">
        <v>0</v>
      </c>
      <c r="G94" s="6">
        <v>1.921141275779241</v>
      </c>
      <c r="H94" s="6">
        <v>0</v>
      </c>
      <c r="I94" s="6">
        <v>0</v>
      </c>
      <c r="J94" s="6">
        <v>0</v>
      </c>
      <c r="K94" s="6">
        <v>0</v>
      </c>
      <c r="L94" s="6">
        <v>0</v>
      </c>
      <c r="M94" s="6">
        <v>0</v>
      </c>
      <c r="N94" s="6">
        <v>0</v>
      </c>
      <c r="O94" s="6">
        <v>0</v>
      </c>
      <c r="P94" s="6">
        <v>10.758391144363749</v>
      </c>
      <c r="Q94" s="6">
        <v>0</v>
      </c>
      <c r="R94" s="6">
        <v>7.6845651031169639</v>
      </c>
      <c r="S94" s="6">
        <v>0</v>
      </c>
      <c r="T94" s="6">
        <v>4.2265108067143302</v>
      </c>
      <c r="U94" s="6">
        <v>5.7634238273377232</v>
      </c>
      <c r="V94" s="6">
        <v>0</v>
      </c>
      <c r="W94" s="6">
        <v>0</v>
      </c>
      <c r="X94" s="6">
        <v>76.845651031169638</v>
      </c>
      <c r="Y94" s="6">
        <v>23.053695309350893</v>
      </c>
      <c r="Z94" s="6">
        <v>13.832217185610535</v>
      </c>
      <c r="AA94" s="6">
        <v>74.540281500234556</v>
      </c>
      <c r="AB94" s="6">
        <v>0</v>
      </c>
      <c r="AC94" s="28">
        <v>239.62587718367766</v>
      </c>
      <c r="AE94" s="20">
        <v>9.9375398719853472</v>
      </c>
      <c r="AG94" s="37">
        <v>21.242819255221089</v>
      </c>
    </row>
    <row r="95" spans="1:35" outlineLevel="1">
      <c r="D95" s="28">
        <v>683</v>
      </c>
      <c r="E95" s="28">
        <v>37.881711913668866</v>
      </c>
      <c r="F95" s="28">
        <v>52.856548498799</v>
      </c>
      <c r="G95" s="28">
        <v>70.869807909444702</v>
      </c>
      <c r="H95" s="28">
        <v>138.75270079462177</v>
      </c>
      <c r="I95" s="28">
        <v>90.447331263686664</v>
      </c>
      <c r="J95" s="28">
        <v>63.935581657933142</v>
      </c>
      <c r="K95" s="28">
        <v>76.807228205654042</v>
      </c>
      <c r="L95" s="28">
        <v>180.1493563587419</v>
      </c>
      <c r="M95" s="28">
        <v>100.39884307222313</v>
      </c>
      <c r="N95" s="28">
        <v>55.943633950691499</v>
      </c>
      <c r="O95" s="28">
        <v>48.643297102730372</v>
      </c>
      <c r="P95" s="28">
        <v>31.122488667623703</v>
      </c>
      <c r="Q95" s="28">
        <v>46.875847129013479</v>
      </c>
      <c r="R95" s="28">
        <v>26.127521350597679</v>
      </c>
      <c r="S95" s="28">
        <v>20.364097523259954</v>
      </c>
      <c r="T95" s="28">
        <v>33.235744070980871</v>
      </c>
      <c r="U95" s="28">
        <v>48.220646022058951</v>
      </c>
      <c r="V95" s="28">
        <v>26.511749605753526</v>
      </c>
      <c r="W95" s="28">
        <v>33.043629943402948</v>
      </c>
      <c r="X95" s="28">
        <v>173.20388376977422</v>
      </c>
      <c r="Y95" s="28">
        <v>140.42619399519597</v>
      </c>
      <c r="Z95" s="28">
        <v>125.64263943596235</v>
      </c>
      <c r="AA95" s="28">
        <v>165.10572641533898</v>
      </c>
      <c r="AB95" s="28">
        <v>0</v>
      </c>
      <c r="AC95" s="28">
        <v>2469.5662086571579</v>
      </c>
      <c r="AE95" s="20">
        <v>79.485658942885863</v>
      </c>
      <c r="AG95" s="38">
        <v>101.6430696829097</v>
      </c>
    </row>
    <row r="96" spans="1:35">
      <c r="A96" s="9" t="s">
        <v>98</v>
      </c>
    </row>
    <row r="98" spans="1:30" ht="144" outlineLevel="1">
      <c r="D98" s="18"/>
      <c r="E98" s="17"/>
      <c r="F98" s="17"/>
      <c r="G98" s="33" t="s">
        <v>74</v>
      </c>
      <c r="H98" s="17" t="s">
        <v>78</v>
      </c>
      <c r="I98" s="17"/>
      <c r="J98" s="17"/>
      <c r="K98" s="17"/>
      <c r="M98" s="17"/>
      <c r="N98" s="17" t="s">
        <v>81</v>
      </c>
      <c r="O98" s="17"/>
      <c r="P98" s="17" t="s">
        <v>93</v>
      </c>
      <c r="Q98" s="17" t="s">
        <v>92</v>
      </c>
      <c r="R98" s="17" t="s">
        <v>91</v>
      </c>
      <c r="S98" s="17"/>
      <c r="T98" s="17"/>
      <c r="U98" s="17"/>
      <c r="V98" s="17"/>
      <c r="W98" s="17"/>
      <c r="X98" s="17"/>
      <c r="Y98" s="17"/>
      <c r="Z98" s="17"/>
      <c r="AA98" s="17"/>
      <c r="AB98" s="17"/>
      <c r="AC98" s="3"/>
      <c r="AD98" s="18"/>
    </row>
    <row r="99" spans="1:30">
      <c r="A99" s="9" t="s">
        <v>95</v>
      </c>
    </row>
    <row r="100" spans="1:30" ht="15" thickBot="1"/>
    <row r="101" spans="1:30" s="18" customFormat="1" ht="54" customHeight="1" thickBot="1">
      <c r="A101" s="18" t="s">
        <v>8</v>
      </c>
      <c r="E101" s="17"/>
      <c r="F101" s="17" t="s">
        <v>99</v>
      </c>
      <c r="G101" s="17" t="s">
        <v>99</v>
      </c>
      <c r="H101" s="17" t="s">
        <v>107</v>
      </c>
      <c r="I101" s="17" t="s">
        <v>107</v>
      </c>
      <c r="J101" s="17" t="s">
        <v>107</v>
      </c>
      <c r="K101" s="17" t="s">
        <v>107</v>
      </c>
      <c r="L101" s="45" t="s">
        <v>100</v>
      </c>
      <c r="M101" s="45" t="s">
        <v>101</v>
      </c>
      <c r="N101" s="45" t="s">
        <v>101</v>
      </c>
      <c r="O101" s="45" t="s">
        <v>102</v>
      </c>
      <c r="P101" s="17"/>
      <c r="Q101" s="17"/>
      <c r="R101" s="17" t="s">
        <v>108</v>
      </c>
      <c r="S101" s="17" t="s">
        <v>103</v>
      </c>
      <c r="U101" s="17" t="s">
        <v>104</v>
      </c>
      <c r="V101" s="17"/>
      <c r="W101" s="17" t="s">
        <v>103</v>
      </c>
      <c r="X101" s="17" t="s">
        <v>106</v>
      </c>
      <c r="Y101" s="17"/>
      <c r="Z101" s="17"/>
      <c r="AC101" s="3"/>
    </row>
    <row r="102" spans="1:30">
      <c r="F102" s="6">
        <v>18</v>
      </c>
      <c r="G102" s="6">
        <v>18</v>
      </c>
      <c r="H102" s="6">
        <v>36.655375541867919</v>
      </c>
      <c r="I102" s="6">
        <v>36.655375541867919</v>
      </c>
      <c r="J102" s="6">
        <v>36.655375541867919</v>
      </c>
      <c r="K102" s="6">
        <v>36.655375541867919</v>
      </c>
      <c r="L102" s="6">
        <v>23</v>
      </c>
      <c r="M102" s="6">
        <v>24.513762678943113</v>
      </c>
      <c r="N102" s="6">
        <v>24.513762678943113</v>
      </c>
      <c r="O102" s="6">
        <v>17.905036690262527</v>
      </c>
      <c r="P102" s="6">
        <v>0</v>
      </c>
      <c r="Q102" s="6">
        <v>17.290271482013168</v>
      </c>
      <c r="R102" s="6">
        <v>0</v>
      </c>
      <c r="S102" s="6">
        <v>9.221478123740356</v>
      </c>
      <c r="T102" s="6">
        <v>7.6845651031169639</v>
      </c>
      <c r="U102" s="6">
        <v>13.447988930454686</v>
      </c>
      <c r="V102" s="6">
        <v>5.7634238273377232</v>
      </c>
      <c r="W102" s="6">
        <v>5.7634238273377232</v>
      </c>
      <c r="X102" s="6">
        <v>83.102357935727809</v>
      </c>
      <c r="Y102" s="6">
        <v>28.817119136688614</v>
      </c>
    </row>
    <row r="108" spans="1:30">
      <c r="AD108" s="26"/>
    </row>
    <row r="109" spans="1:30">
      <c r="AD109" s="26"/>
    </row>
    <row r="110" spans="1:30">
      <c r="AD110" s="26"/>
    </row>
    <row r="111" spans="1:30">
      <c r="AD111" s="26"/>
    </row>
    <row r="112" spans="1:30">
      <c r="AD112" s="26"/>
    </row>
    <row r="113" spans="30:30">
      <c r="AD113" s="26"/>
    </row>
    <row r="114" spans="30:30">
      <c r="AD114" s="26"/>
    </row>
    <row r="115" spans="30:30">
      <c r="AD115" s="26"/>
    </row>
    <row r="116" spans="30:30">
      <c r="AD116" s="26"/>
    </row>
    <row r="117" spans="30:30">
      <c r="AD117" s="26"/>
    </row>
    <row r="118" spans="30:30">
      <c r="AD118" s="26"/>
    </row>
    <row r="119" spans="30:30">
      <c r="AD119" s="26"/>
    </row>
    <row r="120" spans="30:30">
      <c r="AD120" s="26"/>
    </row>
    <row r="121" spans="30:30">
      <c r="AD121" s="26"/>
    </row>
    <row r="122" spans="30:30">
      <c r="AD122" s="26"/>
    </row>
    <row r="123" spans="30:30">
      <c r="AD123" s="26"/>
    </row>
    <row r="124" spans="30:30">
      <c r="AD124" s="26"/>
    </row>
    <row r="125" spans="30:30">
      <c r="AD125" s="26"/>
    </row>
    <row r="126" spans="30:30">
      <c r="AD126" s="26"/>
    </row>
    <row r="127" spans="30:30">
      <c r="AD127" s="26"/>
    </row>
    <row r="128" spans="30:30">
      <c r="AD128" s="26"/>
    </row>
    <row r="129" spans="30:30">
      <c r="AD129" s="26"/>
    </row>
    <row r="130" spans="30:30">
      <c r="AD130" s="26"/>
    </row>
    <row r="131" spans="30:30">
      <c r="AD131" s="26"/>
    </row>
    <row r="132" spans="30:30">
      <c r="AD132" s="26"/>
    </row>
    <row r="133" spans="30:30">
      <c r="AD133" s="26"/>
    </row>
    <row r="134" spans="30:30">
      <c r="AD134" s="26"/>
    </row>
    <row r="135" spans="30:30">
      <c r="AD135" s="26"/>
    </row>
    <row r="136" spans="30:30">
      <c r="AD136" s="26"/>
    </row>
    <row r="137" spans="30:30">
      <c r="AD137" s="26"/>
    </row>
    <row r="138" spans="30:30">
      <c r="AD138" s="26"/>
    </row>
    <row r="139" spans="30:30">
      <c r="AD139" s="26"/>
    </row>
    <row r="140" spans="30:30">
      <c r="AD140" s="26"/>
    </row>
    <row r="141" spans="30:30">
      <c r="AD141" s="26"/>
    </row>
    <row r="142" spans="30:30">
      <c r="AD142" s="26"/>
    </row>
    <row r="143" spans="30:30">
      <c r="AD143" s="26"/>
    </row>
    <row r="144" spans="30:30">
      <c r="AD144" s="26"/>
    </row>
    <row r="145" spans="30:30">
      <c r="AD145" s="26"/>
    </row>
    <row r="146" spans="30:30">
      <c r="AD146" s="26"/>
    </row>
    <row r="147" spans="30:30">
      <c r="AD147" s="26"/>
    </row>
    <row r="148" spans="30:30">
      <c r="AD148" s="26"/>
    </row>
    <row r="149" spans="30:30">
      <c r="AD149" s="26"/>
    </row>
    <row r="150" spans="30:30">
      <c r="AD150" s="26"/>
    </row>
    <row r="151" spans="30:30">
      <c r="AD151" s="26"/>
    </row>
    <row r="152" spans="30:30">
      <c r="AD152" s="26"/>
    </row>
    <row r="153" spans="30:30">
      <c r="AD153" s="26"/>
    </row>
    <row r="154" spans="30:30">
      <c r="AD154" s="26"/>
    </row>
    <row r="155" spans="30:30">
      <c r="AD155" s="26"/>
    </row>
    <row r="156" spans="30:30">
      <c r="AD156" s="26"/>
    </row>
    <row r="157" spans="30:30">
      <c r="AD157" s="26"/>
    </row>
    <row r="158" spans="30:30">
      <c r="AD158" s="26"/>
    </row>
    <row r="159" spans="30:30">
      <c r="AD159" s="26"/>
    </row>
  </sheetData>
  <conditionalFormatting sqref="AN43:AN51">
    <cfRule type="cellIs" dxfId="47" priority="22" stopIfTrue="1" operator="greaterThan">
      <formula>0</formula>
    </cfRule>
  </conditionalFormatting>
  <conditionalFormatting sqref="AN43:AN51">
    <cfRule type="cellIs" dxfId="46" priority="21" stopIfTrue="1" operator="greaterThan">
      <formula>0</formula>
    </cfRule>
  </conditionalFormatting>
  <conditionalFormatting sqref="AN43:AN51">
    <cfRule type="cellIs" dxfId="45" priority="20" stopIfTrue="1" operator="greaterThan">
      <formula>0</formula>
    </cfRule>
  </conditionalFormatting>
  <conditionalFormatting sqref="AN43:AN51">
    <cfRule type="cellIs" dxfId="44" priority="19" stopIfTrue="1" operator="greaterThan">
      <formula>0</formula>
    </cfRule>
  </conditionalFormatting>
  <conditionalFormatting sqref="AN43:AN51">
    <cfRule type="cellIs" dxfId="43" priority="15" stopIfTrue="1" operator="greaterThan">
      <formula>0</formula>
    </cfRule>
  </conditionalFormatting>
  <conditionalFormatting sqref="AN43:AN51">
    <cfRule type="cellIs" dxfId="42" priority="18" stopIfTrue="1" operator="greaterThan">
      <formula>0</formula>
    </cfRule>
  </conditionalFormatting>
  <conditionalFormatting sqref="AN43:AN51">
    <cfRule type="cellIs" dxfId="41" priority="17" stopIfTrue="1" operator="greaterThan">
      <formula>0</formula>
    </cfRule>
  </conditionalFormatting>
  <conditionalFormatting sqref="AN43:AN51">
    <cfRule type="cellIs" dxfId="40" priority="16" stopIfTrue="1" operator="greaterThan">
      <formula>0</formula>
    </cfRule>
  </conditionalFormatting>
  <conditionalFormatting sqref="AN43:AN51">
    <cfRule type="cellIs" dxfId="39" priority="14" stopIfTrue="1" operator="greaterThan">
      <formula>0</formula>
    </cfRule>
  </conditionalFormatting>
  <conditionalFormatting sqref="AN43:AN51">
    <cfRule type="cellIs" dxfId="38" priority="13" stopIfTrue="1" operator="greaterThan">
      <formula>0</formula>
    </cfRule>
  </conditionalFormatting>
  <conditionalFormatting sqref="AN43:AN51">
    <cfRule type="cellIs" dxfId="37" priority="23" stopIfTrue="1" operator="greaterThan">
      <formula>0</formula>
    </cfRule>
  </conditionalFormatting>
  <conditionalFormatting sqref="AN43:AN51">
    <cfRule type="cellIs" dxfId="36" priority="24" stopIfTrue="1" operator="greaterThan">
      <formula>0</formula>
    </cfRule>
  </conditionalFormatting>
  <conditionalFormatting sqref="AN42">
    <cfRule type="cellIs" dxfId="35" priority="34" stopIfTrue="1" operator="greaterThan">
      <formula>0</formula>
    </cfRule>
  </conditionalFormatting>
  <conditionalFormatting sqref="AN42">
    <cfRule type="cellIs" dxfId="34" priority="33" stopIfTrue="1" operator="greaterThan">
      <formula>0</formula>
    </cfRule>
  </conditionalFormatting>
  <conditionalFormatting sqref="AN42">
    <cfRule type="cellIs" dxfId="33" priority="32" stopIfTrue="1" operator="greaterThan">
      <formula>0</formula>
    </cfRule>
  </conditionalFormatting>
  <conditionalFormatting sqref="AN42">
    <cfRule type="cellIs" dxfId="32" priority="31" stopIfTrue="1" operator="greaterThan">
      <formula>0</formula>
    </cfRule>
  </conditionalFormatting>
  <conditionalFormatting sqref="AN42">
    <cfRule type="cellIs" dxfId="31" priority="27" stopIfTrue="1" operator="greaterThan">
      <formula>0</formula>
    </cfRule>
  </conditionalFormatting>
  <conditionalFormatting sqref="AN42">
    <cfRule type="cellIs" dxfId="30" priority="30" stopIfTrue="1" operator="greaterThan">
      <formula>0</formula>
    </cfRule>
  </conditionalFormatting>
  <conditionalFormatting sqref="AN42">
    <cfRule type="cellIs" dxfId="29" priority="29" stopIfTrue="1" operator="greaterThan">
      <formula>0</formula>
    </cfRule>
  </conditionalFormatting>
  <conditionalFormatting sqref="AN42">
    <cfRule type="cellIs" dxfId="28" priority="28" stopIfTrue="1" operator="greaterThan">
      <formula>0</formula>
    </cfRule>
  </conditionalFormatting>
  <conditionalFormatting sqref="AN42">
    <cfRule type="cellIs" dxfId="27" priority="26" stopIfTrue="1" operator="greaterThan">
      <formula>0</formula>
    </cfRule>
  </conditionalFormatting>
  <conditionalFormatting sqref="AN42">
    <cfRule type="cellIs" dxfId="26" priority="25" stopIfTrue="1" operator="greaterThan">
      <formula>0</formula>
    </cfRule>
  </conditionalFormatting>
  <conditionalFormatting sqref="AN42">
    <cfRule type="cellIs" dxfId="25" priority="35" stopIfTrue="1" operator="greaterThan">
      <formula>0</formula>
    </cfRule>
  </conditionalFormatting>
  <conditionalFormatting sqref="AN42">
    <cfRule type="cellIs" dxfId="24" priority="36" stopIfTrue="1" operator="greaterThan">
      <formula>0</formula>
    </cfRule>
  </conditionalFormatting>
  <conditionalFormatting sqref="AN40:AN41">
    <cfRule type="cellIs" dxfId="23" priority="46" stopIfTrue="1" operator="greaterThan">
      <formula>0</formula>
    </cfRule>
  </conditionalFormatting>
  <conditionalFormatting sqref="AN40:AN41">
    <cfRule type="cellIs" dxfId="22" priority="45" stopIfTrue="1" operator="greaterThan">
      <formula>0</formula>
    </cfRule>
  </conditionalFormatting>
  <conditionalFormatting sqref="AN40:AN41">
    <cfRule type="cellIs" dxfId="21" priority="44" stopIfTrue="1" operator="greaterThan">
      <formula>0</formula>
    </cfRule>
  </conditionalFormatting>
  <conditionalFormatting sqref="AN40:AN41">
    <cfRule type="cellIs" dxfId="20" priority="43" stopIfTrue="1" operator="greaterThan">
      <formula>0</formula>
    </cfRule>
  </conditionalFormatting>
  <conditionalFormatting sqref="AN40:AN41">
    <cfRule type="cellIs" dxfId="19" priority="39" stopIfTrue="1" operator="greaterThan">
      <formula>0</formula>
    </cfRule>
  </conditionalFormatting>
  <conditionalFormatting sqref="AN40:AN41">
    <cfRule type="cellIs" dxfId="18" priority="42" stopIfTrue="1" operator="greaterThan">
      <formula>0</formula>
    </cfRule>
  </conditionalFormatting>
  <conditionalFormatting sqref="AN40:AN41">
    <cfRule type="cellIs" dxfId="17" priority="41" stopIfTrue="1" operator="greaterThan">
      <formula>0</formula>
    </cfRule>
  </conditionalFormatting>
  <conditionalFormatting sqref="AN40:AN41">
    <cfRule type="cellIs" dxfId="16" priority="40" stopIfTrue="1" operator="greaterThan">
      <formula>0</formula>
    </cfRule>
  </conditionalFormatting>
  <conditionalFormatting sqref="AN40:AN41">
    <cfRule type="cellIs" dxfId="15" priority="38" stopIfTrue="1" operator="greaterThan">
      <formula>0</formula>
    </cfRule>
  </conditionalFormatting>
  <conditionalFormatting sqref="AN40:AN41">
    <cfRule type="cellIs" dxfId="14" priority="37" stopIfTrue="1" operator="greaterThan">
      <formula>0</formula>
    </cfRule>
  </conditionalFormatting>
  <conditionalFormatting sqref="AN40:AN41">
    <cfRule type="cellIs" dxfId="13" priority="47" stopIfTrue="1" operator="greaterThan">
      <formula>0</formula>
    </cfRule>
  </conditionalFormatting>
  <conditionalFormatting sqref="AN40:AN41">
    <cfRule type="cellIs" dxfId="12" priority="48" stopIfTrue="1" operator="greaterThan">
      <formula>0</formula>
    </cfRule>
  </conditionalFormatting>
  <conditionalFormatting sqref="AN52">
    <cfRule type="cellIs" dxfId="11" priority="1" stopIfTrue="1" operator="greaterThan">
      <formula>0</formula>
    </cfRule>
  </conditionalFormatting>
  <conditionalFormatting sqref="AN52">
    <cfRule type="cellIs" dxfId="10" priority="10" stopIfTrue="1" operator="greaterThan">
      <formula>0</formula>
    </cfRule>
  </conditionalFormatting>
  <conditionalFormatting sqref="AN52">
    <cfRule type="cellIs" dxfId="9" priority="9" stopIfTrue="1" operator="greaterThan">
      <formula>0</formula>
    </cfRule>
  </conditionalFormatting>
  <conditionalFormatting sqref="AN52">
    <cfRule type="cellIs" dxfId="8" priority="8" stopIfTrue="1" operator="greaterThan">
      <formula>0</formula>
    </cfRule>
  </conditionalFormatting>
  <conditionalFormatting sqref="AN52">
    <cfRule type="cellIs" dxfId="7" priority="7" stopIfTrue="1" operator="greaterThan">
      <formula>0</formula>
    </cfRule>
  </conditionalFormatting>
  <conditionalFormatting sqref="AN52">
    <cfRule type="cellIs" dxfId="6" priority="3" stopIfTrue="1" operator="greaterThan">
      <formula>0</formula>
    </cfRule>
  </conditionalFormatting>
  <conditionalFormatting sqref="AN52">
    <cfRule type="cellIs" dxfId="5" priority="6" stopIfTrue="1" operator="greaterThan">
      <formula>0</formula>
    </cfRule>
  </conditionalFormatting>
  <conditionalFormatting sqref="AN52">
    <cfRule type="cellIs" dxfId="4" priority="5" stopIfTrue="1" operator="greaterThan">
      <formula>0</formula>
    </cfRule>
  </conditionalFormatting>
  <conditionalFormatting sqref="AN52">
    <cfRule type="cellIs" dxfId="3" priority="4" stopIfTrue="1" operator="greaterThan">
      <formula>0</formula>
    </cfRule>
  </conditionalFormatting>
  <conditionalFormatting sqref="AN52">
    <cfRule type="cellIs" dxfId="2" priority="2" stopIfTrue="1" operator="greaterThan">
      <formula>0</formula>
    </cfRule>
  </conditionalFormatting>
  <conditionalFormatting sqref="AN52">
    <cfRule type="cellIs" dxfId="1" priority="11" stopIfTrue="1" operator="greaterThan">
      <formula>0</formula>
    </cfRule>
  </conditionalFormatting>
  <conditionalFormatting sqref="AN52">
    <cfRule type="cellIs" dxfId="0" priority="12" stopIfTrue="1" operator="greater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2:AF88"/>
  <sheetViews>
    <sheetView showZeros="0" workbookViewId="0">
      <pane xSplit="5832" ySplit="3156" topLeftCell="P22" activePane="bottomRight"/>
      <selection sqref="A1:XFD1048576"/>
      <selection pane="topRight" activeCell="Q4" sqref="Q4:R4"/>
      <selection pane="bottomLeft" activeCell="C77" sqref="C77"/>
      <selection pane="bottomRight" activeCell="AA20" sqref="AA20"/>
    </sheetView>
  </sheetViews>
  <sheetFormatPr baseColWidth="10" defaultRowHeight="14.4" outlineLevelRow="1"/>
  <cols>
    <col min="1" max="1" width="16.5546875" bestFit="1" customWidth="1"/>
    <col min="3" max="3" width="17.6640625" bestFit="1" customWidth="1"/>
    <col min="4" max="4" width="7.6640625" customWidth="1"/>
    <col min="5" max="5" width="8" style="2" customWidth="1"/>
    <col min="6" max="6" width="7.6640625" style="2" customWidth="1"/>
    <col min="7" max="9" width="6.88671875" style="2" customWidth="1"/>
    <col min="10" max="10" width="9.44140625" style="2" customWidth="1"/>
    <col min="11" max="28" width="6.88671875" style="2" customWidth="1"/>
    <col min="29" max="29" width="11.44140625" style="4"/>
    <col min="30" max="30" width="11.44140625" style="2"/>
  </cols>
  <sheetData>
    <row r="2" spans="2:31">
      <c r="E2" s="2">
        <v>1</v>
      </c>
      <c r="F2" s="2">
        <v>2</v>
      </c>
      <c r="G2" s="2">
        <v>3</v>
      </c>
      <c r="H2" s="2">
        <v>4</v>
      </c>
      <c r="I2" s="2">
        <v>5</v>
      </c>
      <c r="J2" s="2">
        <v>6</v>
      </c>
      <c r="K2" s="2">
        <v>7</v>
      </c>
      <c r="L2" s="2">
        <v>8</v>
      </c>
      <c r="M2" s="2">
        <v>9</v>
      </c>
      <c r="N2" s="2">
        <v>10</v>
      </c>
      <c r="O2" s="2">
        <v>11</v>
      </c>
      <c r="P2" s="2">
        <v>12</v>
      </c>
      <c r="Q2" s="2">
        <v>13</v>
      </c>
      <c r="R2" s="2">
        <v>14</v>
      </c>
      <c r="S2" s="2">
        <v>15</v>
      </c>
      <c r="T2" s="2">
        <v>16</v>
      </c>
      <c r="U2" s="2">
        <v>17</v>
      </c>
      <c r="V2" s="2">
        <v>18</v>
      </c>
      <c r="W2" s="2">
        <v>19</v>
      </c>
      <c r="X2" s="2">
        <v>20</v>
      </c>
      <c r="Y2" s="2">
        <v>21</v>
      </c>
      <c r="Z2" s="2">
        <v>22</v>
      </c>
      <c r="AA2" s="2">
        <v>23</v>
      </c>
      <c r="AB2" s="2">
        <v>24</v>
      </c>
    </row>
    <row r="3" spans="2:31" s="10" customFormat="1" ht="114" thickBot="1">
      <c r="C3" s="21">
        <v>23</v>
      </c>
      <c r="D3" s="15">
        <v>43407</v>
      </c>
      <c r="E3" s="15">
        <v>43408</v>
      </c>
      <c r="F3" s="15">
        <v>43409</v>
      </c>
      <c r="G3" s="15">
        <v>43410</v>
      </c>
      <c r="H3" s="15">
        <v>43411</v>
      </c>
      <c r="I3" s="15">
        <v>43412</v>
      </c>
      <c r="J3" s="15">
        <v>43413</v>
      </c>
      <c r="K3" s="15">
        <v>43414</v>
      </c>
      <c r="L3" s="15">
        <v>43415</v>
      </c>
      <c r="M3" s="15">
        <v>43416</v>
      </c>
      <c r="N3" s="15">
        <v>43417</v>
      </c>
      <c r="O3" s="15">
        <v>43418</v>
      </c>
      <c r="P3" s="15">
        <v>43419</v>
      </c>
      <c r="Q3" s="15">
        <v>43420</v>
      </c>
      <c r="R3" s="15">
        <v>43421</v>
      </c>
      <c r="S3" s="15">
        <v>43422</v>
      </c>
      <c r="T3" s="15">
        <v>43423</v>
      </c>
      <c r="U3" s="15">
        <v>43424</v>
      </c>
      <c r="V3" s="15">
        <v>43425</v>
      </c>
      <c r="W3" s="15">
        <v>43426</v>
      </c>
      <c r="X3" s="15">
        <v>43427</v>
      </c>
      <c r="Y3" s="15">
        <v>43428</v>
      </c>
      <c r="Z3" s="15">
        <v>43429</v>
      </c>
      <c r="AA3" s="15">
        <v>43430</v>
      </c>
      <c r="AB3" s="15">
        <v>43431</v>
      </c>
      <c r="AC3" s="12"/>
      <c r="AD3" s="1"/>
    </row>
    <row r="4" spans="2:31" ht="15" thickBot="1">
      <c r="D4" s="2" t="s">
        <v>12</v>
      </c>
      <c r="E4" s="2" t="s">
        <v>15</v>
      </c>
      <c r="F4" s="2" t="s">
        <v>15</v>
      </c>
      <c r="G4" s="2" t="s">
        <v>15</v>
      </c>
      <c r="H4" s="2" t="s">
        <v>20</v>
      </c>
      <c r="I4" s="2" t="s">
        <v>20</v>
      </c>
      <c r="J4" s="2" t="s">
        <v>20</v>
      </c>
      <c r="K4" s="2" t="s">
        <v>20</v>
      </c>
      <c r="L4" s="2" t="s">
        <v>20</v>
      </c>
      <c r="M4" s="2" t="s">
        <v>35</v>
      </c>
      <c r="N4" s="2" t="s">
        <v>35</v>
      </c>
      <c r="O4" s="2" t="s">
        <v>38</v>
      </c>
      <c r="P4" s="2" t="s">
        <v>37</v>
      </c>
      <c r="Q4" s="2" t="s">
        <v>49</v>
      </c>
      <c r="R4" s="2" t="s">
        <v>49</v>
      </c>
      <c r="S4" s="2" t="s">
        <v>52</v>
      </c>
      <c r="T4" s="217" t="s">
        <v>53</v>
      </c>
      <c r="U4" s="218" t="s">
        <v>54</v>
      </c>
      <c r="V4" s="219" t="s">
        <v>55</v>
      </c>
      <c r="W4" s="2" t="s">
        <v>37</v>
      </c>
      <c r="X4" s="2" t="s">
        <v>37</v>
      </c>
      <c r="Y4" s="2" t="s">
        <v>37</v>
      </c>
      <c r="Z4" s="2" t="s">
        <v>37</v>
      </c>
      <c r="AA4" s="2" t="s">
        <v>37</v>
      </c>
      <c r="AC4" s="4" t="s">
        <v>13</v>
      </c>
    </row>
    <row r="5" spans="2:31">
      <c r="D5" s="11" t="s">
        <v>17</v>
      </c>
      <c r="E5" s="2" t="s">
        <v>16</v>
      </c>
      <c r="F5" s="2" t="s">
        <v>16</v>
      </c>
      <c r="G5" s="2" t="s">
        <v>16</v>
      </c>
    </row>
    <row r="6" spans="2:31">
      <c r="B6" t="s">
        <v>21</v>
      </c>
      <c r="C6" t="s">
        <v>0</v>
      </c>
      <c r="D6" s="11"/>
      <c r="E6" s="2">
        <v>200</v>
      </c>
      <c r="F6" s="2">
        <v>120</v>
      </c>
      <c r="G6" s="2">
        <v>200</v>
      </c>
      <c r="H6" s="2">
        <v>70</v>
      </c>
      <c r="K6" s="2">
        <v>50</v>
      </c>
      <c r="L6" s="2">
        <v>50</v>
      </c>
      <c r="M6" s="2">
        <v>50</v>
      </c>
      <c r="O6" s="2">
        <v>75</v>
      </c>
      <c r="P6" s="2">
        <v>70</v>
      </c>
      <c r="Q6" s="2">
        <v>70</v>
      </c>
      <c r="T6" s="2">
        <v>90</v>
      </c>
      <c r="V6" s="2">
        <v>130</v>
      </c>
      <c r="W6" s="2">
        <v>275</v>
      </c>
      <c r="X6" s="2">
        <v>150</v>
      </c>
      <c r="Y6" s="2">
        <v>100</v>
      </c>
      <c r="Z6" s="2">
        <v>280</v>
      </c>
      <c r="AA6" s="2">
        <v>40</v>
      </c>
      <c r="AC6" s="4">
        <v>2020</v>
      </c>
      <c r="AD6" s="16">
        <v>76.78720198125275</v>
      </c>
      <c r="AE6" s="203">
        <f>+AC6/AD6</f>
        <v>26.306467065868269</v>
      </c>
    </row>
    <row r="7" spans="2:31">
      <c r="B7" t="s">
        <v>21</v>
      </c>
      <c r="C7" t="s">
        <v>1</v>
      </c>
      <c r="D7" s="11"/>
      <c r="E7" s="2">
        <v>125</v>
      </c>
      <c r="F7" s="2">
        <v>200</v>
      </c>
      <c r="G7" s="2">
        <v>300</v>
      </c>
      <c r="H7" s="2">
        <v>535</v>
      </c>
      <c r="I7" s="2">
        <v>195</v>
      </c>
      <c r="J7" s="2">
        <v>80</v>
      </c>
      <c r="K7" s="2">
        <v>650</v>
      </c>
      <c r="M7" s="2">
        <v>250</v>
      </c>
      <c r="N7" s="2">
        <v>180</v>
      </c>
      <c r="O7" s="2">
        <v>70</v>
      </c>
      <c r="P7" s="2">
        <v>50</v>
      </c>
      <c r="R7" s="2">
        <v>60</v>
      </c>
      <c r="S7" s="2">
        <v>80</v>
      </c>
      <c r="T7" s="2">
        <v>90</v>
      </c>
      <c r="U7" s="2">
        <v>85</v>
      </c>
      <c r="V7" s="2">
        <v>45</v>
      </c>
      <c r="W7" s="2">
        <v>125</v>
      </c>
      <c r="X7" s="2">
        <v>250</v>
      </c>
      <c r="Y7" s="2">
        <v>160</v>
      </c>
      <c r="Z7" s="2">
        <v>160</v>
      </c>
      <c r="AA7" s="2">
        <v>160</v>
      </c>
      <c r="AC7" s="4">
        <v>3850</v>
      </c>
      <c r="AD7" s="16">
        <v>146.35184536030846</v>
      </c>
    </row>
    <row r="8" spans="2:31">
      <c r="B8" t="s">
        <v>21</v>
      </c>
      <c r="C8" t="s">
        <v>7</v>
      </c>
      <c r="D8" s="11"/>
      <c r="F8" s="2">
        <v>60</v>
      </c>
      <c r="G8" s="2">
        <v>160</v>
      </c>
      <c r="H8" s="2">
        <v>110</v>
      </c>
      <c r="I8" s="2">
        <v>225</v>
      </c>
      <c r="J8" s="2">
        <v>160</v>
      </c>
      <c r="K8" s="2">
        <v>200</v>
      </c>
      <c r="L8" s="2">
        <v>155</v>
      </c>
      <c r="M8" s="2">
        <v>120</v>
      </c>
      <c r="N8" s="2">
        <v>180</v>
      </c>
      <c r="O8" s="2">
        <v>125</v>
      </c>
      <c r="P8" s="2">
        <v>20</v>
      </c>
      <c r="Q8" s="2">
        <v>180</v>
      </c>
      <c r="R8" s="2">
        <v>130</v>
      </c>
      <c r="S8" s="2">
        <v>90</v>
      </c>
      <c r="U8" s="2">
        <v>50</v>
      </c>
      <c r="V8" s="2">
        <v>260</v>
      </c>
      <c r="W8" s="2">
        <v>160</v>
      </c>
      <c r="X8" s="2">
        <v>280</v>
      </c>
      <c r="Y8" s="2">
        <v>590</v>
      </c>
      <c r="AA8" s="2">
        <v>100</v>
      </c>
      <c r="AC8" s="4">
        <v>3355</v>
      </c>
      <c r="AD8" s="16">
        <v>127.53517952826881</v>
      </c>
    </row>
    <row r="9" spans="2:31">
      <c r="B9" t="s">
        <v>21</v>
      </c>
      <c r="C9" t="s">
        <v>2</v>
      </c>
      <c r="D9" s="11"/>
      <c r="F9" s="2">
        <v>50</v>
      </c>
      <c r="I9" s="2">
        <v>150</v>
      </c>
      <c r="J9" s="2">
        <v>80</v>
      </c>
      <c r="K9" s="2">
        <v>70</v>
      </c>
      <c r="L9" s="2">
        <v>150</v>
      </c>
      <c r="N9" s="2">
        <v>60</v>
      </c>
      <c r="O9" s="2">
        <v>20</v>
      </c>
      <c r="P9" s="2">
        <v>240</v>
      </c>
      <c r="Q9" s="2">
        <v>140</v>
      </c>
      <c r="T9" s="2">
        <v>100</v>
      </c>
      <c r="V9" s="2">
        <v>40</v>
      </c>
      <c r="W9" s="2">
        <v>50</v>
      </c>
      <c r="X9" s="2">
        <v>165</v>
      </c>
      <c r="AA9" s="2">
        <v>200</v>
      </c>
      <c r="AC9" s="4">
        <v>1515</v>
      </c>
      <c r="AD9" s="16">
        <v>57.590401485939566</v>
      </c>
    </row>
    <row r="10" spans="2:31">
      <c r="B10" t="s">
        <v>23</v>
      </c>
      <c r="C10" t="s">
        <v>5</v>
      </c>
      <c r="D10" s="11"/>
      <c r="E10" s="2">
        <v>150</v>
      </c>
      <c r="G10" s="2">
        <v>80</v>
      </c>
      <c r="H10" s="2">
        <v>50</v>
      </c>
      <c r="I10" s="2">
        <v>80</v>
      </c>
      <c r="J10" s="2">
        <v>575</v>
      </c>
      <c r="L10" s="2">
        <v>250</v>
      </c>
      <c r="N10" s="2">
        <v>700</v>
      </c>
      <c r="O10" s="2">
        <v>550</v>
      </c>
      <c r="P10" s="2">
        <v>95</v>
      </c>
      <c r="S10" s="2">
        <v>500</v>
      </c>
      <c r="T10" s="2">
        <v>1140</v>
      </c>
      <c r="U10" s="2">
        <v>60</v>
      </c>
      <c r="V10" s="2">
        <v>300</v>
      </c>
      <c r="W10" s="2">
        <v>140</v>
      </c>
      <c r="Y10" s="2">
        <v>1050</v>
      </c>
      <c r="AC10" s="4">
        <v>5720</v>
      </c>
      <c r="AD10" s="16">
        <v>217.4370273924583</v>
      </c>
    </row>
    <row r="11" spans="2:31">
      <c r="B11" t="s">
        <v>21</v>
      </c>
      <c r="C11" t="s">
        <v>27</v>
      </c>
      <c r="D11" s="11"/>
      <c r="F11" s="2">
        <v>300</v>
      </c>
      <c r="J11" s="2">
        <v>80</v>
      </c>
      <c r="O11" s="2">
        <v>90</v>
      </c>
      <c r="P11" s="2">
        <v>150</v>
      </c>
      <c r="AC11" s="4">
        <v>620</v>
      </c>
      <c r="AD11" s="16">
        <v>23.568349122958768</v>
      </c>
    </row>
    <row r="12" spans="2:31">
      <c r="B12" t="s">
        <v>25</v>
      </c>
      <c r="C12" t="s">
        <v>28</v>
      </c>
      <c r="D12" s="11"/>
      <c r="G12" s="2">
        <v>150</v>
      </c>
      <c r="H12" s="2">
        <v>540</v>
      </c>
      <c r="M12" s="2">
        <v>260</v>
      </c>
      <c r="P12" s="2">
        <v>370</v>
      </c>
      <c r="W12" s="2">
        <v>240</v>
      </c>
      <c r="AA12" s="2">
        <v>170</v>
      </c>
      <c r="AC12" s="4">
        <v>1730</v>
      </c>
      <c r="AD12" s="16">
        <v>65.763296746320435</v>
      </c>
    </row>
    <row r="13" spans="2:31">
      <c r="B13" t="s">
        <v>21</v>
      </c>
      <c r="C13" t="s">
        <v>8</v>
      </c>
      <c r="D13" s="11"/>
      <c r="E13" s="2">
        <v>600</v>
      </c>
      <c r="F13" s="2">
        <v>600</v>
      </c>
      <c r="G13" s="2">
        <v>600</v>
      </c>
      <c r="J13" s="2">
        <v>600</v>
      </c>
      <c r="K13" s="2">
        <v>600</v>
      </c>
      <c r="L13" s="2">
        <v>600</v>
      </c>
      <c r="M13" s="2">
        <v>600</v>
      </c>
      <c r="N13" s="2">
        <v>300</v>
      </c>
      <c r="P13" s="2">
        <v>200</v>
      </c>
      <c r="Q13" s="2">
        <v>400</v>
      </c>
      <c r="R13" s="2">
        <v>450</v>
      </c>
      <c r="S13" s="2">
        <v>1400</v>
      </c>
      <c r="U13" s="2">
        <v>250</v>
      </c>
      <c r="V13" s="2">
        <v>350</v>
      </c>
      <c r="X13" s="2">
        <v>600</v>
      </c>
      <c r="Y13" s="2">
        <v>600</v>
      </c>
      <c r="Z13" s="2">
        <v>600</v>
      </c>
      <c r="AA13" s="2">
        <v>600</v>
      </c>
      <c r="AC13" s="4">
        <v>9950</v>
      </c>
      <c r="AD13" s="16">
        <v>378.23398995716087</v>
      </c>
    </row>
    <row r="14" spans="2:31">
      <c r="B14" t="s">
        <v>25</v>
      </c>
      <c r="C14" t="s">
        <v>25</v>
      </c>
      <c r="D14" s="11"/>
      <c r="G14" s="2">
        <v>2082</v>
      </c>
      <c r="O14" s="2">
        <v>650</v>
      </c>
      <c r="AC14" s="4">
        <v>2732</v>
      </c>
      <c r="AD14" s="16">
        <v>103.85279000632798</v>
      </c>
    </row>
    <row r="15" spans="2:31">
      <c r="B15" t="s">
        <v>24</v>
      </c>
      <c r="C15" t="s">
        <v>19</v>
      </c>
      <c r="D15" s="11"/>
      <c r="E15" s="2">
        <v>650</v>
      </c>
      <c r="AC15" s="4">
        <v>650</v>
      </c>
      <c r="AD15" s="16">
        <v>24.708753112779352</v>
      </c>
    </row>
    <row r="16" spans="2:31">
      <c r="B16" t="s">
        <v>24</v>
      </c>
      <c r="C16" t="s">
        <v>18</v>
      </c>
      <c r="D16" s="11"/>
      <c r="E16" s="2">
        <v>200</v>
      </c>
      <c r="F16" s="2">
        <v>650</v>
      </c>
      <c r="AC16" s="4">
        <v>850</v>
      </c>
      <c r="AD16" s="16">
        <v>32.311446378249919</v>
      </c>
    </row>
    <row r="17" spans="2:30">
      <c r="B17" t="s">
        <v>24</v>
      </c>
      <c r="C17" t="s">
        <v>6</v>
      </c>
      <c r="D17" s="11"/>
      <c r="X17" s="2">
        <v>160</v>
      </c>
      <c r="Y17" s="2">
        <v>380</v>
      </c>
      <c r="Z17" s="2">
        <v>350</v>
      </c>
      <c r="AC17" s="4">
        <v>890</v>
      </c>
      <c r="AD17" s="16">
        <v>33.831985031344033</v>
      </c>
    </row>
    <row r="18" spans="2:30">
      <c r="B18" t="s">
        <v>24</v>
      </c>
      <c r="C18" t="s">
        <v>3</v>
      </c>
      <c r="D18" s="11"/>
      <c r="E18" s="2">
        <v>100</v>
      </c>
      <c r="T18" s="2">
        <v>110</v>
      </c>
      <c r="U18" s="2">
        <v>200</v>
      </c>
      <c r="X18" s="2">
        <v>250</v>
      </c>
      <c r="Z18" s="2">
        <v>280</v>
      </c>
      <c r="AC18" s="4">
        <v>940</v>
      </c>
      <c r="AD18" s="16">
        <v>35.732658347711677</v>
      </c>
    </row>
    <row r="19" spans="2:30">
      <c r="B19" t="s">
        <v>23</v>
      </c>
      <c r="C19" t="s">
        <v>4</v>
      </c>
      <c r="D19" s="11"/>
      <c r="E19" s="2">
        <v>300</v>
      </c>
      <c r="F19" s="2">
        <v>80</v>
      </c>
      <c r="G19" s="2">
        <v>100</v>
      </c>
      <c r="P19" s="2">
        <v>325</v>
      </c>
      <c r="R19" s="2">
        <v>400</v>
      </c>
      <c r="W19" s="2">
        <v>300</v>
      </c>
      <c r="AC19" s="4">
        <v>1505</v>
      </c>
      <c r="AD19" s="16">
        <v>57.210266822666036</v>
      </c>
    </row>
    <row r="20" spans="2:30" outlineLevel="1">
      <c r="B20" t="s">
        <v>26</v>
      </c>
      <c r="C20" t="s">
        <v>60</v>
      </c>
      <c r="D20" s="11"/>
      <c r="F20" s="2">
        <v>800</v>
      </c>
      <c r="G20" s="2">
        <v>600</v>
      </c>
      <c r="J20" s="2">
        <v>800</v>
      </c>
      <c r="L20" s="2">
        <v>1800</v>
      </c>
      <c r="X20" s="2">
        <v>800</v>
      </c>
      <c r="AA20" s="2">
        <v>800</v>
      </c>
      <c r="AC20" s="4">
        <v>5600</v>
      </c>
      <c r="AD20" s="16">
        <v>212.87541143317594</v>
      </c>
    </row>
    <row r="21" spans="2:30">
      <c r="D21" s="2"/>
      <c r="AC21" s="4">
        <v>0</v>
      </c>
      <c r="AD21" s="16">
        <v>0</v>
      </c>
    </row>
    <row r="22" spans="2:30">
      <c r="C22" s="9" t="s">
        <v>14</v>
      </c>
      <c r="E22" s="4">
        <v>2325</v>
      </c>
      <c r="F22" s="4">
        <v>2860</v>
      </c>
      <c r="G22" s="4">
        <v>4272</v>
      </c>
      <c r="H22" s="4">
        <v>1305</v>
      </c>
      <c r="I22" s="4">
        <v>650</v>
      </c>
      <c r="J22" s="4">
        <v>2375</v>
      </c>
      <c r="K22" s="4">
        <v>1570</v>
      </c>
      <c r="L22" s="4">
        <v>3005</v>
      </c>
      <c r="M22" s="4">
        <v>1280</v>
      </c>
      <c r="N22" s="4">
        <v>1420</v>
      </c>
      <c r="O22" s="4">
        <v>1580</v>
      </c>
      <c r="P22" s="4">
        <v>1520</v>
      </c>
      <c r="Q22" s="4">
        <v>790</v>
      </c>
      <c r="R22" s="4">
        <v>1040</v>
      </c>
      <c r="S22" s="4">
        <v>2070</v>
      </c>
      <c r="T22" s="4">
        <v>1530</v>
      </c>
      <c r="U22" s="4">
        <v>645</v>
      </c>
      <c r="V22" s="4">
        <v>1125</v>
      </c>
      <c r="W22" s="4">
        <v>1290</v>
      </c>
      <c r="X22" s="4">
        <v>2655</v>
      </c>
      <c r="Y22" s="4">
        <v>2880</v>
      </c>
      <c r="Z22" s="4">
        <v>1670</v>
      </c>
      <c r="AA22" s="4">
        <v>2070</v>
      </c>
      <c r="AB22" s="4">
        <v>0</v>
      </c>
      <c r="AC22" s="4">
        <v>41927</v>
      </c>
      <c r="AD22" s="13">
        <v>1593.790602706923</v>
      </c>
    </row>
    <row r="23" spans="2:30" ht="72">
      <c r="D23" s="18"/>
      <c r="E23" s="17" t="s">
        <v>46</v>
      </c>
      <c r="F23" s="17" t="s">
        <v>48</v>
      </c>
      <c r="G23" s="17" t="s">
        <v>47</v>
      </c>
      <c r="H23" s="17"/>
      <c r="I23" s="17"/>
      <c r="J23" s="17"/>
      <c r="K23" s="17"/>
      <c r="L23" s="17" t="s">
        <v>42</v>
      </c>
      <c r="M23" s="17" t="s">
        <v>44</v>
      </c>
      <c r="N23" s="17" t="s">
        <v>40</v>
      </c>
      <c r="O23" s="17" t="s">
        <v>39</v>
      </c>
      <c r="P23" s="17" t="s">
        <v>41</v>
      </c>
      <c r="Q23" s="17" t="s">
        <v>43</v>
      </c>
      <c r="R23" s="17" t="s">
        <v>43</v>
      </c>
      <c r="S23" s="17" t="s">
        <v>58</v>
      </c>
      <c r="T23" s="17" t="s">
        <v>59</v>
      </c>
      <c r="U23" s="17" t="s">
        <v>59</v>
      </c>
      <c r="V23" s="17" t="s">
        <v>59</v>
      </c>
      <c r="W23" s="17"/>
      <c r="X23" s="17"/>
      <c r="Y23" s="17" t="s">
        <v>65</v>
      </c>
      <c r="Z23" s="17"/>
      <c r="AA23" s="17"/>
      <c r="AB23" s="17"/>
      <c r="AC23" s="3"/>
      <c r="AD23" s="18"/>
    </row>
    <row r="24" spans="2:30" hidden="1" outlineLevel="1"/>
    <row r="25" spans="2:30" hidden="1" outlineLevel="1">
      <c r="C25" t="s">
        <v>21</v>
      </c>
      <c r="E25" s="2">
        <v>925</v>
      </c>
      <c r="F25" s="2">
        <v>1330</v>
      </c>
      <c r="G25" s="2">
        <v>1260</v>
      </c>
      <c r="H25" s="2">
        <v>715</v>
      </c>
      <c r="I25" s="2">
        <v>570</v>
      </c>
      <c r="J25" s="2">
        <v>1000</v>
      </c>
      <c r="K25" s="2">
        <v>1570</v>
      </c>
      <c r="L25" s="2">
        <v>955</v>
      </c>
      <c r="M25" s="2">
        <v>1020</v>
      </c>
      <c r="N25" s="2">
        <v>720</v>
      </c>
      <c r="O25" s="2">
        <v>380</v>
      </c>
      <c r="P25" s="2">
        <v>730</v>
      </c>
      <c r="Q25" s="2">
        <v>790</v>
      </c>
      <c r="R25" s="2">
        <v>640</v>
      </c>
      <c r="S25" s="2">
        <v>1570</v>
      </c>
      <c r="T25" s="2">
        <v>280</v>
      </c>
      <c r="U25" s="2">
        <v>385</v>
      </c>
      <c r="V25" s="2">
        <v>825</v>
      </c>
      <c r="W25" s="2">
        <v>610</v>
      </c>
      <c r="X25" s="2">
        <v>1445</v>
      </c>
      <c r="AC25" s="4">
        <v>17720</v>
      </c>
      <c r="AD25" s="14">
        <v>673.59862332069247</v>
      </c>
    </row>
    <row r="26" spans="2:30" hidden="1" outlineLevel="1">
      <c r="C26" t="s">
        <v>23</v>
      </c>
      <c r="E26" s="2">
        <v>450</v>
      </c>
      <c r="F26" s="2">
        <v>80</v>
      </c>
      <c r="G26" s="2">
        <v>180</v>
      </c>
      <c r="H26" s="2">
        <v>50</v>
      </c>
      <c r="I26" s="2">
        <v>80</v>
      </c>
      <c r="J26" s="2">
        <v>575</v>
      </c>
      <c r="K26" s="2">
        <v>0</v>
      </c>
      <c r="L26" s="2">
        <v>250</v>
      </c>
      <c r="M26" s="2">
        <v>0</v>
      </c>
      <c r="N26" s="2">
        <v>700</v>
      </c>
      <c r="O26" s="2">
        <v>550</v>
      </c>
      <c r="P26" s="2">
        <v>420</v>
      </c>
      <c r="Q26" s="2">
        <v>0</v>
      </c>
      <c r="R26" s="2">
        <v>400</v>
      </c>
      <c r="S26" s="2">
        <v>500</v>
      </c>
      <c r="T26" s="2">
        <v>1140</v>
      </c>
      <c r="U26" s="2">
        <v>60</v>
      </c>
      <c r="V26" s="2">
        <v>300</v>
      </c>
      <c r="W26" s="2">
        <v>440</v>
      </c>
      <c r="X26" s="2">
        <v>0</v>
      </c>
      <c r="AC26" s="4">
        <v>6175</v>
      </c>
      <c r="AD26" s="14">
        <v>234.73315457140384</v>
      </c>
    </row>
    <row r="27" spans="2:30" hidden="1" outlineLevel="1">
      <c r="C27" t="s">
        <v>25</v>
      </c>
      <c r="E27" s="2">
        <v>0</v>
      </c>
      <c r="F27" s="2">
        <v>0</v>
      </c>
      <c r="G27" s="2">
        <v>2232</v>
      </c>
      <c r="H27" s="2">
        <v>540</v>
      </c>
      <c r="I27" s="2">
        <v>0</v>
      </c>
      <c r="J27" s="2">
        <v>0</v>
      </c>
      <c r="K27" s="2">
        <v>0</v>
      </c>
      <c r="L27" s="2">
        <v>0</v>
      </c>
      <c r="M27" s="2">
        <v>260</v>
      </c>
      <c r="N27" s="2">
        <v>0</v>
      </c>
      <c r="O27" s="2">
        <v>650</v>
      </c>
      <c r="P27" s="2">
        <v>370</v>
      </c>
      <c r="Q27" s="2">
        <v>0</v>
      </c>
      <c r="R27" s="2">
        <v>0</v>
      </c>
      <c r="S27" s="2">
        <v>0</v>
      </c>
      <c r="T27" s="2">
        <v>0</v>
      </c>
      <c r="U27" s="2">
        <v>0</v>
      </c>
      <c r="V27" s="2">
        <v>0</v>
      </c>
      <c r="W27" s="2">
        <v>240</v>
      </c>
      <c r="X27" s="2">
        <v>0</v>
      </c>
      <c r="AC27" s="4">
        <v>4292</v>
      </c>
      <c r="AD27" s="14">
        <v>163.15379747699842</v>
      </c>
    </row>
    <row r="28" spans="2:30" hidden="1" outlineLevel="1">
      <c r="C28" t="s">
        <v>26</v>
      </c>
      <c r="E28" s="2">
        <v>0</v>
      </c>
      <c r="F28" s="2">
        <v>800</v>
      </c>
      <c r="G28" s="2">
        <v>600</v>
      </c>
      <c r="H28" s="2">
        <v>0</v>
      </c>
      <c r="I28" s="2">
        <v>0</v>
      </c>
      <c r="J28" s="2">
        <v>800</v>
      </c>
      <c r="K28" s="2">
        <v>0</v>
      </c>
      <c r="L28" s="2">
        <v>1800</v>
      </c>
      <c r="M28" s="2">
        <v>0</v>
      </c>
      <c r="N28" s="2">
        <v>0</v>
      </c>
      <c r="O28" s="2">
        <v>0</v>
      </c>
      <c r="P28" s="2">
        <v>0</v>
      </c>
      <c r="Q28" s="2">
        <v>0</v>
      </c>
      <c r="R28" s="2">
        <v>0</v>
      </c>
      <c r="S28" s="2">
        <v>0</v>
      </c>
      <c r="T28" s="2">
        <v>0</v>
      </c>
      <c r="U28" s="2">
        <v>0</v>
      </c>
      <c r="V28" s="2">
        <v>0</v>
      </c>
      <c r="W28" s="2">
        <v>0</v>
      </c>
      <c r="X28" s="2">
        <v>800</v>
      </c>
      <c r="AC28" s="4">
        <v>4800</v>
      </c>
      <c r="AD28" s="14">
        <v>182.46463837129369</v>
      </c>
    </row>
    <row r="29" spans="2:30" hidden="1" outlineLevel="1">
      <c r="C29" t="s">
        <v>22</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AC29" s="4">
        <v>0</v>
      </c>
      <c r="AD29" s="14">
        <v>0</v>
      </c>
    </row>
    <row r="30" spans="2:30" hidden="1" outlineLevel="1">
      <c r="C30" t="s">
        <v>24</v>
      </c>
      <c r="E30" s="2">
        <v>950</v>
      </c>
      <c r="F30" s="2">
        <v>650</v>
      </c>
      <c r="G30" s="2">
        <v>0</v>
      </c>
      <c r="H30" s="2">
        <v>0</v>
      </c>
      <c r="I30" s="2">
        <v>0</v>
      </c>
      <c r="J30" s="2">
        <v>0</v>
      </c>
      <c r="K30" s="2">
        <v>0</v>
      </c>
      <c r="L30" s="2">
        <v>0</v>
      </c>
      <c r="M30" s="2">
        <v>0</v>
      </c>
      <c r="N30" s="2">
        <v>0</v>
      </c>
      <c r="O30" s="2">
        <v>0</v>
      </c>
      <c r="P30" s="2">
        <v>0</v>
      </c>
      <c r="Q30" s="2">
        <v>0</v>
      </c>
      <c r="R30" s="2">
        <v>0</v>
      </c>
      <c r="S30" s="2">
        <v>0</v>
      </c>
      <c r="T30" s="2">
        <v>110</v>
      </c>
      <c r="U30" s="2">
        <v>200</v>
      </c>
      <c r="V30" s="2">
        <v>0</v>
      </c>
      <c r="W30" s="2">
        <v>0</v>
      </c>
      <c r="X30" s="2">
        <v>410</v>
      </c>
      <c r="AC30" s="4">
        <v>2320</v>
      </c>
      <c r="AD30" s="14">
        <v>88.191241879458616</v>
      </c>
    </row>
    <row r="31" spans="2:30" hidden="1" outlineLevel="1">
      <c r="C31" s="9" t="s">
        <v>14</v>
      </c>
      <c r="E31" s="4">
        <v>2325</v>
      </c>
      <c r="F31" s="4">
        <v>2860</v>
      </c>
      <c r="G31" s="4">
        <v>4272</v>
      </c>
      <c r="H31" s="4">
        <v>1305</v>
      </c>
      <c r="I31" s="4">
        <v>650</v>
      </c>
      <c r="J31" s="4">
        <v>2375</v>
      </c>
      <c r="K31" s="4">
        <v>1570</v>
      </c>
      <c r="L31" s="4">
        <v>3005</v>
      </c>
      <c r="M31" s="4">
        <v>1280</v>
      </c>
      <c r="N31" s="4">
        <v>1420</v>
      </c>
      <c r="O31" s="4">
        <v>1580</v>
      </c>
      <c r="P31" s="4">
        <v>1520</v>
      </c>
      <c r="Q31" s="4">
        <v>790</v>
      </c>
      <c r="R31" s="4">
        <v>1040</v>
      </c>
      <c r="S31" s="4">
        <v>2070</v>
      </c>
      <c r="T31" s="4">
        <v>1530</v>
      </c>
      <c r="U31" s="4">
        <v>645</v>
      </c>
      <c r="V31" s="4">
        <v>1125</v>
      </c>
      <c r="W31" s="4">
        <v>1290</v>
      </c>
      <c r="X31" s="4">
        <v>2655</v>
      </c>
      <c r="AC31" s="4">
        <v>35307</v>
      </c>
      <c r="AD31" s="14">
        <v>1342.141455619847</v>
      </c>
    </row>
    <row r="32" spans="2:30" collapsed="1">
      <c r="C32" s="9"/>
      <c r="E32" s="4"/>
      <c r="F32" s="4"/>
      <c r="G32" s="4"/>
      <c r="H32" s="4"/>
      <c r="I32" s="4"/>
      <c r="J32" s="4"/>
      <c r="K32" s="4"/>
      <c r="L32" s="4"/>
      <c r="M32" s="4"/>
      <c r="N32" s="4"/>
      <c r="O32" s="4"/>
      <c r="P32" s="4"/>
      <c r="Q32" s="4"/>
      <c r="R32" s="4"/>
      <c r="S32" s="4"/>
      <c r="T32" s="4"/>
      <c r="U32" s="4"/>
      <c r="V32" s="4"/>
      <c r="W32" s="4"/>
      <c r="X32" s="4"/>
      <c r="AD32" s="14"/>
    </row>
    <row r="33" spans="1:30">
      <c r="C33" s="9"/>
      <c r="E33" s="4"/>
      <c r="F33" s="4"/>
      <c r="G33" s="4"/>
      <c r="H33" s="4"/>
      <c r="I33" s="4"/>
      <c r="J33" s="4"/>
      <c r="K33" s="4"/>
      <c r="L33" s="4"/>
      <c r="M33" s="4"/>
      <c r="N33" s="4"/>
      <c r="O33" s="4"/>
      <c r="P33" s="4"/>
      <c r="Q33" s="4"/>
      <c r="R33" s="4"/>
      <c r="S33" s="4"/>
      <c r="T33" s="4"/>
      <c r="U33" s="4"/>
      <c r="V33" s="4"/>
      <c r="W33" s="4"/>
      <c r="X33" s="4"/>
      <c r="AD33" s="14"/>
    </row>
    <row r="35" spans="1:30">
      <c r="C35" s="9" t="s">
        <v>33</v>
      </c>
    </row>
    <row r="36" spans="1:30">
      <c r="A36" t="s">
        <v>56</v>
      </c>
      <c r="B36" t="s">
        <v>25</v>
      </c>
      <c r="C36" t="s">
        <v>25</v>
      </c>
      <c r="D36">
        <v>615</v>
      </c>
      <c r="AC36" s="4">
        <v>615</v>
      </c>
    </row>
    <row r="37" spans="1:30">
      <c r="A37" t="s">
        <v>57</v>
      </c>
      <c r="B37" t="s">
        <v>25</v>
      </c>
      <c r="C37" t="s">
        <v>25</v>
      </c>
      <c r="D37">
        <v>35</v>
      </c>
      <c r="AC37" s="4">
        <v>35</v>
      </c>
    </row>
    <row r="38" spans="1:30">
      <c r="A38" t="s">
        <v>34</v>
      </c>
      <c r="B38" t="s">
        <v>25</v>
      </c>
      <c r="C38" t="s">
        <v>25</v>
      </c>
      <c r="D38">
        <v>130</v>
      </c>
      <c r="AC38" s="4">
        <v>130</v>
      </c>
    </row>
    <row r="39" spans="1:30">
      <c r="A39" t="s">
        <v>45</v>
      </c>
      <c r="B39" t="s">
        <v>21</v>
      </c>
      <c r="C39" t="s">
        <v>8</v>
      </c>
      <c r="H39" s="2">
        <v>21</v>
      </c>
      <c r="I39" s="2">
        <v>21</v>
      </c>
      <c r="AC39" s="4">
        <v>42</v>
      </c>
    </row>
    <row r="40" spans="1:30">
      <c r="A40" t="s">
        <v>29</v>
      </c>
      <c r="B40" t="s">
        <v>24</v>
      </c>
      <c r="C40" t="s">
        <v>3</v>
      </c>
      <c r="J40" s="2">
        <v>184</v>
      </c>
      <c r="AC40" s="4">
        <v>184</v>
      </c>
    </row>
    <row r="41" spans="1:30">
      <c r="A41" t="s">
        <v>30</v>
      </c>
      <c r="B41" t="s">
        <v>24</v>
      </c>
      <c r="C41" t="s">
        <v>3</v>
      </c>
      <c r="J41" s="2">
        <v>123</v>
      </c>
      <c r="AC41" s="4">
        <v>123</v>
      </c>
    </row>
    <row r="42" spans="1:30">
      <c r="A42" t="s">
        <v>31</v>
      </c>
      <c r="B42" t="s">
        <v>24</v>
      </c>
      <c r="C42" t="s">
        <v>6</v>
      </c>
      <c r="J42" s="2">
        <v>30</v>
      </c>
      <c r="AC42" s="4">
        <v>30</v>
      </c>
    </row>
    <row r="43" spans="1:30" hidden="1" outlineLevel="1">
      <c r="A43" t="s">
        <v>36</v>
      </c>
      <c r="B43" t="s">
        <v>26</v>
      </c>
      <c r="C43" t="s">
        <v>60</v>
      </c>
      <c r="L43" s="2">
        <v>40</v>
      </c>
      <c r="AC43" s="4">
        <v>40</v>
      </c>
    </row>
    <row r="44" spans="1:30" collapsed="1">
      <c r="A44" t="s">
        <v>43</v>
      </c>
      <c r="B44" t="s">
        <v>23</v>
      </c>
      <c r="C44" t="s">
        <v>5</v>
      </c>
      <c r="Q44" s="2">
        <v>115</v>
      </c>
      <c r="AC44" s="4">
        <v>115</v>
      </c>
    </row>
    <row r="45" spans="1:30">
      <c r="A45" t="s">
        <v>50</v>
      </c>
      <c r="B45" t="s">
        <v>23</v>
      </c>
      <c r="C45" t="s">
        <v>5</v>
      </c>
      <c r="S45" s="2">
        <v>35</v>
      </c>
      <c r="AC45" s="4">
        <v>35</v>
      </c>
    </row>
    <row r="46" spans="1:30">
      <c r="A46" t="s">
        <v>51</v>
      </c>
      <c r="B46" t="s">
        <v>25</v>
      </c>
      <c r="C46" t="s">
        <v>25</v>
      </c>
      <c r="S46" s="2">
        <v>150</v>
      </c>
      <c r="AC46" s="4">
        <v>150</v>
      </c>
    </row>
    <row r="47" spans="1:30">
      <c r="A47" t="s">
        <v>62</v>
      </c>
      <c r="B47" t="s">
        <v>24</v>
      </c>
      <c r="C47" t="s">
        <v>18</v>
      </c>
      <c r="Z47" s="2">
        <v>25</v>
      </c>
    </row>
    <row r="48" spans="1:30">
      <c r="C48" t="s">
        <v>63</v>
      </c>
      <c r="AB48" s="2">
        <v>30</v>
      </c>
    </row>
    <row r="49" spans="2:32">
      <c r="C49" t="s">
        <v>64</v>
      </c>
      <c r="AB49" s="2">
        <v>10</v>
      </c>
      <c r="AC49" s="4">
        <v>0</v>
      </c>
    </row>
    <row r="51" spans="2:32">
      <c r="AC51" s="4">
        <v>0</v>
      </c>
    </row>
    <row r="52" spans="2:32">
      <c r="C52" s="9" t="s">
        <v>32</v>
      </c>
      <c r="D52" s="4">
        <v>780</v>
      </c>
      <c r="E52" s="4">
        <v>0</v>
      </c>
      <c r="F52" s="4">
        <v>0</v>
      </c>
      <c r="G52" s="4">
        <v>0</v>
      </c>
      <c r="H52" s="4">
        <v>21</v>
      </c>
      <c r="I52" s="4">
        <v>21</v>
      </c>
      <c r="J52" s="4">
        <v>337</v>
      </c>
      <c r="K52" s="4">
        <v>0</v>
      </c>
      <c r="L52" s="4">
        <v>40</v>
      </c>
      <c r="M52" s="4">
        <v>0</v>
      </c>
      <c r="N52" s="4">
        <v>0</v>
      </c>
      <c r="O52" s="4">
        <v>0</v>
      </c>
      <c r="P52" s="4">
        <v>0</v>
      </c>
      <c r="Q52" s="4">
        <v>115</v>
      </c>
      <c r="R52" s="4">
        <v>0</v>
      </c>
      <c r="S52" s="4">
        <v>185</v>
      </c>
      <c r="T52" s="4">
        <v>0</v>
      </c>
      <c r="U52" s="4">
        <v>0</v>
      </c>
      <c r="V52" s="4">
        <v>0</v>
      </c>
      <c r="W52" s="4">
        <v>0</v>
      </c>
      <c r="X52" s="4">
        <v>0</v>
      </c>
      <c r="Y52" s="4">
        <v>0</v>
      </c>
      <c r="Z52" s="4">
        <v>25</v>
      </c>
      <c r="AA52" s="4">
        <v>0</v>
      </c>
      <c r="AB52" s="4">
        <v>40</v>
      </c>
      <c r="AC52" s="4">
        <v>1564</v>
      </c>
    </row>
    <row r="55" spans="2:32">
      <c r="E55" s="2">
        <v>1</v>
      </c>
      <c r="F55" s="2">
        <v>2</v>
      </c>
      <c r="G55" s="2">
        <v>3</v>
      </c>
      <c r="H55" s="2">
        <v>4</v>
      </c>
      <c r="I55" s="2">
        <v>5</v>
      </c>
      <c r="J55" s="2">
        <v>6</v>
      </c>
      <c r="K55" s="2">
        <v>7</v>
      </c>
      <c r="L55" s="2">
        <v>8</v>
      </c>
      <c r="M55" s="2">
        <v>9</v>
      </c>
      <c r="N55" s="2">
        <v>10</v>
      </c>
      <c r="O55" s="2">
        <v>11</v>
      </c>
      <c r="P55" s="2">
        <v>12</v>
      </c>
      <c r="Q55" s="2">
        <v>13</v>
      </c>
      <c r="R55" s="2">
        <v>14</v>
      </c>
      <c r="S55" s="2">
        <v>15</v>
      </c>
      <c r="T55" s="2">
        <v>16</v>
      </c>
      <c r="U55" s="2">
        <v>17</v>
      </c>
      <c r="V55" s="2">
        <v>18</v>
      </c>
      <c r="W55" s="2">
        <v>19</v>
      </c>
      <c r="X55" s="2">
        <v>20</v>
      </c>
      <c r="Y55" s="2">
        <v>21</v>
      </c>
      <c r="Z55" s="2">
        <v>22</v>
      </c>
      <c r="AA55" s="2">
        <v>23</v>
      </c>
      <c r="AB55" s="2">
        <v>24</v>
      </c>
    </row>
    <row r="56" spans="2:32" ht="113.4">
      <c r="D56" s="15">
        <v>43407</v>
      </c>
      <c r="E56" s="15">
        <v>43408</v>
      </c>
      <c r="F56" s="15">
        <v>43409</v>
      </c>
      <c r="G56" s="15">
        <v>43410</v>
      </c>
      <c r="H56" s="15">
        <v>43411</v>
      </c>
      <c r="I56" s="15">
        <v>43412</v>
      </c>
      <c r="J56" s="15">
        <v>43413</v>
      </c>
      <c r="K56" s="15">
        <v>43414</v>
      </c>
      <c r="L56" s="15">
        <v>43415</v>
      </c>
      <c r="M56" s="15">
        <v>43416</v>
      </c>
      <c r="N56" s="15">
        <v>43417</v>
      </c>
      <c r="O56" s="15">
        <v>43418</v>
      </c>
      <c r="P56" s="15">
        <v>43419</v>
      </c>
      <c r="Q56" s="15">
        <v>43420</v>
      </c>
      <c r="R56" s="15">
        <v>43421</v>
      </c>
      <c r="S56" s="15">
        <v>43422</v>
      </c>
      <c r="T56" s="15">
        <v>43423</v>
      </c>
      <c r="U56" s="15">
        <v>43424</v>
      </c>
      <c r="V56" s="15">
        <v>43425</v>
      </c>
      <c r="W56" s="15">
        <v>43426</v>
      </c>
      <c r="X56" s="15">
        <v>43427</v>
      </c>
      <c r="Y56" s="15">
        <v>43428</v>
      </c>
      <c r="Z56" s="15">
        <v>43429</v>
      </c>
      <c r="AA56" s="15">
        <v>43430</v>
      </c>
      <c r="AB56" s="15">
        <v>43431</v>
      </c>
      <c r="AC56" s="12"/>
    </row>
    <row r="58" spans="2:32">
      <c r="B58" t="s">
        <v>21</v>
      </c>
      <c r="C58" t="s">
        <v>0</v>
      </c>
      <c r="D58" s="19">
        <v>0</v>
      </c>
      <c r="E58" s="19">
        <v>7.6026932654705695</v>
      </c>
      <c r="F58" s="19">
        <v>4.5616159592823422</v>
      </c>
      <c r="G58" s="19">
        <v>7.6026932654705695</v>
      </c>
      <c r="H58" s="19">
        <v>2.6609426429146996</v>
      </c>
      <c r="I58" s="19">
        <v>0</v>
      </c>
      <c r="J58" s="19">
        <v>0</v>
      </c>
      <c r="K58" s="19">
        <v>1.9006733163676424</v>
      </c>
      <c r="L58" s="19">
        <v>1.9006733163676424</v>
      </c>
      <c r="M58" s="19">
        <v>1.9006733163676424</v>
      </c>
      <c r="N58" s="19">
        <v>0</v>
      </c>
      <c r="O58" s="19">
        <v>2.8510099745514639</v>
      </c>
      <c r="P58" s="19">
        <v>2.6609426429146996</v>
      </c>
      <c r="Q58" s="19">
        <v>2.6609426429146996</v>
      </c>
      <c r="R58" s="19">
        <v>0</v>
      </c>
      <c r="S58" s="19">
        <v>0</v>
      </c>
      <c r="T58" s="19">
        <v>3.4212119694617562</v>
      </c>
      <c r="U58" s="19">
        <v>0</v>
      </c>
      <c r="V58" s="19">
        <v>4.9417506225558707</v>
      </c>
      <c r="W58" s="19">
        <v>10.453703240022033</v>
      </c>
      <c r="X58" s="19">
        <v>5.7020199491029278</v>
      </c>
      <c r="Y58" s="19">
        <v>3.8013466327352847</v>
      </c>
      <c r="Z58" s="19">
        <v>10.643770571658798</v>
      </c>
      <c r="AA58" s="19">
        <v>1.5205386530941141</v>
      </c>
      <c r="AB58" s="19">
        <v>0</v>
      </c>
      <c r="AC58" s="20">
        <v>76.787201981252764</v>
      </c>
      <c r="AE58" s="20">
        <v>3.3385739991849026</v>
      </c>
      <c r="AF58" s="20">
        <v>3.3385739991849026</v>
      </c>
    </row>
    <row r="59" spans="2:32">
      <c r="B59" t="s">
        <v>21</v>
      </c>
      <c r="C59" t="s">
        <v>1</v>
      </c>
      <c r="D59" s="19">
        <v>0</v>
      </c>
      <c r="E59" s="19">
        <v>4.7516832909191065</v>
      </c>
      <c r="F59" s="19">
        <v>7.6026932654705695</v>
      </c>
      <c r="G59" s="19">
        <v>11.404039898205856</v>
      </c>
      <c r="H59" s="19">
        <v>20.337204485133775</v>
      </c>
      <c r="I59" s="19">
        <v>7.4126259338338052</v>
      </c>
      <c r="J59" s="19">
        <v>3.0410773061882281</v>
      </c>
      <c r="K59" s="19">
        <v>24.708753112779352</v>
      </c>
      <c r="L59" s="19">
        <v>0</v>
      </c>
      <c r="M59" s="19">
        <v>9.5033665818382129</v>
      </c>
      <c r="N59" s="19">
        <v>6.8424239389235124</v>
      </c>
      <c r="O59" s="19">
        <v>2.6609426429146996</v>
      </c>
      <c r="P59" s="19">
        <v>1.9006733163676424</v>
      </c>
      <c r="Q59" s="19">
        <v>0</v>
      </c>
      <c r="R59" s="19">
        <v>2.2808079796411711</v>
      </c>
      <c r="S59" s="19">
        <v>3.0410773061882281</v>
      </c>
      <c r="T59" s="19">
        <v>3.4212119694617562</v>
      </c>
      <c r="U59" s="19">
        <v>3.2311446378249924</v>
      </c>
      <c r="V59" s="19">
        <v>1.7106059847308781</v>
      </c>
      <c r="W59" s="19">
        <v>4.7516832909191065</v>
      </c>
      <c r="X59" s="19">
        <v>9.5033665818382129</v>
      </c>
      <c r="Y59" s="19">
        <v>6.0821546123764563</v>
      </c>
      <c r="Z59" s="19">
        <v>6.0821546123764563</v>
      </c>
      <c r="AA59" s="19">
        <v>6.0821546123764563</v>
      </c>
      <c r="AB59" s="19">
        <v>0</v>
      </c>
      <c r="AC59" s="20">
        <v>146.35184536030846</v>
      </c>
      <c r="AE59" s="20">
        <v>6.3631237113177592</v>
      </c>
      <c r="AF59" s="20">
        <v>6.3631237113177592</v>
      </c>
    </row>
    <row r="60" spans="2:32">
      <c r="B60" t="s">
        <v>21</v>
      </c>
      <c r="C60" t="s">
        <v>7</v>
      </c>
      <c r="D60" s="19">
        <v>0</v>
      </c>
      <c r="E60" s="19">
        <v>0</v>
      </c>
      <c r="F60" s="19">
        <v>2.2808079796411711</v>
      </c>
      <c r="G60" s="19">
        <v>6.0821546123764563</v>
      </c>
      <c r="H60" s="19">
        <v>4.1814812960088137</v>
      </c>
      <c r="I60" s="19">
        <v>8.5530299236543907</v>
      </c>
      <c r="J60" s="19">
        <v>6.0821546123764563</v>
      </c>
      <c r="K60" s="19">
        <v>7.6026932654705695</v>
      </c>
      <c r="L60" s="19">
        <v>5.892087280739692</v>
      </c>
      <c r="M60" s="19">
        <v>4.5616159592823422</v>
      </c>
      <c r="N60" s="19">
        <v>6.8424239389235124</v>
      </c>
      <c r="O60" s="19">
        <v>4.7516832909191065</v>
      </c>
      <c r="P60" s="19">
        <v>0.76026932654705703</v>
      </c>
      <c r="Q60" s="19">
        <v>6.8424239389235124</v>
      </c>
      <c r="R60" s="19">
        <v>4.9417506225558707</v>
      </c>
      <c r="S60" s="19">
        <v>3.4212119694617562</v>
      </c>
      <c r="T60" s="19">
        <v>0</v>
      </c>
      <c r="U60" s="19">
        <v>1.9006733163676424</v>
      </c>
      <c r="V60" s="19">
        <v>9.8835012451117414</v>
      </c>
      <c r="W60" s="19">
        <v>6.0821546123764563</v>
      </c>
      <c r="X60" s="19">
        <v>10.643770571658798</v>
      </c>
      <c r="Y60" s="19">
        <v>22.427945133138181</v>
      </c>
      <c r="Z60" s="19">
        <v>0</v>
      </c>
      <c r="AA60" s="19">
        <v>3.8013466327352847</v>
      </c>
      <c r="AB60" s="19">
        <v>0</v>
      </c>
      <c r="AC60" s="20">
        <v>127.53517952826881</v>
      </c>
      <c r="AE60" s="20">
        <v>5.5450078055769048</v>
      </c>
      <c r="AF60" s="20">
        <v>5.5450078055769048</v>
      </c>
    </row>
    <row r="61" spans="2:32">
      <c r="B61" t="s">
        <v>21</v>
      </c>
      <c r="C61" t="s">
        <v>2</v>
      </c>
      <c r="D61" s="19">
        <v>0</v>
      </c>
      <c r="E61" s="19">
        <v>0</v>
      </c>
      <c r="F61" s="19">
        <v>1.9006733163676424</v>
      </c>
      <c r="G61" s="19">
        <v>0</v>
      </c>
      <c r="H61" s="19">
        <v>0</v>
      </c>
      <c r="I61" s="19">
        <v>5.7020199491029278</v>
      </c>
      <c r="J61" s="19">
        <v>3.0410773061882281</v>
      </c>
      <c r="K61" s="19">
        <v>2.6609426429146996</v>
      </c>
      <c r="L61" s="19">
        <v>5.7020199491029278</v>
      </c>
      <c r="M61" s="19">
        <v>0</v>
      </c>
      <c r="N61" s="19">
        <v>2.2808079796411711</v>
      </c>
      <c r="O61" s="19">
        <v>0.76026932654705703</v>
      </c>
      <c r="P61" s="19">
        <v>9.1232319185646844</v>
      </c>
      <c r="Q61" s="19">
        <v>5.3218852858293992</v>
      </c>
      <c r="R61" s="19">
        <v>0</v>
      </c>
      <c r="S61" s="19">
        <v>0</v>
      </c>
      <c r="T61" s="19">
        <v>3.8013466327352847</v>
      </c>
      <c r="U61" s="19">
        <v>0</v>
      </c>
      <c r="V61" s="19">
        <v>1.5205386530941141</v>
      </c>
      <c r="W61" s="19">
        <v>1.9006733163676424</v>
      </c>
      <c r="X61" s="19">
        <v>6.2722219440132205</v>
      </c>
      <c r="Y61" s="19">
        <v>0</v>
      </c>
      <c r="Z61" s="19">
        <v>0</v>
      </c>
      <c r="AA61" s="19">
        <v>7.6026932654705695</v>
      </c>
      <c r="AB61" s="19">
        <v>0</v>
      </c>
      <c r="AC61" s="20">
        <v>57.590401485939566</v>
      </c>
      <c r="AE61" s="20">
        <v>2.5039304993886766</v>
      </c>
      <c r="AF61" s="20">
        <v>2.5039304993886766</v>
      </c>
    </row>
    <row r="62" spans="2:32">
      <c r="B62" t="s">
        <v>23</v>
      </c>
      <c r="C62" t="s">
        <v>5</v>
      </c>
      <c r="D62" s="19">
        <v>0</v>
      </c>
      <c r="E62" s="19">
        <v>5.7020199491029278</v>
      </c>
      <c r="F62" s="19">
        <v>0</v>
      </c>
      <c r="G62" s="19">
        <v>3.0410773061882281</v>
      </c>
      <c r="H62" s="19">
        <v>1.9006733163676424</v>
      </c>
      <c r="I62" s="19">
        <v>3.0410773061882281</v>
      </c>
      <c r="J62" s="19">
        <v>21.857743138227889</v>
      </c>
      <c r="K62" s="19">
        <v>0</v>
      </c>
      <c r="L62" s="19">
        <v>9.5033665818382129</v>
      </c>
      <c r="M62" s="19">
        <v>0</v>
      </c>
      <c r="N62" s="19">
        <v>26.609426429146993</v>
      </c>
      <c r="O62" s="19">
        <v>20.907406480044067</v>
      </c>
      <c r="P62" s="19">
        <v>3.6112793010985205</v>
      </c>
      <c r="Q62" s="19">
        <v>115</v>
      </c>
      <c r="R62" s="19">
        <v>0</v>
      </c>
      <c r="S62" s="19">
        <v>54.006733163676429</v>
      </c>
      <c r="T62" s="19">
        <v>43.335351613182247</v>
      </c>
      <c r="U62" s="19">
        <v>2.2808079796411711</v>
      </c>
      <c r="V62" s="19">
        <v>11.404039898205856</v>
      </c>
      <c r="W62" s="19">
        <v>5.3218852858293992</v>
      </c>
      <c r="X62" s="19">
        <v>0</v>
      </c>
      <c r="Y62" s="19">
        <v>39.914139643720489</v>
      </c>
      <c r="Z62" s="19">
        <v>0</v>
      </c>
      <c r="AA62" s="19">
        <v>0</v>
      </c>
      <c r="AB62" s="19">
        <v>0</v>
      </c>
      <c r="AC62" s="20">
        <v>367.43702739245828</v>
      </c>
      <c r="AE62" s="20">
        <v>15.975522930106882</v>
      </c>
      <c r="AF62" s="20">
        <v>15.975522930106882</v>
      </c>
    </row>
    <row r="63" spans="2:32">
      <c r="B63" t="s">
        <v>21</v>
      </c>
      <c r="C63" t="s">
        <v>27</v>
      </c>
      <c r="D63" s="19">
        <v>0</v>
      </c>
      <c r="E63" s="19">
        <v>0</v>
      </c>
      <c r="F63" s="19">
        <v>11.404039898205856</v>
      </c>
      <c r="G63" s="19">
        <v>0</v>
      </c>
      <c r="H63" s="19">
        <v>0</v>
      </c>
      <c r="I63" s="19">
        <v>0</v>
      </c>
      <c r="J63" s="19">
        <v>3.0410773061882281</v>
      </c>
      <c r="K63" s="19">
        <v>0</v>
      </c>
      <c r="L63" s="19">
        <v>0</v>
      </c>
      <c r="M63" s="19">
        <v>0</v>
      </c>
      <c r="N63" s="19">
        <v>0</v>
      </c>
      <c r="O63" s="19">
        <v>3.4212119694617562</v>
      </c>
      <c r="P63" s="19">
        <v>5.7020199491029278</v>
      </c>
      <c r="Q63" s="19">
        <v>0</v>
      </c>
      <c r="R63" s="19">
        <v>0</v>
      </c>
      <c r="S63" s="19">
        <v>0</v>
      </c>
      <c r="T63" s="19">
        <v>0</v>
      </c>
      <c r="U63" s="19">
        <v>0</v>
      </c>
      <c r="V63" s="19">
        <v>0</v>
      </c>
      <c r="W63" s="19">
        <v>0</v>
      </c>
      <c r="X63" s="19">
        <v>0</v>
      </c>
      <c r="Y63" s="19">
        <v>0</v>
      </c>
      <c r="Z63" s="19">
        <v>0</v>
      </c>
      <c r="AA63" s="19">
        <v>0</v>
      </c>
      <c r="AB63" s="19">
        <v>0</v>
      </c>
      <c r="AC63" s="20">
        <v>23.568349122958764</v>
      </c>
      <c r="AE63" s="20">
        <v>1.0247108314329898</v>
      </c>
      <c r="AF63" s="23">
        <v>0.5123554157164949</v>
      </c>
    </row>
    <row r="64" spans="2:32">
      <c r="B64" t="s">
        <v>25</v>
      </c>
      <c r="C64" t="s">
        <v>28</v>
      </c>
      <c r="D64" s="19">
        <v>0</v>
      </c>
      <c r="E64" s="19">
        <v>0</v>
      </c>
      <c r="F64" s="19">
        <v>0</v>
      </c>
      <c r="G64" s="19">
        <v>5.7020199491029278</v>
      </c>
      <c r="H64" s="19">
        <v>20.52727181677054</v>
      </c>
      <c r="I64" s="19">
        <v>0</v>
      </c>
      <c r="J64" s="19">
        <v>0</v>
      </c>
      <c r="K64" s="19">
        <v>0</v>
      </c>
      <c r="L64" s="19">
        <v>0</v>
      </c>
      <c r="M64" s="19">
        <v>9.8835012451117414</v>
      </c>
      <c r="N64" s="19">
        <v>0</v>
      </c>
      <c r="O64" s="19">
        <v>0</v>
      </c>
      <c r="P64" s="19">
        <v>14.064982541120553</v>
      </c>
      <c r="Q64" s="19">
        <v>0</v>
      </c>
      <c r="R64" s="19">
        <v>0</v>
      </c>
      <c r="S64" s="19">
        <v>0</v>
      </c>
      <c r="T64" s="19">
        <v>0</v>
      </c>
      <c r="U64" s="19">
        <v>0</v>
      </c>
      <c r="V64" s="19">
        <v>0</v>
      </c>
      <c r="W64" s="19">
        <v>9.1232319185646844</v>
      </c>
      <c r="X64" s="19">
        <v>0</v>
      </c>
      <c r="Y64" s="19">
        <v>0</v>
      </c>
      <c r="Z64" s="19">
        <v>0</v>
      </c>
      <c r="AA64" s="19">
        <v>6.4622892756499848</v>
      </c>
      <c r="AB64" s="19">
        <v>0</v>
      </c>
      <c r="AC64" s="20">
        <v>65.763296746320435</v>
      </c>
      <c r="AE64" s="20">
        <v>2.8592737715791494</v>
      </c>
      <c r="AF64" s="23">
        <v>1.4296368857895747</v>
      </c>
    </row>
    <row r="65" spans="2:32">
      <c r="B65" t="s">
        <v>21</v>
      </c>
      <c r="C65" t="s">
        <v>8</v>
      </c>
      <c r="D65" s="19">
        <v>0</v>
      </c>
      <c r="E65" s="19">
        <v>22.808079796411711</v>
      </c>
      <c r="F65" s="19">
        <v>22.808079796411711</v>
      </c>
      <c r="G65" s="19">
        <v>22.808079796411711</v>
      </c>
      <c r="H65" s="19">
        <v>21</v>
      </c>
      <c r="I65" s="19">
        <v>21</v>
      </c>
      <c r="J65" s="19">
        <v>22.808079796411711</v>
      </c>
      <c r="K65" s="19">
        <v>22.808079796411711</v>
      </c>
      <c r="L65" s="19">
        <v>22.808079796411711</v>
      </c>
      <c r="M65" s="19">
        <v>22.808079796411711</v>
      </c>
      <c r="N65" s="19">
        <v>11.404039898205856</v>
      </c>
      <c r="O65" s="19">
        <v>0</v>
      </c>
      <c r="P65" s="19">
        <v>7.6026932654705695</v>
      </c>
      <c r="Q65" s="19">
        <v>15.205386530941139</v>
      </c>
      <c r="R65" s="19">
        <v>17.106059847308781</v>
      </c>
      <c r="S65" s="19">
        <v>53.218852858293985</v>
      </c>
      <c r="T65" s="19">
        <v>0</v>
      </c>
      <c r="U65" s="19">
        <v>9.5033665818382129</v>
      </c>
      <c r="V65" s="19">
        <v>13.304713214573496</v>
      </c>
      <c r="W65" s="19">
        <v>0</v>
      </c>
      <c r="X65" s="19">
        <v>22.808079796411711</v>
      </c>
      <c r="Y65" s="19">
        <v>22.808079796411711</v>
      </c>
      <c r="Z65" s="19">
        <v>22.808079796411711</v>
      </c>
      <c r="AA65" s="19">
        <v>22.808079796411711</v>
      </c>
      <c r="AB65" s="19">
        <v>0</v>
      </c>
      <c r="AC65" s="20">
        <v>420.23398995716099</v>
      </c>
      <c r="AE65" s="20">
        <v>18.271043041615695</v>
      </c>
      <c r="AF65" s="23">
        <v>9.1355215208078473</v>
      </c>
    </row>
    <row r="66" spans="2:32">
      <c r="B66" t="s">
        <v>25</v>
      </c>
      <c r="C66" t="s">
        <v>25</v>
      </c>
      <c r="D66" s="19">
        <v>780</v>
      </c>
      <c r="E66" s="19">
        <v>0</v>
      </c>
      <c r="F66" s="19">
        <v>0</v>
      </c>
      <c r="G66" s="19">
        <v>79.14403689354863</v>
      </c>
      <c r="H66" s="19">
        <v>0</v>
      </c>
      <c r="I66" s="19">
        <v>0</v>
      </c>
      <c r="J66" s="19">
        <v>0</v>
      </c>
      <c r="K66" s="19">
        <v>0</v>
      </c>
      <c r="L66" s="19">
        <v>0</v>
      </c>
      <c r="M66" s="19">
        <v>0</v>
      </c>
      <c r="N66" s="19">
        <v>0</v>
      </c>
      <c r="O66" s="19">
        <v>24.708753112779352</v>
      </c>
      <c r="P66" s="19">
        <v>0</v>
      </c>
      <c r="Q66" s="19">
        <v>0</v>
      </c>
      <c r="R66" s="19">
        <v>0</v>
      </c>
      <c r="S66" s="19">
        <v>150</v>
      </c>
      <c r="T66" s="19">
        <v>0</v>
      </c>
      <c r="U66" s="19">
        <v>0</v>
      </c>
      <c r="V66" s="19">
        <v>0</v>
      </c>
      <c r="W66" s="19">
        <v>0</v>
      </c>
      <c r="X66" s="19">
        <v>0</v>
      </c>
      <c r="Y66" s="19">
        <v>0</v>
      </c>
      <c r="Z66" s="19">
        <v>0</v>
      </c>
      <c r="AA66" s="19">
        <v>0</v>
      </c>
      <c r="AB66" s="19">
        <v>0</v>
      </c>
      <c r="AC66" s="20">
        <v>1033.8527900063282</v>
      </c>
      <c r="AE66" s="20">
        <v>11.037077826362086</v>
      </c>
      <c r="AF66" s="20">
        <v>11.037077826362086</v>
      </c>
    </row>
    <row r="67" spans="2:32">
      <c r="B67" t="s">
        <v>24</v>
      </c>
      <c r="C67" t="s">
        <v>19</v>
      </c>
      <c r="D67" s="19">
        <v>0</v>
      </c>
      <c r="E67" s="19">
        <v>24.708753112779352</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v>24.708753112779352</v>
      </c>
      <c r="AE67" s="20">
        <v>1.0742936135991024</v>
      </c>
      <c r="AF67" s="20">
        <v>1.0742936135991024</v>
      </c>
    </row>
    <row r="68" spans="2:32">
      <c r="B68" t="s">
        <v>24</v>
      </c>
      <c r="C68" t="s">
        <v>18</v>
      </c>
      <c r="D68" s="19">
        <v>0</v>
      </c>
      <c r="E68" s="19">
        <v>7.6026932654705695</v>
      </c>
      <c r="F68" s="19">
        <v>24.708753112779352</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25</v>
      </c>
      <c r="AA68" s="19">
        <v>0</v>
      </c>
      <c r="AB68" s="19">
        <v>0</v>
      </c>
      <c r="AC68" s="20">
        <v>57.311446378249919</v>
      </c>
      <c r="AE68" s="20">
        <v>2.4918020164456487</v>
      </c>
      <c r="AF68" s="20">
        <v>2.4918020164456487</v>
      </c>
    </row>
    <row r="69" spans="2:32">
      <c r="B69" t="s">
        <v>24</v>
      </c>
      <c r="C69" t="s">
        <v>6</v>
      </c>
      <c r="D69" s="19">
        <v>0</v>
      </c>
      <c r="E69" s="19">
        <v>0</v>
      </c>
      <c r="F69" s="19">
        <v>0</v>
      </c>
      <c r="G69" s="19">
        <v>0</v>
      </c>
      <c r="H69" s="19">
        <v>0</v>
      </c>
      <c r="I69" s="19">
        <v>0</v>
      </c>
      <c r="J69" s="19">
        <v>30</v>
      </c>
      <c r="K69" s="19">
        <v>0</v>
      </c>
      <c r="L69" s="19">
        <v>0</v>
      </c>
      <c r="M69" s="19">
        <v>0</v>
      </c>
      <c r="N69" s="19">
        <v>0</v>
      </c>
      <c r="O69" s="19">
        <v>0</v>
      </c>
      <c r="P69" s="19">
        <v>0</v>
      </c>
      <c r="Q69" s="19">
        <v>0</v>
      </c>
      <c r="R69" s="19">
        <v>0</v>
      </c>
      <c r="S69" s="19">
        <v>0</v>
      </c>
      <c r="T69" s="19">
        <v>0</v>
      </c>
      <c r="U69" s="19">
        <v>0</v>
      </c>
      <c r="V69" s="19">
        <v>0</v>
      </c>
      <c r="W69" s="19">
        <v>0</v>
      </c>
      <c r="X69" s="19">
        <v>6.0821546123764563</v>
      </c>
      <c r="Y69" s="19">
        <v>14.445117204394082</v>
      </c>
      <c r="Z69" s="19">
        <v>13.304713214573496</v>
      </c>
      <c r="AA69" s="19">
        <v>0</v>
      </c>
      <c r="AB69" s="19">
        <v>0</v>
      </c>
      <c r="AC69" s="20">
        <v>63.831985031344033</v>
      </c>
      <c r="AE69" s="20">
        <v>2.7753036970149578</v>
      </c>
      <c r="AF69" s="20">
        <v>2.7753036970149578</v>
      </c>
    </row>
    <row r="70" spans="2:32">
      <c r="B70" t="s">
        <v>24</v>
      </c>
      <c r="C70" t="s">
        <v>3</v>
      </c>
      <c r="D70" s="19">
        <v>0</v>
      </c>
      <c r="E70" s="19">
        <v>3.8013466327352847</v>
      </c>
      <c r="F70" s="19">
        <v>0</v>
      </c>
      <c r="G70" s="19">
        <v>0</v>
      </c>
      <c r="H70" s="19">
        <v>0</v>
      </c>
      <c r="I70" s="19">
        <v>0</v>
      </c>
      <c r="J70" s="19">
        <v>307</v>
      </c>
      <c r="K70" s="19">
        <v>0</v>
      </c>
      <c r="L70" s="19">
        <v>0</v>
      </c>
      <c r="M70" s="19">
        <v>0</v>
      </c>
      <c r="N70" s="19">
        <v>0</v>
      </c>
      <c r="O70" s="19">
        <v>0</v>
      </c>
      <c r="P70" s="19">
        <v>0</v>
      </c>
      <c r="Q70" s="19">
        <v>0</v>
      </c>
      <c r="R70" s="19">
        <v>0</v>
      </c>
      <c r="S70" s="19">
        <v>0</v>
      </c>
      <c r="T70" s="19">
        <v>4.1814812960088137</v>
      </c>
      <c r="U70" s="19">
        <v>7.6026932654705695</v>
      </c>
      <c r="V70" s="19">
        <v>0</v>
      </c>
      <c r="W70" s="19">
        <v>0</v>
      </c>
      <c r="X70" s="19">
        <v>9.5033665818382129</v>
      </c>
      <c r="Y70" s="19">
        <v>0</v>
      </c>
      <c r="Z70" s="19">
        <v>10.643770571658798</v>
      </c>
      <c r="AA70" s="19">
        <v>0</v>
      </c>
      <c r="AB70" s="19">
        <v>0</v>
      </c>
      <c r="AC70" s="20">
        <v>342.73265834771172</v>
      </c>
      <c r="AE70" s="20">
        <v>14.90141992816138</v>
      </c>
      <c r="AF70" s="20">
        <v>14.90141992816138</v>
      </c>
    </row>
    <row r="71" spans="2:32">
      <c r="B71" t="s">
        <v>23</v>
      </c>
      <c r="C71" t="s">
        <v>4</v>
      </c>
      <c r="D71" s="19">
        <v>0</v>
      </c>
      <c r="E71" s="19">
        <v>11.404039898205856</v>
      </c>
      <c r="F71" s="19">
        <v>3.0410773061882281</v>
      </c>
      <c r="G71" s="19">
        <v>3.8013466327352847</v>
      </c>
      <c r="H71" s="19">
        <v>0</v>
      </c>
      <c r="I71" s="19">
        <v>0</v>
      </c>
      <c r="J71" s="19">
        <v>0</v>
      </c>
      <c r="K71" s="19">
        <v>0</v>
      </c>
      <c r="L71" s="19">
        <v>0</v>
      </c>
      <c r="M71" s="19">
        <v>0</v>
      </c>
      <c r="N71" s="19">
        <v>0</v>
      </c>
      <c r="O71" s="19">
        <v>0</v>
      </c>
      <c r="P71" s="19">
        <v>12.354376556389676</v>
      </c>
      <c r="Q71" s="19">
        <v>0</v>
      </c>
      <c r="R71" s="19">
        <v>15.205386530941139</v>
      </c>
      <c r="S71" s="19">
        <v>0</v>
      </c>
      <c r="T71" s="19">
        <v>0</v>
      </c>
      <c r="U71" s="19">
        <v>0</v>
      </c>
      <c r="V71" s="19">
        <v>0</v>
      </c>
      <c r="W71" s="19">
        <v>11.404039898205856</v>
      </c>
      <c r="X71" s="19">
        <v>0</v>
      </c>
      <c r="Y71" s="19">
        <v>0</v>
      </c>
      <c r="Z71" s="19">
        <v>0</v>
      </c>
      <c r="AA71" s="19">
        <v>0</v>
      </c>
      <c r="AB71" s="19">
        <v>0</v>
      </c>
      <c r="AC71" s="20">
        <v>57.210266822666043</v>
      </c>
      <c r="AE71" s="20">
        <v>2.487402905333306</v>
      </c>
      <c r="AF71" s="20">
        <v>2.487402905333306</v>
      </c>
    </row>
    <row r="72" spans="2:32" hidden="1" outlineLevel="1">
      <c r="B72" t="s">
        <v>26</v>
      </c>
      <c r="C72" t="s">
        <v>60</v>
      </c>
      <c r="D72" s="19">
        <v>0</v>
      </c>
      <c r="E72" s="19">
        <v>0</v>
      </c>
      <c r="F72" s="19">
        <v>30.410773061882278</v>
      </c>
      <c r="G72" s="19">
        <v>22.808079796411711</v>
      </c>
      <c r="H72" s="19">
        <v>0</v>
      </c>
      <c r="I72" s="19">
        <v>0</v>
      </c>
      <c r="J72" s="19">
        <v>30.410773061882278</v>
      </c>
      <c r="K72" s="19">
        <v>0</v>
      </c>
      <c r="L72" s="19">
        <v>108.42423938923513</v>
      </c>
      <c r="M72" s="19">
        <v>0</v>
      </c>
      <c r="N72" s="19">
        <v>0</v>
      </c>
      <c r="O72" s="19">
        <v>0</v>
      </c>
      <c r="P72" s="19">
        <v>0</v>
      </c>
      <c r="Q72" s="19">
        <v>0</v>
      </c>
      <c r="R72" s="19">
        <v>0</v>
      </c>
      <c r="S72" s="19">
        <v>0</v>
      </c>
      <c r="T72" s="19">
        <v>0</v>
      </c>
      <c r="U72" s="19">
        <v>0</v>
      </c>
      <c r="V72" s="19">
        <v>0</v>
      </c>
      <c r="W72" s="19">
        <v>0</v>
      </c>
      <c r="X72" s="19">
        <v>30.410773061882278</v>
      </c>
      <c r="Y72" s="19">
        <v>0</v>
      </c>
      <c r="Z72" s="19">
        <v>0</v>
      </c>
      <c r="AB72" s="19">
        <v>30.410773061882278</v>
      </c>
      <c r="AC72" s="20">
        <v>252.87541143317594</v>
      </c>
      <c r="AE72" s="20">
        <v>10.994583105790259</v>
      </c>
      <c r="AF72" s="20">
        <v>10.994583105790259</v>
      </c>
    </row>
    <row r="73" spans="2:32" collapsed="1">
      <c r="D73" s="2"/>
      <c r="AC73" s="20">
        <v>0</v>
      </c>
      <c r="AD73" s="16">
        <v>0</v>
      </c>
    </row>
    <row r="74" spans="2:32">
      <c r="C74" s="9" t="s">
        <v>14</v>
      </c>
      <c r="D74" s="19">
        <v>780</v>
      </c>
      <c r="E74" s="19">
        <v>88.38130921109537</v>
      </c>
      <c r="F74" s="19">
        <v>108.71851369622915</v>
      </c>
      <c r="G74" s="19">
        <v>162.39352815045137</v>
      </c>
      <c r="H74" s="19">
        <v>70.607573557195465</v>
      </c>
      <c r="I74" s="19">
        <v>45.708753112779348</v>
      </c>
      <c r="J74" s="19">
        <v>427.28198252746296</v>
      </c>
      <c r="K74" s="19">
        <v>59.681142133943972</v>
      </c>
      <c r="L74" s="19">
        <v>154.2304663136953</v>
      </c>
      <c r="M74" s="19">
        <v>48.65723689901165</v>
      </c>
      <c r="N74" s="19">
        <v>53.979122184841046</v>
      </c>
      <c r="O74" s="19">
        <v>60.061276797217502</v>
      </c>
      <c r="P74" s="19">
        <v>57.780468817576335</v>
      </c>
      <c r="Q74" s="19">
        <v>145.03063839860874</v>
      </c>
      <c r="R74" s="19">
        <v>39.534004980446966</v>
      </c>
      <c r="S74" s="19">
        <v>263.68787529762039</v>
      </c>
      <c r="T74" s="19">
        <v>58.160603480849858</v>
      </c>
      <c r="U74" s="19">
        <v>24.51868578114259</v>
      </c>
      <c r="V74" s="19">
        <v>42.765149618271955</v>
      </c>
      <c r="W74" s="19">
        <v>49.037371562285173</v>
      </c>
      <c r="X74" s="19">
        <v>100.92575309912182</v>
      </c>
      <c r="Y74" s="19">
        <v>109.47878302277621</v>
      </c>
      <c r="Z74" s="19">
        <v>88.482488766679268</v>
      </c>
      <c r="AA74" s="19">
        <v>48.27710223573812</v>
      </c>
      <c r="AB74" s="19">
        <v>30.410773061882278</v>
      </c>
      <c r="AC74" s="20">
        <v>3117.7906027069234</v>
      </c>
      <c r="AD74" s="13">
        <v>118.51802809173678</v>
      </c>
      <c r="AE74" s="20">
        <v>101.6430696829097</v>
      </c>
      <c r="AF74" s="20">
        <v>90.565555860595779</v>
      </c>
    </row>
    <row r="75" spans="2:32">
      <c r="D75" s="2">
        <v>0</v>
      </c>
    </row>
    <row r="78" spans="2:32">
      <c r="C78" t="s">
        <v>21</v>
      </c>
      <c r="D78" s="19">
        <v>0</v>
      </c>
      <c r="E78" s="19">
        <v>35.162456352801385</v>
      </c>
      <c r="F78" s="19">
        <v>50.557910215379295</v>
      </c>
      <c r="G78" s="19">
        <v>47.89696757246459</v>
      </c>
      <c r="H78" s="19">
        <v>48.179628424057285</v>
      </c>
      <c r="I78" s="19">
        <v>42.66767580659112</v>
      </c>
      <c r="J78" s="19">
        <v>38.013466327352852</v>
      </c>
      <c r="K78" s="19">
        <v>59.681142133943972</v>
      </c>
      <c r="L78" s="19">
        <v>36.302860342621969</v>
      </c>
      <c r="M78" s="19">
        <v>38.773735653899905</v>
      </c>
      <c r="N78" s="19">
        <v>27.369695755694053</v>
      </c>
      <c r="O78" s="19">
        <v>14.445117204394084</v>
      </c>
      <c r="P78" s="19">
        <v>27.749830418967584</v>
      </c>
      <c r="Q78" s="19">
        <v>30.030638398608751</v>
      </c>
      <c r="R78" s="19">
        <v>24.328618449505825</v>
      </c>
      <c r="S78" s="19">
        <v>59.681142133943972</v>
      </c>
      <c r="T78" s="19">
        <v>10.643770571658797</v>
      </c>
      <c r="U78" s="19">
        <v>14.635184536030849</v>
      </c>
      <c r="V78" s="19">
        <v>31.3611097200661</v>
      </c>
      <c r="W78" s="19">
        <v>23.188214459685238</v>
      </c>
      <c r="X78" s="19">
        <v>54.929458843024868</v>
      </c>
      <c r="Y78" s="19">
        <v>55.119526174661637</v>
      </c>
      <c r="Z78" s="19">
        <v>39.534004980446966</v>
      </c>
      <c r="AA78" s="19">
        <v>41.814812960088133</v>
      </c>
      <c r="AB78" s="19">
        <v>0</v>
      </c>
      <c r="AC78" s="20">
        <v>852.06696743588918</v>
      </c>
      <c r="AE78" s="20">
        <v>37.04638988851692</v>
      </c>
      <c r="AF78" s="20">
        <v>27.398512951992586</v>
      </c>
    </row>
    <row r="79" spans="2:32">
      <c r="C79" t="s">
        <v>23</v>
      </c>
      <c r="D79" s="19">
        <v>0</v>
      </c>
      <c r="E79" s="19">
        <v>17.106059847308785</v>
      </c>
      <c r="F79" s="19">
        <v>3.0410773061882281</v>
      </c>
      <c r="G79" s="19">
        <v>6.8424239389235133</v>
      </c>
      <c r="H79" s="19">
        <v>1.9006733163676424</v>
      </c>
      <c r="I79" s="19">
        <v>3.0410773061882281</v>
      </c>
      <c r="J79" s="19">
        <v>21.857743138227889</v>
      </c>
      <c r="K79" s="19">
        <v>0</v>
      </c>
      <c r="L79" s="19">
        <v>9.5033665818382129</v>
      </c>
      <c r="M79" s="19">
        <v>0</v>
      </c>
      <c r="N79" s="19">
        <v>26.609426429146993</v>
      </c>
      <c r="O79" s="19">
        <v>20.907406480044067</v>
      </c>
      <c r="P79" s="19">
        <v>15.965655857488196</v>
      </c>
      <c r="Q79" s="19">
        <v>115</v>
      </c>
      <c r="R79" s="19">
        <v>15.205386530941139</v>
      </c>
      <c r="S79" s="19">
        <v>54.006733163676429</v>
      </c>
      <c r="T79" s="19">
        <v>43.335351613182247</v>
      </c>
      <c r="U79" s="19">
        <v>2.2808079796411711</v>
      </c>
      <c r="V79" s="19">
        <v>11.404039898205856</v>
      </c>
      <c r="W79" s="19">
        <v>16.725925184035255</v>
      </c>
      <c r="X79" s="19">
        <v>0</v>
      </c>
      <c r="Y79" s="19">
        <v>39.914139643720489</v>
      </c>
      <c r="Z79" s="19">
        <v>0</v>
      </c>
      <c r="AA79" s="19">
        <v>0</v>
      </c>
      <c r="AB79" s="19">
        <v>0</v>
      </c>
      <c r="AC79" s="20">
        <v>424.6472942151243</v>
      </c>
      <c r="AE79" s="20">
        <v>18.462925835440188</v>
      </c>
      <c r="AF79" s="20">
        <v>18.462925835440188</v>
      </c>
    </row>
    <row r="80" spans="2:32">
      <c r="C80" t="s">
        <v>25</v>
      </c>
      <c r="D80" s="19">
        <v>780</v>
      </c>
      <c r="E80" s="19">
        <v>0</v>
      </c>
      <c r="F80" s="19">
        <v>0</v>
      </c>
      <c r="G80" s="19">
        <v>84.846056842651564</v>
      </c>
      <c r="H80" s="19">
        <v>20.52727181677054</v>
      </c>
      <c r="I80" s="19">
        <v>0</v>
      </c>
      <c r="J80" s="19">
        <v>0</v>
      </c>
      <c r="K80" s="19">
        <v>0</v>
      </c>
      <c r="L80" s="19">
        <v>0</v>
      </c>
      <c r="M80" s="19">
        <v>9.8835012451117414</v>
      </c>
      <c r="N80" s="19">
        <v>0</v>
      </c>
      <c r="O80" s="19">
        <v>24.708753112779352</v>
      </c>
      <c r="P80" s="19">
        <v>14.064982541120553</v>
      </c>
      <c r="Q80" s="19">
        <v>0</v>
      </c>
      <c r="R80" s="19">
        <v>0</v>
      </c>
      <c r="S80" s="19">
        <v>150</v>
      </c>
      <c r="T80" s="19">
        <v>0</v>
      </c>
      <c r="U80" s="19">
        <v>0</v>
      </c>
      <c r="V80" s="19">
        <v>0</v>
      </c>
      <c r="W80" s="19">
        <v>9.1232319185646844</v>
      </c>
      <c r="X80" s="19">
        <v>0</v>
      </c>
      <c r="Y80" s="19">
        <v>0</v>
      </c>
      <c r="Z80" s="19">
        <v>0</v>
      </c>
      <c r="AA80" s="19">
        <v>6.4622892756499848</v>
      </c>
      <c r="AB80" s="19">
        <v>0</v>
      </c>
      <c r="AC80" s="20">
        <v>1099.6160867526485</v>
      </c>
      <c r="AE80" s="20">
        <v>13.896351597941235</v>
      </c>
      <c r="AF80" s="20">
        <v>12.466714712151662</v>
      </c>
    </row>
    <row r="81" spans="3:32" hidden="1" outlineLevel="1">
      <c r="C81" t="s">
        <v>26</v>
      </c>
      <c r="D81" s="19">
        <v>0</v>
      </c>
      <c r="E81" s="19">
        <v>0</v>
      </c>
      <c r="F81" s="19">
        <v>30.410773061882278</v>
      </c>
      <c r="G81" s="19">
        <v>22.808079796411711</v>
      </c>
      <c r="H81" s="19">
        <v>0</v>
      </c>
      <c r="I81" s="19">
        <v>0</v>
      </c>
      <c r="J81" s="19">
        <v>30.410773061882278</v>
      </c>
      <c r="K81" s="19">
        <v>0</v>
      </c>
      <c r="L81" s="19">
        <v>108.42423938923513</v>
      </c>
      <c r="M81" s="19">
        <v>0</v>
      </c>
      <c r="N81" s="19">
        <v>0</v>
      </c>
      <c r="O81" s="19">
        <v>0</v>
      </c>
      <c r="P81" s="19">
        <v>0</v>
      </c>
      <c r="Q81" s="19">
        <v>0</v>
      </c>
      <c r="R81" s="19">
        <v>0</v>
      </c>
      <c r="S81" s="19">
        <v>0</v>
      </c>
      <c r="T81" s="19">
        <v>0</v>
      </c>
      <c r="U81" s="19">
        <v>0</v>
      </c>
      <c r="V81" s="19">
        <v>0</v>
      </c>
      <c r="W81" s="19">
        <v>0</v>
      </c>
      <c r="X81" s="19">
        <v>30.410773061882278</v>
      </c>
      <c r="Y81" s="19">
        <v>0</v>
      </c>
      <c r="Z81" s="19">
        <v>0</v>
      </c>
      <c r="AA81" s="19">
        <v>0</v>
      </c>
      <c r="AB81" s="19">
        <v>30.410773061882278</v>
      </c>
      <c r="AC81" s="20">
        <v>252.87541143317594</v>
      </c>
      <c r="AE81" s="20">
        <v>10.994583105790259</v>
      </c>
      <c r="AF81" s="20">
        <v>10.994583105790259</v>
      </c>
    </row>
    <row r="82" spans="3:32" collapsed="1">
      <c r="C82" t="s">
        <v>24</v>
      </c>
      <c r="D82" s="19">
        <v>0</v>
      </c>
      <c r="E82" s="19">
        <v>36.1127930109852</v>
      </c>
      <c r="F82" s="19">
        <v>24.708753112779352</v>
      </c>
      <c r="G82" s="19">
        <v>0</v>
      </c>
      <c r="H82" s="19">
        <v>0</v>
      </c>
      <c r="I82" s="19">
        <v>0</v>
      </c>
      <c r="J82" s="19">
        <v>337</v>
      </c>
      <c r="K82" s="19">
        <v>0</v>
      </c>
      <c r="L82" s="19">
        <v>0</v>
      </c>
      <c r="M82" s="19">
        <v>0</v>
      </c>
      <c r="N82" s="19">
        <v>0</v>
      </c>
      <c r="O82" s="19">
        <v>0</v>
      </c>
      <c r="P82" s="19">
        <v>0</v>
      </c>
      <c r="Q82" s="19">
        <v>0</v>
      </c>
      <c r="R82" s="19">
        <v>0</v>
      </c>
      <c r="S82" s="19">
        <v>0</v>
      </c>
      <c r="T82" s="19">
        <v>4.1814812960088137</v>
      </c>
      <c r="U82" s="19">
        <v>7.6026932654705695</v>
      </c>
      <c r="V82" s="19">
        <v>0</v>
      </c>
      <c r="W82" s="19">
        <v>0</v>
      </c>
      <c r="X82" s="19">
        <v>15.585521194214669</v>
      </c>
      <c r="Y82" s="19">
        <v>14.445117204394082</v>
      </c>
      <c r="Z82" s="19">
        <v>48.948483786232295</v>
      </c>
      <c r="AA82" s="19">
        <v>0</v>
      </c>
      <c r="AB82" s="19">
        <v>0</v>
      </c>
      <c r="AC82" s="20">
        <v>488.58484287008503</v>
      </c>
      <c r="AE82" s="20">
        <v>21.242819255221089</v>
      </c>
      <c r="AF82" s="20">
        <v>21.242819255221089</v>
      </c>
    </row>
    <row r="83" spans="3:32">
      <c r="C83" s="9" t="s">
        <v>14</v>
      </c>
      <c r="D83" s="20">
        <v>780</v>
      </c>
      <c r="E83" s="20">
        <v>88.38130921109537</v>
      </c>
      <c r="F83" s="20">
        <v>108.71851369622915</v>
      </c>
      <c r="G83" s="20">
        <v>162.39352815045137</v>
      </c>
      <c r="H83" s="20">
        <v>70.607573557195465</v>
      </c>
      <c r="I83" s="20">
        <v>45.708753112779348</v>
      </c>
      <c r="J83" s="20">
        <v>427.28198252746301</v>
      </c>
      <c r="K83" s="20">
        <v>59.681142133943972</v>
      </c>
      <c r="L83" s="20">
        <v>154.2304663136953</v>
      </c>
      <c r="M83" s="20">
        <v>48.65723689901165</v>
      </c>
      <c r="N83" s="20">
        <v>53.979122184841046</v>
      </c>
      <c r="O83" s="20">
        <v>60.061276797217502</v>
      </c>
      <c r="P83" s="20">
        <v>57.780468817576335</v>
      </c>
      <c r="Q83" s="20">
        <v>145.03063839860874</v>
      </c>
      <c r="R83" s="20">
        <v>39.534004980446966</v>
      </c>
      <c r="S83" s="20">
        <v>263.68787529762039</v>
      </c>
      <c r="T83" s="20">
        <v>58.160603480849858</v>
      </c>
      <c r="U83" s="20">
        <v>24.51868578114259</v>
      </c>
      <c r="V83" s="20">
        <v>42.765149618271955</v>
      </c>
      <c r="W83" s="20">
        <v>49.037371562285173</v>
      </c>
      <c r="X83" s="20">
        <v>100.92575309912181</v>
      </c>
      <c r="Y83" s="20">
        <v>109.47878302277621</v>
      </c>
      <c r="Z83" s="20">
        <v>88.482488766679268</v>
      </c>
      <c r="AA83" s="20">
        <v>48.27710223573812</v>
      </c>
      <c r="AB83" s="20">
        <v>30.410773061882278</v>
      </c>
      <c r="AC83" s="20">
        <v>3117.7906027069225</v>
      </c>
      <c r="AE83" s="20">
        <v>101.6430696829097</v>
      </c>
      <c r="AF83" s="20">
        <v>90.565555860595794</v>
      </c>
    </row>
    <row r="84" spans="3: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3: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3:32">
      <c r="C86" t="s">
        <v>61</v>
      </c>
      <c r="D86" s="19">
        <v>780</v>
      </c>
      <c r="E86" s="19">
        <v>52.26851620011017</v>
      </c>
      <c r="F86" s="19">
        <v>84.009760583449804</v>
      </c>
      <c r="G86" s="19">
        <v>162.39352815045137</v>
      </c>
      <c r="H86" s="19">
        <v>70.607573557195465</v>
      </c>
      <c r="I86" s="19">
        <v>45.708753112779348</v>
      </c>
      <c r="J86" s="19">
        <v>90.281982527463015</v>
      </c>
      <c r="K86" s="19">
        <v>59.681142133943972</v>
      </c>
      <c r="L86" s="19">
        <v>154.2304663136953</v>
      </c>
      <c r="M86" s="19">
        <v>48.65723689901165</v>
      </c>
      <c r="N86" s="19">
        <v>53.979122184841046</v>
      </c>
      <c r="O86" s="19">
        <v>60.061276797217502</v>
      </c>
      <c r="P86" s="19">
        <v>57.780468817576335</v>
      </c>
      <c r="Q86" s="19">
        <v>145.03063839860874</v>
      </c>
      <c r="R86" s="19">
        <v>39.534004980446966</v>
      </c>
      <c r="S86" s="19">
        <v>263.68787529762039</v>
      </c>
      <c r="T86" s="19">
        <v>53.979122184841046</v>
      </c>
      <c r="U86" s="19">
        <v>16.91599251567202</v>
      </c>
      <c r="V86" s="19">
        <v>42.765149618271955</v>
      </c>
      <c r="W86" s="19">
        <v>49.037371562285173</v>
      </c>
      <c r="X86" s="19">
        <v>85.340231904907142</v>
      </c>
      <c r="Y86" s="19">
        <v>95.033665818382133</v>
      </c>
      <c r="Z86" s="19">
        <v>39.534004980446966</v>
      </c>
      <c r="AA86" s="19">
        <v>48.27710223573812</v>
      </c>
      <c r="AB86" s="19">
        <v>30.410773061882278</v>
      </c>
      <c r="AC86" s="20">
        <v>2629.2057598368374</v>
      </c>
      <c r="AE86" s="19">
        <v>80.400250427688604</v>
      </c>
      <c r="AF86" s="19">
        <v>69.322736605374701</v>
      </c>
    </row>
    <row r="87" spans="3:32">
      <c r="C87" t="s">
        <v>24</v>
      </c>
      <c r="D87" s="19">
        <v>0</v>
      </c>
      <c r="E87" s="19">
        <v>36.1127930109852</v>
      </c>
      <c r="F87" s="19">
        <v>24.708753112779352</v>
      </c>
      <c r="G87" s="19">
        <v>0</v>
      </c>
      <c r="H87" s="19">
        <v>0</v>
      </c>
      <c r="I87" s="19">
        <v>0</v>
      </c>
      <c r="J87" s="19">
        <v>337</v>
      </c>
      <c r="K87" s="19">
        <v>0</v>
      </c>
      <c r="L87" s="19">
        <v>0</v>
      </c>
      <c r="M87" s="19">
        <v>0</v>
      </c>
      <c r="N87" s="19">
        <v>0</v>
      </c>
      <c r="O87" s="19">
        <v>0</v>
      </c>
      <c r="P87" s="19">
        <v>0</v>
      </c>
      <c r="Q87" s="19">
        <v>0</v>
      </c>
      <c r="R87" s="19">
        <v>0</v>
      </c>
      <c r="S87" s="19">
        <v>0</v>
      </c>
      <c r="T87" s="19">
        <v>4.1814812960088137</v>
      </c>
      <c r="U87" s="19">
        <v>7.6026932654705695</v>
      </c>
      <c r="V87" s="19">
        <v>0</v>
      </c>
      <c r="W87" s="19">
        <v>0</v>
      </c>
      <c r="X87" s="19">
        <v>15.585521194214669</v>
      </c>
      <c r="Y87" s="19">
        <v>14.445117204394082</v>
      </c>
      <c r="Z87" s="19">
        <v>48.948483786232295</v>
      </c>
      <c r="AA87" s="19">
        <v>0</v>
      </c>
      <c r="AB87" s="19">
        <v>0</v>
      </c>
      <c r="AC87" s="20">
        <v>488.58484287008503</v>
      </c>
      <c r="AE87" s="19">
        <v>21.242819255221089</v>
      </c>
      <c r="AF87" s="19">
        <v>21.242819255221089</v>
      </c>
    </row>
    <row r="88" spans="3:32">
      <c r="D88" s="20">
        <v>780</v>
      </c>
      <c r="E88" s="20">
        <v>88.38130921109537</v>
      </c>
      <c r="F88" s="20">
        <v>108.71851369622915</v>
      </c>
      <c r="G88" s="20">
        <v>162.39352815045137</v>
      </c>
      <c r="H88" s="20">
        <v>70.607573557195465</v>
      </c>
      <c r="I88" s="20">
        <v>45.708753112779348</v>
      </c>
      <c r="J88" s="20">
        <v>427.28198252746301</v>
      </c>
      <c r="K88" s="20">
        <v>59.681142133943972</v>
      </c>
      <c r="L88" s="20">
        <v>154.2304663136953</v>
      </c>
      <c r="M88" s="20">
        <v>48.65723689901165</v>
      </c>
      <c r="N88" s="20">
        <v>53.979122184841046</v>
      </c>
      <c r="O88" s="20">
        <v>60.061276797217502</v>
      </c>
      <c r="P88" s="20">
        <v>57.780468817576335</v>
      </c>
      <c r="Q88" s="20">
        <v>145.03063839860874</v>
      </c>
      <c r="R88" s="20">
        <v>39.534004980446966</v>
      </c>
      <c r="S88" s="20">
        <v>263.68787529762039</v>
      </c>
      <c r="T88" s="20">
        <v>58.160603480849858</v>
      </c>
      <c r="U88" s="20">
        <v>24.51868578114259</v>
      </c>
      <c r="V88" s="20">
        <v>42.765149618271955</v>
      </c>
      <c r="W88" s="20">
        <v>49.037371562285173</v>
      </c>
      <c r="X88" s="20">
        <v>100.92575309912181</v>
      </c>
      <c r="Y88" s="20">
        <v>109.47878302277621</v>
      </c>
      <c r="Z88" s="20">
        <v>88.482488766679268</v>
      </c>
      <c r="AA88" s="20">
        <v>48.27710223573812</v>
      </c>
      <c r="AB88" s="20">
        <v>30.410773061882278</v>
      </c>
      <c r="AC88" s="20">
        <v>3117.7906027069225</v>
      </c>
      <c r="AE88" s="20">
        <v>101.6430696829097</v>
      </c>
      <c r="AF88" s="20">
        <v>90.565555860595794</v>
      </c>
    </row>
  </sheetData>
  <autoFilter ref="B5:AC21"/>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C1:X62"/>
  <sheetViews>
    <sheetView showGridLines="0" zoomScale="85" zoomScaleNormal="85" workbookViewId="0">
      <selection activeCell="B42" sqref="B42"/>
    </sheetView>
  </sheetViews>
  <sheetFormatPr baseColWidth="10" defaultRowHeight="14.4" outlineLevelRow="1"/>
  <cols>
    <col min="3" max="3" width="17.6640625" style="18" bestFit="1" customWidth="1"/>
    <col min="4" max="24" width="9.109375" customWidth="1"/>
  </cols>
  <sheetData>
    <row r="1" spans="3:24">
      <c r="E1" s="2"/>
      <c r="H1" s="2"/>
      <c r="K1" s="2"/>
      <c r="N1" s="2"/>
      <c r="W1" s="2"/>
    </row>
    <row r="2" spans="3:24" ht="15" hidden="1" outlineLevel="1" thickBot="1">
      <c r="D2" s="70"/>
      <c r="E2" s="70"/>
      <c r="F2" s="71"/>
      <c r="G2" s="69"/>
      <c r="H2" s="70"/>
      <c r="I2" s="71"/>
      <c r="J2" s="69"/>
      <c r="K2" s="70"/>
      <c r="L2" s="71"/>
      <c r="M2" s="69"/>
      <c r="N2" s="70"/>
      <c r="O2" s="71"/>
      <c r="P2" s="70"/>
      <c r="Q2" s="70"/>
      <c r="R2" s="70"/>
      <c r="S2" s="70"/>
      <c r="T2" s="70"/>
      <c r="U2" s="70"/>
      <c r="V2" s="69"/>
      <c r="W2" s="70"/>
      <c r="X2" s="71"/>
    </row>
    <row r="3" spans="3:24" hidden="1" outlineLevel="1">
      <c r="C3" s="76" t="s">
        <v>142</v>
      </c>
      <c r="D3" s="70"/>
      <c r="E3" s="70"/>
      <c r="F3" s="71"/>
      <c r="G3" s="69"/>
      <c r="H3" s="70"/>
      <c r="I3" s="71"/>
      <c r="J3" s="69"/>
      <c r="K3" s="70"/>
      <c r="L3" s="71"/>
      <c r="M3" s="69"/>
      <c r="N3" s="70"/>
      <c r="O3" s="71"/>
      <c r="P3" s="70"/>
      <c r="Q3" s="70"/>
      <c r="R3" s="70"/>
      <c r="S3" s="70"/>
      <c r="T3" s="70"/>
      <c r="U3" s="70"/>
      <c r="V3" s="69"/>
      <c r="W3" s="70"/>
      <c r="X3" s="71"/>
    </row>
    <row r="4" spans="3:24" hidden="1" outlineLevel="1">
      <c r="C4" s="77" t="s">
        <v>140</v>
      </c>
      <c r="D4" s="70"/>
      <c r="E4" s="70"/>
      <c r="F4" s="71"/>
      <c r="G4" s="69"/>
      <c r="H4" s="70"/>
      <c r="I4" s="71"/>
      <c r="J4" s="69"/>
      <c r="K4" s="70"/>
      <c r="L4" s="71"/>
      <c r="M4" s="69"/>
      <c r="N4" s="70"/>
      <c r="O4" s="71"/>
      <c r="P4" s="70"/>
      <c r="Q4" s="70"/>
      <c r="R4" s="70"/>
      <c r="S4" s="70"/>
      <c r="T4" s="70"/>
      <c r="U4" s="70"/>
      <c r="V4" s="69"/>
      <c r="W4" s="70"/>
      <c r="X4" s="71"/>
    </row>
    <row r="5" spans="3:24" hidden="1" outlineLevel="1">
      <c r="C5" s="77" t="s">
        <v>147</v>
      </c>
      <c r="F5" s="68"/>
      <c r="G5" s="67"/>
      <c r="I5" s="68"/>
      <c r="J5" s="67"/>
      <c r="L5" s="68"/>
      <c r="M5" s="67"/>
      <c r="O5" s="68"/>
      <c r="V5" s="67"/>
      <c r="X5" s="68"/>
    </row>
    <row r="6" spans="3:24" hidden="1" outlineLevel="1">
      <c r="C6" s="77" t="s">
        <v>146</v>
      </c>
      <c r="D6" s="70"/>
      <c r="E6" s="70"/>
      <c r="F6" s="71"/>
      <c r="G6" s="69"/>
      <c r="H6" s="70"/>
      <c r="I6" s="71"/>
      <c r="J6" s="69"/>
      <c r="K6" s="70"/>
      <c r="L6" s="71"/>
      <c r="M6" s="69"/>
      <c r="N6" s="70"/>
      <c r="O6" s="71"/>
      <c r="P6" s="70"/>
      <c r="Q6" s="70"/>
      <c r="R6" s="70"/>
      <c r="S6" s="70"/>
      <c r="T6" s="70"/>
      <c r="U6" s="70"/>
      <c r="V6" s="69"/>
      <c r="W6" s="70"/>
      <c r="X6" s="71"/>
    </row>
    <row r="7" spans="3:24" ht="15" hidden="1" outlineLevel="1" thickBot="1">
      <c r="C7" s="78" t="s">
        <v>148</v>
      </c>
      <c r="D7" s="70"/>
      <c r="E7" s="70"/>
      <c r="F7" s="71"/>
      <c r="G7" s="69"/>
      <c r="H7" s="70"/>
      <c r="I7" s="71"/>
      <c r="J7" s="69"/>
      <c r="K7" s="70"/>
      <c r="L7" s="71"/>
      <c r="M7" s="69"/>
      <c r="N7" s="70"/>
      <c r="O7" s="71"/>
      <c r="P7" s="70"/>
      <c r="Q7" s="70"/>
      <c r="R7" s="70"/>
      <c r="S7" s="70"/>
      <c r="T7" s="70"/>
      <c r="U7" s="70"/>
      <c r="V7" s="69"/>
      <c r="W7" s="70"/>
      <c r="X7" s="71"/>
    </row>
    <row r="8" spans="3:24" hidden="1" outlineLevel="1">
      <c r="C8" s="76" t="s">
        <v>153</v>
      </c>
      <c r="D8" s="70"/>
      <c r="E8" s="70"/>
      <c r="F8" s="71"/>
      <c r="G8" s="69"/>
      <c r="H8" s="70"/>
      <c r="I8" s="71"/>
      <c r="J8" s="69"/>
      <c r="K8" s="70"/>
      <c r="L8" s="71"/>
      <c r="M8" s="69"/>
      <c r="N8" s="70"/>
      <c r="O8" s="71"/>
      <c r="P8" s="70"/>
      <c r="Q8" s="70"/>
      <c r="R8" s="70"/>
      <c r="S8" s="70"/>
      <c r="T8" s="70"/>
      <c r="U8" s="70"/>
      <c r="V8" s="69"/>
      <c r="W8" s="70"/>
      <c r="X8" s="71"/>
    </row>
    <row r="9" spans="3:24" hidden="1" outlineLevel="1">
      <c r="C9" s="77" t="s">
        <v>139</v>
      </c>
      <c r="D9" s="70"/>
      <c r="E9" s="70"/>
      <c r="F9" s="71"/>
      <c r="G9" s="69"/>
      <c r="H9" s="70"/>
      <c r="I9" s="71"/>
      <c r="J9" s="69"/>
      <c r="K9" s="70"/>
      <c r="L9" s="71"/>
      <c r="M9" s="69"/>
      <c r="N9" s="70"/>
      <c r="O9" s="71"/>
      <c r="P9" s="70"/>
      <c r="Q9" s="70"/>
      <c r="R9" s="70"/>
      <c r="S9" s="70"/>
      <c r="T9" s="70"/>
      <c r="U9" s="70"/>
      <c r="V9" s="69"/>
      <c r="W9" s="70"/>
      <c r="X9" s="71"/>
    </row>
    <row r="10" spans="3:24" ht="15" hidden="1" outlineLevel="1" thickBot="1">
      <c r="C10" s="78" t="s">
        <v>149</v>
      </c>
      <c r="D10" s="70"/>
      <c r="E10" s="70"/>
      <c r="F10" s="71"/>
      <c r="G10" s="69"/>
      <c r="H10" s="70"/>
      <c r="I10" s="71"/>
      <c r="J10" s="69"/>
      <c r="K10" s="70"/>
      <c r="L10" s="71"/>
      <c r="M10" s="69"/>
      <c r="N10" s="70"/>
      <c r="O10" s="71"/>
      <c r="P10" s="70"/>
      <c r="Q10" s="70"/>
      <c r="R10" s="70"/>
      <c r="S10" s="70"/>
      <c r="T10" s="70"/>
      <c r="U10" s="70"/>
      <c r="V10" s="69"/>
      <c r="W10" s="70"/>
      <c r="X10" s="71"/>
    </row>
    <row r="11" spans="3:24" hidden="1" outlineLevel="1">
      <c r="C11" s="79" t="s">
        <v>23</v>
      </c>
      <c r="D11" s="70"/>
      <c r="E11" s="70"/>
      <c r="F11" s="71"/>
      <c r="G11" s="69"/>
      <c r="H11" s="70"/>
      <c r="I11" s="71"/>
      <c r="J11" s="69"/>
      <c r="K11" s="70"/>
      <c r="L11" s="71"/>
      <c r="M11" s="69"/>
      <c r="N11" s="70"/>
      <c r="O11" s="71"/>
      <c r="P11" s="70"/>
      <c r="Q11" s="70"/>
      <c r="R11" s="70"/>
      <c r="S11" s="70"/>
      <c r="T11" s="70"/>
      <c r="U11" s="70"/>
      <c r="V11" s="69"/>
      <c r="W11" s="70"/>
      <c r="X11" s="71"/>
    </row>
    <row r="12" spans="3:24" hidden="1" outlineLevel="1">
      <c r="C12" s="80" t="s">
        <v>151</v>
      </c>
      <c r="D12" s="70"/>
      <c r="E12" s="70"/>
      <c r="F12" s="71"/>
      <c r="G12" s="69"/>
      <c r="H12" s="70"/>
      <c r="I12" s="71"/>
      <c r="J12" s="69"/>
      <c r="K12" s="70"/>
      <c r="L12" s="71"/>
      <c r="M12" s="69"/>
      <c r="N12" s="70"/>
      <c r="O12" s="71"/>
      <c r="P12" s="70"/>
      <c r="Q12" s="70"/>
      <c r="R12" s="70"/>
      <c r="S12" s="70"/>
      <c r="T12" s="70"/>
      <c r="U12" s="70"/>
      <c r="V12" s="69"/>
      <c r="W12" s="70"/>
      <c r="X12" s="71"/>
    </row>
    <row r="13" spans="3:24" ht="15" hidden="1" outlineLevel="1" thickBot="1">
      <c r="C13" s="81" t="s">
        <v>152</v>
      </c>
      <c r="D13" s="70"/>
      <c r="E13" s="70"/>
      <c r="F13" s="71"/>
      <c r="G13" s="69"/>
      <c r="H13" s="70"/>
      <c r="I13" s="71"/>
      <c r="J13" s="69"/>
      <c r="K13" s="70"/>
      <c r="L13" s="71"/>
      <c r="M13" s="69"/>
      <c r="N13" s="70"/>
      <c r="O13" s="71"/>
      <c r="P13" s="70"/>
      <c r="Q13" s="70"/>
      <c r="R13" s="70"/>
      <c r="S13" s="70"/>
      <c r="T13" s="70"/>
      <c r="U13" s="70"/>
      <c r="V13" s="69"/>
      <c r="W13" s="70"/>
      <c r="X13" s="71"/>
    </row>
    <row r="14" spans="3:24" hidden="1" outlineLevel="1">
      <c r="C14" s="76" t="s">
        <v>150</v>
      </c>
      <c r="D14" s="70"/>
      <c r="E14" s="70"/>
      <c r="F14" s="71"/>
      <c r="G14" s="69"/>
      <c r="H14" s="70"/>
      <c r="I14" s="71"/>
      <c r="J14" s="69"/>
      <c r="K14" s="70"/>
      <c r="L14" s="71"/>
      <c r="M14" s="69"/>
      <c r="N14" s="70"/>
      <c r="O14" s="71"/>
      <c r="P14" s="70"/>
      <c r="Q14" s="70"/>
      <c r="R14" s="70"/>
      <c r="S14" s="70"/>
      <c r="T14" s="70"/>
      <c r="U14" s="70"/>
      <c r="V14" s="69"/>
      <c r="W14" s="70"/>
      <c r="X14" s="71"/>
    </row>
    <row r="15" spans="3:24" ht="15" hidden="1" outlineLevel="1" thickBot="1">
      <c r="C15" s="78" t="s">
        <v>144</v>
      </c>
      <c r="D15" s="70"/>
      <c r="E15" s="70"/>
      <c r="F15" s="71"/>
      <c r="G15" s="69"/>
      <c r="H15" s="70"/>
      <c r="I15" s="71"/>
      <c r="J15" s="69"/>
      <c r="K15" s="70"/>
      <c r="L15" s="71"/>
      <c r="M15" s="69"/>
      <c r="N15" s="70"/>
      <c r="O15" s="71"/>
      <c r="P15" s="70"/>
      <c r="Q15" s="70"/>
      <c r="R15" s="70"/>
      <c r="S15" s="70"/>
      <c r="T15" s="70"/>
      <c r="U15" s="70"/>
      <c r="V15" s="69"/>
      <c r="W15" s="70"/>
      <c r="X15" s="71"/>
    </row>
    <row r="16" spans="3:24" hidden="1" outlineLevel="1">
      <c r="C16" s="76" t="s">
        <v>145</v>
      </c>
      <c r="D16" s="70"/>
      <c r="E16" s="70"/>
      <c r="F16" s="71"/>
      <c r="G16" s="69"/>
      <c r="H16" s="70"/>
      <c r="I16" s="71"/>
      <c r="J16" s="69"/>
      <c r="K16" s="70"/>
      <c r="L16" s="71"/>
      <c r="M16" s="69"/>
      <c r="N16" s="70"/>
      <c r="O16" s="71"/>
      <c r="P16" s="70"/>
      <c r="Q16" s="70"/>
      <c r="R16" s="70"/>
      <c r="S16" s="70"/>
      <c r="T16" s="70"/>
      <c r="U16" s="70"/>
      <c r="V16" s="69"/>
      <c r="W16" s="70"/>
      <c r="X16" s="71"/>
    </row>
    <row r="17" spans="3:24" hidden="1" outlineLevel="1">
      <c r="C17" s="77" t="s">
        <v>143</v>
      </c>
      <c r="D17" s="70"/>
      <c r="E17" s="70"/>
      <c r="F17" s="71"/>
      <c r="G17" s="69"/>
      <c r="H17" s="70"/>
      <c r="I17" s="71"/>
      <c r="J17" s="69"/>
      <c r="K17" s="70"/>
      <c r="L17" s="71"/>
      <c r="M17" s="69"/>
      <c r="N17" s="70"/>
      <c r="O17" s="71"/>
      <c r="P17" s="70"/>
      <c r="Q17" s="70"/>
      <c r="R17" s="70"/>
      <c r="S17" s="70"/>
      <c r="T17" s="70"/>
      <c r="U17" s="70"/>
      <c r="V17" s="69"/>
      <c r="W17" s="70"/>
      <c r="X17" s="71"/>
    </row>
    <row r="18" spans="3:24" ht="15" hidden="1" outlineLevel="1" thickBot="1">
      <c r="C18" s="78" t="s">
        <v>136</v>
      </c>
      <c r="D18" s="70"/>
      <c r="E18" s="70"/>
      <c r="F18" s="71"/>
      <c r="G18" s="69"/>
      <c r="H18" s="70"/>
      <c r="I18" s="71"/>
      <c r="J18" s="69"/>
      <c r="K18" s="70"/>
      <c r="L18" s="71"/>
      <c r="M18" s="69"/>
      <c r="N18" s="70"/>
      <c r="O18" s="71"/>
      <c r="P18" s="70"/>
      <c r="Q18" s="70"/>
      <c r="R18" s="70"/>
      <c r="S18" s="70"/>
      <c r="T18" s="70"/>
      <c r="U18" s="70"/>
      <c r="V18" s="69"/>
      <c r="W18" s="70"/>
      <c r="X18" s="71"/>
    </row>
    <row r="19" spans="3:24" ht="15" hidden="1" outlineLevel="1" thickBot="1">
      <c r="C19" s="78" t="s">
        <v>141</v>
      </c>
      <c r="D19" s="70"/>
      <c r="E19" s="70"/>
      <c r="F19" s="71"/>
      <c r="G19" s="69"/>
      <c r="H19" s="70"/>
      <c r="I19" s="71"/>
      <c r="J19" s="69"/>
      <c r="K19" s="70"/>
      <c r="L19" s="71"/>
      <c r="M19" s="69"/>
      <c r="N19" s="70"/>
      <c r="O19" s="71"/>
      <c r="P19" s="70"/>
      <c r="Q19" s="70"/>
      <c r="R19" s="70"/>
      <c r="S19" s="70"/>
      <c r="T19" s="70"/>
      <c r="U19" s="70"/>
      <c r="V19" s="69"/>
      <c r="W19" s="70"/>
      <c r="X19" s="71"/>
    </row>
    <row r="20" spans="3:24" hidden="1" outlineLevel="1"/>
    <row r="21" spans="3:24" ht="15" hidden="1" outlineLevel="1" thickBot="1">
      <c r="D21" s="70"/>
      <c r="E21" s="70"/>
      <c r="F21" s="71"/>
      <c r="G21" s="69"/>
      <c r="H21" s="70"/>
      <c r="I21" s="71"/>
      <c r="J21" s="69"/>
      <c r="K21" s="70"/>
      <c r="L21" s="71"/>
      <c r="M21" s="69"/>
      <c r="N21" s="70"/>
      <c r="O21" s="71"/>
      <c r="P21" s="70"/>
      <c r="Q21" s="70"/>
      <c r="R21" s="70"/>
      <c r="S21" s="70"/>
      <c r="T21" s="70"/>
      <c r="U21" s="70"/>
      <c r="V21" s="69"/>
      <c r="W21" s="70"/>
      <c r="X21" s="71"/>
    </row>
    <row r="22" spans="3:24" hidden="1" outlineLevel="1">
      <c r="C22" s="76" t="s">
        <v>142</v>
      </c>
      <c r="D22" s="70"/>
      <c r="E22" s="70"/>
      <c r="F22" s="71"/>
      <c r="G22" s="69"/>
      <c r="H22" s="70"/>
      <c r="I22" s="71"/>
      <c r="J22" s="69"/>
      <c r="K22" s="70"/>
      <c r="L22" s="71"/>
      <c r="M22" s="69"/>
      <c r="N22" s="70"/>
      <c r="O22" s="71"/>
      <c r="P22" s="70"/>
      <c r="Q22" s="70"/>
      <c r="R22" s="70"/>
      <c r="S22" s="70"/>
      <c r="T22" s="70"/>
      <c r="U22" s="70"/>
      <c r="V22" s="69"/>
      <c r="W22" s="70"/>
      <c r="X22" s="71"/>
    </row>
    <row r="23" spans="3:24" hidden="1" outlineLevel="1">
      <c r="C23" s="77" t="s">
        <v>140</v>
      </c>
      <c r="D23" s="70"/>
      <c r="E23" s="70"/>
      <c r="F23" s="71"/>
      <c r="G23" s="69"/>
      <c r="H23" s="70"/>
      <c r="I23" s="71"/>
      <c r="J23" s="69"/>
      <c r="K23" s="70"/>
      <c r="L23" s="71"/>
      <c r="M23" s="69"/>
      <c r="N23" s="70"/>
      <c r="O23" s="71"/>
      <c r="P23" s="70"/>
      <c r="Q23" s="70"/>
      <c r="R23" s="70"/>
      <c r="S23" s="70"/>
      <c r="T23" s="70"/>
      <c r="U23" s="70"/>
      <c r="V23" s="69"/>
      <c r="W23" s="70"/>
      <c r="X23" s="71"/>
    </row>
    <row r="24" spans="3:24" hidden="1" outlineLevel="1">
      <c r="C24" s="77" t="s">
        <v>147</v>
      </c>
      <c r="F24" s="68"/>
      <c r="G24" s="67"/>
      <c r="I24" s="68"/>
      <c r="J24" s="67"/>
      <c r="L24" s="68"/>
      <c r="M24" s="67"/>
      <c r="O24" s="68"/>
      <c r="V24" s="67"/>
      <c r="X24" s="68"/>
    </row>
    <row r="25" spans="3:24" hidden="1" outlineLevel="1">
      <c r="C25" s="77" t="s">
        <v>146</v>
      </c>
      <c r="D25" s="70"/>
      <c r="E25" s="70"/>
      <c r="F25" s="71"/>
      <c r="G25" s="69"/>
      <c r="H25" s="70"/>
      <c r="I25" s="71"/>
      <c r="J25" s="69"/>
      <c r="K25" s="70"/>
      <c r="L25" s="71"/>
      <c r="M25" s="69"/>
      <c r="N25" s="70"/>
      <c r="O25" s="71"/>
      <c r="P25" s="70"/>
      <c r="Q25" s="70"/>
      <c r="R25" s="70"/>
      <c r="S25" s="70"/>
      <c r="T25" s="70"/>
      <c r="U25" s="70"/>
      <c r="V25" s="69"/>
      <c r="W25" s="70"/>
      <c r="X25" s="71"/>
    </row>
    <row r="26" spans="3:24" ht="15" hidden="1" outlineLevel="1" thickBot="1">
      <c r="C26" s="78" t="s">
        <v>148</v>
      </c>
      <c r="D26" s="70"/>
      <c r="E26" s="70"/>
      <c r="F26" s="71"/>
      <c r="G26" s="69"/>
      <c r="H26" s="70"/>
      <c r="I26" s="71"/>
      <c r="J26" s="69"/>
      <c r="K26" s="70"/>
      <c r="L26" s="71"/>
      <c r="M26" s="69"/>
      <c r="N26" s="70"/>
      <c r="O26" s="71"/>
      <c r="P26" s="70"/>
      <c r="Q26" s="70"/>
      <c r="R26" s="70"/>
      <c r="S26" s="70"/>
      <c r="T26" s="70"/>
      <c r="U26" s="70"/>
      <c r="V26" s="69"/>
      <c r="W26" s="70"/>
      <c r="X26" s="71"/>
    </row>
    <row r="27" spans="3:24" hidden="1" outlineLevel="1">
      <c r="C27" s="76" t="s">
        <v>153</v>
      </c>
      <c r="D27" s="70"/>
      <c r="E27" s="70"/>
      <c r="F27" s="71"/>
      <c r="G27" s="69"/>
      <c r="H27" s="70"/>
      <c r="I27" s="71"/>
      <c r="J27" s="69"/>
      <c r="K27" s="70"/>
      <c r="L27" s="71"/>
      <c r="M27" s="69"/>
      <c r="N27" s="70"/>
      <c r="O27" s="71"/>
      <c r="P27" s="70"/>
      <c r="Q27" s="70"/>
      <c r="R27" s="70"/>
      <c r="S27" s="70"/>
      <c r="T27" s="70"/>
      <c r="U27" s="70"/>
      <c r="V27" s="69"/>
      <c r="W27" s="70"/>
      <c r="X27" s="71"/>
    </row>
    <row r="28" spans="3:24" hidden="1" outlineLevel="1">
      <c r="C28" s="77" t="s">
        <v>139</v>
      </c>
      <c r="D28" s="70"/>
      <c r="E28" s="70"/>
      <c r="F28" s="71"/>
      <c r="G28" s="69"/>
      <c r="H28" s="70"/>
      <c r="I28" s="71"/>
      <c r="J28" s="69"/>
      <c r="K28" s="70"/>
      <c r="L28" s="71"/>
      <c r="M28" s="69"/>
      <c r="N28" s="70"/>
      <c r="O28" s="71"/>
      <c r="P28" s="70"/>
      <c r="Q28" s="70"/>
      <c r="R28" s="70"/>
      <c r="S28" s="70"/>
      <c r="T28" s="70"/>
      <c r="U28" s="70"/>
      <c r="V28" s="69"/>
      <c r="W28" s="70"/>
      <c r="X28" s="71"/>
    </row>
    <row r="29" spans="3:24" ht="15" hidden="1" outlineLevel="1" thickBot="1">
      <c r="C29" s="78" t="s">
        <v>149</v>
      </c>
      <c r="D29" s="70"/>
      <c r="E29" s="70"/>
      <c r="F29" s="71"/>
      <c r="G29" s="69"/>
      <c r="H29" s="70"/>
      <c r="I29" s="71"/>
      <c r="J29" s="69"/>
      <c r="K29" s="70"/>
      <c r="L29" s="71"/>
      <c r="M29" s="69"/>
      <c r="N29" s="70"/>
      <c r="O29" s="71"/>
      <c r="P29" s="70"/>
      <c r="Q29" s="70"/>
      <c r="R29" s="70"/>
      <c r="S29" s="70"/>
      <c r="T29" s="70"/>
      <c r="U29" s="70"/>
      <c r="V29" s="69"/>
      <c r="W29" s="70"/>
      <c r="X29" s="71"/>
    </row>
    <row r="30" spans="3:24" hidden="1" outlineLevel="1">
      <c r="C30" s="79" t="s">
        <v>23</v>
      </c>
      <c r="D30" s="70"/>
      <c r="E30" s="70"/>
      <c r="F30" s="71"/>
      <c r="G30" s="69"/>
      <c r="H30" s="70"/>
      <c r="I30" s="71"/>
      <c r="J30" s="69"/>
      <c r="K30" s="70"/>
      <c r="L30" s="71"/>
      <c r="M30" s="69"/>
      <c r="N30" s="70"/>
      <c r="O30" s="71"/>
      <c r="P30" s="70"/>
      <c r="Q30" s="70"/>
      <c r="R30" s="70"/>
      <c r="S30" s="70"/>
      <c r="T30" s="70"/>
      <c r="U30" s="70"/>
      <c r="V30" s="69"/>
      <c r="W30" s="70"/>
      <c r="X30" s="71"/>
    </row>
    <row r="31" spans="3:24" hidden="1" outlineLevel="1">
      <c r="C31" s="80" t="s">
        <v>151</v>
      </c>
      <c r="D31" s="70"/>
      <c r="E31" s="70"/>
      <c r="F31" s="71"/>
      <c r="G31" s="69"/>
      <c r="H31" s="70"/>
      <c r="I31" s="71"/>
      <c r="J31" s="69"/>
      <c r="K31" s="70"/>
      <c r="L31" s="71"/>
      <c r="M31" s="69"/>
      <c r="N31" s="70"/>
      <c r="O31" s="71"/>
      <c r="P31" s="70"/>
      <c r="Q31" s="70"/>
      <c r="R31" s="70"/>
      <c r="S31" s="70"/>
      <c r="T31" s="70"/>
      <c r="U31" s="70"/>
      <c r="V31" s="69"/>
      <c r="W31" s="70"/>
      <c r="X31" s="71"/>
    </row>
    <row r="32" spans="3:24" ht="15" hidden="1" outlineLevel="1" thickBot="1">
      <c r="C32" s="81" t="s">
        <v>152</v>
      </c>
      <c r="D32" s="70"/>
      <c r="E32" s="70"/>
      <c r="F32" s="71"/>
      <c r="G32" s="69"/>
      <c r="H32" s="70"/>
      <c r="I32" s="71"/>
      <c r="J32" s="69"/>
      <c r="K32" s="70"/>
      <c r="L32" s="71"/>
      <c r="M32" s="69"/>
      <c r="N32" s="70"/>
      <c r="O32" s="71"/>
      <c r="P32" s="70"/>
      <c r="Q32" s="70"/>
      <c r="R32" s="70"/>
      <c r="S32" s="70"/>
      <c r="T32" s="70"/>
      <c r="U32" s="70"/>
      <c r="V32" s="69"/>
      <c r="W32" s="70"/>
      <c r="X32" s="71"/>
    </row>
    <row r="33" spans="3:24" hidden="1" outlineLevel="1">
      <c r="C33" s="76" t="s">
        <v>150</v>
      </c>
      <c r="D33" s="70"/>
      <c r="E33" s="70"/>
      <c r="F33" s="71"/>
      <c r="G33" s="69"/>
      <c r="H33" s="70"/>
      <c r="I33" s="71"/>
      <c r="J33" s="69"/>
      <c r="K33" s="70"/>
      <c r="L33" s="71"/>
      <c r="M33" s="69"/>
      <c r="N33" s="70"/>
      <c r="O33" s="71"/>
      <c r="P33" s="70"/>
      <c r="Q33" s="70"/>
      <c r="R33" s="70"/>
      <c r="S33" s="70"/>
      <c r="T33" s="70"/>
      <c r="U33" s="70"/>
      <c r="V33" s="69"/>
      <c r="W33" s="70"/>
      <c r="X33" s="71"/>
    </row>
    <row r="34" spans="3:24" ht="15" hidden="1" outlineLevel="1" thickBot="1">
      <c r="C34" s="78" t="s">
        <v>144</v>
      </c>
      <c r="D34" s="70"/>
      <c r="E34" s="70"/>
      <c r="F34" s="71"/>
      <c r="G34" s="69"/>
      <c r="H34" s="70"/>
      <c r="I34" s="71"/>
      <c r="J34" s="69"/>
      <c r="K34" s="70"/>
      <c r="L34" s="71"/>
      <c r="M34" s="69"/>
      <c r="N34" s="70"/>
      <c r="O34" s="71"/>
      <c r="P34" s="70"/>
      <c r="Q34" s="70"/>
      <c r="R34" s="70"/>
      <c r="S34" s="70"/>
      <c r="T34" s="70"/>
      <c r="U34" s="70"/>
      <c r="V34" s="69"/>
      <c r="W34" s="70"/>
      <c r="X34" s="71"/>
    </row>
    <row r="35" spans="3:24" hidden="1" outlineLevel="1">
      <c r="C35" s="76" t="s">
        <v>145</v>
      </c>
      <c r="D35" s="70"/>
      <c r="E35" s="70"/>
      <c r="F35" s="71"/>
      <c r="G35" s="69"/>
      <c r="H35" s="70"/>
      <c r="I35" s="71"/>
      <c r="J35" s="69"/>
      <c r="K35" s="70"/>
      <c r="L35" s="71"/>
      <c r="M35" s="69"/>
      <c r="N35" s="70"/>
      <c r="O35" s="71"/>
      <c r="P35" s="70"/>
      <c r="Q35" s="70"/>
      <c r="R35" s="70"/>
      <c r="S35" s="70"/>
      <c r="T35" s="70"/>
      <c r="U35" s="70"/>
      <c r="V35" s="69"/>
      <c r="W35" s="70"/>
      <c r="X35" s="71"/>
    </row>
    <row r="36" spans="3:24" hidden="1" outlineLevel="1">
      <c r="C36" s="77" t="s">
        <v>143</v>
      </c>
      <c r="D36" s="70"/>
      <c r="E36" s="70"/>
      <c r="F36" s="71"/>
      <c r="G36" s="69"/>
      <c r="H36" s="70"/>
      <c r="I36" s="71"/>
      <c r="J36" s="69"/>
      <c r="K36" s="70"/>
      <c r="L36" s="71"/>
      <c r="M36" s="69"/>
      <c r="N36" s="70"/>
      <c r="O36" s="71"/>
      <c r="P36" s="70"/>
      <c r="Q36" s="70"/>
      <c r="R36" s="70"/>
      <c r="S36" s="70"/>
      <c r="T36" s="70"/>
      <c r="U36" s="70"/>
      <c r="V36" s="69"/>
      <c r="W36" s="70"/>
      <c r="X36" s="71"/>
    </row>
    <row r="37" spans="3:24" ht="15" hidden="1" outlineLevel="1" thickBot="1">
      <c r="C37" s="78" t="s">
        <v>136</v>
      </c>
      <c r="D37" s="70"/>
      <c r="E37" s="70"/>
      <c r="F37" s="71"/>
      <c r="G37" s="69"/>
      <c r="H37" s="70"/>
      <c r="I37" s="71"/>
      <c r="J37" s="69"/>
      <c r="K37" s="70"/>
      <c r="L37" s="71"/>
      <c r="M37" s="69"/>
      <c r="N37" s="70"/>
      <c r="O37" s="71"/>
      <c r="P37" s="70"/>
      <c r="Q37" s="70"/>
      <c r="R37" s="70"/>
      <c r="S37" s="70"/>
      <c r="T37" s="70"/>
      <c r="U37" s="70"/>
      <c r="V37" s="69"/>
      <c r="W37" s="70"/>
      <c r="X37" s="71"/>
    </row>
    <row r="38" spans="3:24" ht="15" hidden="1" outlineLevel="1" thickBot="1">
      <c r="C38" s="78" t="s">
        <v>141</v>
      </c>
      <c r="D38" s="70"/>
      <c r="E38" s="70"/>
      <c r="F38" s="71"/>
      <c r="G38" s="69"/>
      <c r="H38" s="70"/>
      <c r="I38" s="71"/>
      <c r="J38" s="69"/>
      <c r="K38" s="70"/>
      <c r="L38" s="71"/>
      <c r="M38" s="69"/>
      <c r="N38" s="70"/>
      <c r="O38" s="71"/>
      <c r="P38" s="70"/>
      <c r="Q38" s="70"/>
      <c r="R38" s="70"/>
      <c r="S38" s="70"/>
      <c r="T38" s="70"/>
      <c r="U38" s="70"/>
      <c r="V38" s="69"/>
      <c r="W38" s="70"/>
      <c r="X38" s="71"/>
    </row>
    <row r="39" spans="3:24" collapsed="1"/>
    <row r="40" spans="3:24" ht="9" customHeight="1" thickBot="1"/>
    <row r="41" spans="3:24" ht="24" customHeight="1" thickBot="1">
      <c r="C41" s="138" t="s">
        <v>235</v>
      </c>
      <c r="D41" s="89"/>
      <c r="E41" s="90"/>
      <c r="F41" s="91"/>
      <c r="G41" s="89"/>
      <c r="H41" s="90"/>
      <c r="I41" s="91"/>
      <c r="J41" s="89"/>
      <c r="K41" s="90"/>
      <c r="L41" s="91"/>
      <c r="M41" s="89"/>
      <c r="N41" s="90"/>
      <c r="O41" s="91"/>
      <c r="P41" s="89"/>
      <c r="Q41" s="90"/>
      <c r="R41" s="91"/>
      <c r="S41" s="89"/>
      <c r="T41" s="90"/>
      <c r="U41" s="91"/>
      <c r="V41" s="89"/>
      <c r="W41" s="90"/>
      <c r="X41" s="91"/>
    </row>
    <row r="42" spans="3:24" ht="42" customHeight="1" thickBot="1">
      <c r="C42" s="40" t="s">
        <v>234</v>
      </c>
      <c r="D42" s="89"/>
      <c r="E42" s="90"/>
      <c r="F42" s="91"/>
      <c r="G42" s="89"/>
      <c r="H42" s="90"/>
      <c r="I42" s="91"/>
      <c r="J42" s="89"/>
      <c r="K42" s="90"/>
      <c r="L42" s="91"/>
      <c r="M42" s="89"/>
      <c r="N42" s="90"/>
      <c r="O42" s="91"/>
      <c r="P42" s="89"/>
      <c r="Q42" s="90"/>
      <c r="R42" s="91"/>
      <c r="S42" s="89"/>
      <c r="T42" s="90"/>
      <c r="U42" s="91"/>
      <c r="V42" s="89"/>
      <c r="W42" s="90"/>
      <c r="X42" s="91"/>
    </row>
    <row r="43" spans="3:24" ht="27" customHeight="1">
      <c r="C43" s="134" t="s">
        <v>142</v>
      </c>
      <c r="D43" s="87"/>
      <c r="E43" s="87"/>
      <c r="F43" s="88"/>
      <c r="G43" s="92"/>
      <c r="H43" s="87"/>
      <c r="I43" s="88"/>
      <c r="J43" s="69"/>
      <c r="K43" s="70"/>
      <c r="L43" s="71"/>
      <c r="M43" s="69"/>
      <c r="N43" s="70"/>
      <c r="O43" s="71"/>
      <c r="P43" s="69"/>
      <c r="Q43" s="70"/>
      <c r="R43" s="71"/>
      <c r="S43" s="70"/>
      <c r="T43" s="70"/>
      <c r="U43" s="70"/>
      <c r="V43" s="69"/>
      <c r="W43" s="70"/>
      <c r="X43" s="71"/>
    </row>
    <row r="44" spans="3:24" ht="63" customHeight="1">
      <c r="C44" s="135" t="s">
        <v>203</v>
      </c>
      <c r="D44" s="70"/>
      <c r="E44" s="70"/>
      <c r="F44" s="71"/>
      <c r="G44" s="69"/>
      <c r="H44" s="70"/>
      <c r="I44" s="71"/>
      <c r="J44" s="69"/>
      <c r="K44" s="70"/>
      <c r="L44" s="71"/>
      <c r="M44" s="69"/>
      <c r="N44" s="70"/>
      <c r="O44" s="71"/>
      <c r="P44" s="69"/>
      <c r="Q44" s="70"/>
      <c r="R44" s="71"/>
      <c r="S44" s="70"/>
      <c r="T44" s="70"/>
      <c r="U44" s="70"/>
      <c r="V44" s="69"/>
      <c r="W44" s="70"/>
      <c r="X44" s="71"/>
    </row>
    <row r="45" spans="3:24" ht="65.25" customHeight="1">
      <c r="C45" s="136" t="s">
        <v>204</v>
      </c>
      <c r="D45" s="70"/>
      <c r="E45" s="70"/>
      <c r="F45" s="71"/>
      <c r="G45" s="69"/>
      <c r="H45" s="70"/>
      <c r="I45" s="71"/>
      <c r="J45" s="69"/>
      <c r="K45" s="70"/>
      <c r="L45" s="71"/>
      <c r="M45" s="69"/>
      <c r="N45" s="70"/>
      <c r="O45" s="71"/>
      <c r="P45" s="69"/>
      <c r="Q45" s="70"/>
      <c r="R45" s="71"/>
      <c r="S45" s="70"/>
      <c r="T45" s="70"/>
      <c r="U45" s="70"/>
      <c r="V45" s="69"/>
      <c r="W45" s="70"/>
      <c r="X45" s="71"/>
    </row>
    <row r="46" spans="3:24" ht="42" customHeight="1">
      <c r="C46" s="136" t="s">
        <v>147</v>
      </c>
      <c r="D46" s="70"/>
      <c r="E46" s="70"/>
      <c r="F46" s="71"/>
      <c r="G46" s="69"/>
      <c r="H46" s="70"/>
      <c r="I46" s="71"/>
      <c r="J46" s="69"/>
      <c r="K46" s="70"/>
      <c r="L46" s="71"/>
      <c r="M46" s="69"/>
      <c r="N46" s="70"/>
      <c r="O46" s="71"/>
      <c r="P46" s="69"/>
      <c r="Q46" s="70"/>
      <c r="R46" s="71"/>
      <c r="S46" s="70"/>
      <c r="T46" s="70"/>
      <c r="U46" s="70"/>
      <c r="V46" s="69"/>
      <c r="W46" s="70"/>
      <c r="X46" s="71"/>
    </row>
    <row r="47" spans="3:24" ht="63" customHeight="1">
      <c r="C47" s="136" t="s">
        <v>205</v>
      </c>
      <c r="F47" s="68"/>
      <c r="G47" s="67"/>
      <c r="I47" s="68"/>
      <c r="J47" s="67"/>
      <c r="L47" s="68"/>
      <c r="M47" s="67"/>
      <c r="O47" s="68"/>
      <c r="P47" s="67"/>
      <c r="R47" s="68"/>
      <c r="V47" s="67"/>
      <c r="X47" s="68"/>
    </row>
    <row r="48" spans="3:24" ht="65.25" customHeight="1">
      <c r="C48" s="136" t="s">
        <v>146</v>
      </c>
      <c r="D48" s="70"/>
      <c r="E48" s="70"/>
      <c r="F48" s="71"/>
      <c r="G48" s="69"/>
      <c r="H48" s="70"/>
      <c r="I48" s="71"/>
      <c r="J48" s="69"/>
      <c r="K48" s="70"/>
      <c r="L48" s="71"/>
      <c r="M48" s="69"/>
      <c r="N48" s="70"/>
      <c r="O48" s="71"/>
      <c r="P48" s="69"/>
      <c r="Q48" s="70"/>
      <c r="R48" s="71"/>
      <c r="S48" s="70"/>
      <c r="T48" s="70"/>
      <c r="U48" s="70"/>
      <c r="V48" s="69"/>
      <c r="W48" s="70"/>
      <c r="X48" s="71"/>
    </row>
    <row r="49" spans="3:24" ht="42" customHeight="1">
      <c r="C49" s="135" t="s">
        <v>148</v>
      </c>
      <c r="D49" s="70"/>
      <c r="E49" s="70"/>
      <c r="F49" s="71"/>
      <c r="G49" s="69"/>
      <c r="H49" s="70"/>
      <c r="I49" s="71"/>
      <c r="J49" s="69"/>
      <c r="K49" s="70"/>
      <c r="L49" s="71"/>
      <c r="M49" s="69"/>
      <c r="N49" s="70"/>
      <c r="O49" s="71"/>
      <c r="P49" s="69"/>
      <c r="Q49" s="70"/>
      <c r="R49" s="71"/>
      <c r="S49" s="70"/>
      <c r="T49" s="70"/>
      <c r="U49" s="70"/>
      <c r="V49" s="69"/>
      <c r="W49" s="70"/>
      <c r="X49" s="71"/>
    </row>
    <row r="50" spans="3:24" ht="42" customHeight="1" thickBot="1">
      <c r="C50" s="137" t="s">
        <v>153</v>
      </c>
      <c r="D50" s="70"/>
      <c r="E50" s="70"/>
      <c r="F50" s="71"/>
      <c r="G50" s="69"/>
      <c r="H50" s="70"/>
      <c r="I50" s="71"/>
      <c r="J50" s="69"/>
      <c r="K50" s="70"/>
      <c r="L50" s="71"/>
      <c r="M50" s="69"/>
      <c r="N50" s="70"/>
      <c r="O50" s="71"/>
      <c r="P50" s="69"/>
      <c r="Q50" s="70"/>
      <c r="R50" s="71"/>
      <c r="S50" s="70"/>
      <c r="T50" s="70"/>
      <c r="U50" s="70"/>
      <c r="V50" s="69"/>
      <c r="W50" s="70"/>
      <c r="X50" s="71"/>
    </row>
    <row r="51" spans="3:24" ht="42" customHeight="1">
      <c r="C51" s="135" t="s">
        <v>233</v>
      </c>
      <c r="D51" s="70"/>
      <c r="E51" s="70"/>
      <c r="F51" s="71"/>
      <c r="G51" s="69"/>
      <c r="H51" s="70"/>
      <c r="I51" s="71"/>
      <c r="J51" s="69"/>
      <c r="K51" s="70"/>
      <c r="L51" s="71"/>
      <c r="M51" s="69"/>
      <c r="N51" s="70"/>
      <c r="O51" s="71"/>
      <c r="P51" s="69"/>
      <c r="Q51" s="70"/>
      <c r="R51" s="71"/>
      <c r="S51" s="70"/>
      <c r="T51" s="70"/>
      <c r="U51" s="70"/>
      <c r="V51" s="69"/>
      <c r="W51" s="70"/>
      <c r="X51" s="71"/>
    </row>
    <row r="52" spans="3:24" ht="42" customHeight="1" thickBot="1">
      <c r="C52" s="85" t="s">
        <v>149</v>
      </c>
      <c r="D52" s="70"/>
      <c r="E52" s="70"/>
      <c r="F52" s="71"/>
      <c r="G52" s="69"/>
      <c r="H52" s="70"/>
      <c r="I52" s="71"/>
      <c r="J52" s="69"/>
      <c r="K52" s="70"/>
      <c r="L52" s="71"/>
      <c r="M52" s="69"/>
      <c r="N52" s="70"/>
      <c r="O52" s="71"/>
      <c r="P52" s="69"/>
      <c r="Q52" s="70"/>
      <c r="R52" s="71"/>
      <c r="S52" s="70"/>
      <c r="T52" s="70"/>
      <c r="U52" s="70"/>
      <c r="V52" s="69"/>
      <c r="W52" s="70"/>
      <c r="X52" s="71"/>
    </row>
    <row r="53" spans="3:24" ht="21.75" customHeight="1">
      <c r="C53" s="134" t="s">
        <v>23</v>
      </c>
      <c r="D53" s="70"/>
      <c r="E53" s="70"/>
      <c r="F53" s="71"/>
      <c r="G53" s="69"/>
      <c r="H53" s="70"/>
      <c r="I53" s="71"/>
      <c r="J53" s="69"/>
      <c r="K53" s="70"/>
      <c r="L53" s="71"/>
      <c r="M53" s="69"/>
      <c r="N53" s="70"/>
      <c r="O53" s="71"/>
      <c r="P53" s="69"/>
      <c r="Q53" s="70"/>
      <c r="R53" s="71"/>
      <c r="S53" s="70"/>
      <c r="T53" s="70"/>
      <c r="U53" s="70"/>
      <c r="V53" s="69"/>
      <c r="W53" s="70"/>
      <c r="X53" s="71"/>
    </row>
    <row r="54" spans="3:24" ht="18" customHeight="1">
      <c r="C54" s="135" t="s">
        <v>151</v>
      </c>
      <c r="D54" s="70"/>
      <c r="E54" s="70"/>
      <c r="F54" s="71"/>
      <c r="G54" s="69"/>
      <c r="H54" s="70"/>
      <c r="I54" s="71"/>
      <c r="J54" s="69"/>
      <c r="K54" s="70"/>
      <c r="L54" s="71"/>
      <c r="M54" s="69"/>
      <c r="N54" s="70"/>
      <c r="O54" s="71"/>
      <c r="P54" s="69"/>
      <c r="Q54" s="70"/>
      <c r="R54" s="71"/>
      <c r="S54" s="70"/>
      <c r="T54" s="70"/>
      <c r="U54" s="70"/>
      <c r="V54" s="69"/>
      <c r="W54" s="70"/>
      <c r="X54" s="71"/>
    </row>
    <row r="55" spans="3:24" ht="21.75" customHeight="1" thickBot="1">
      <c r="C55" s="86" t="s">
        <v>8</v>
      </c>
      <c r="D55" s="70"/>
      <c r="E55" s="70"/>
      <c r="F55" s="71"/>
      <c r="G55" s="69"/>
      <c r="H55" s="70"/>
      <c r="I55" s="71"/>
      <c r="J55" s="69"/>
      <c r="K55" s="70"/>
      <c r="L55" s="71"/>
      <c r="M55" s="69"/>
      <c r="N55" s="70"/>
      <c r="O55" s="71"/>
      <c r="P55" s="69"/>
      <c r="Q55" s="70"/>
      <c r="R55" s="71"/>
      <c r="S55" s="70"/>
      <c r="T55" s="70"/>
      <c r="U55" s="70"/>
      <c r="V55" s="69"/>
      <c r="W55" s="70"/>
      <c r="X55" s="71"/>
    </row>
    <row r="56" spans="3:24" ht="21" customHeight="1">
      <c r="C56" s="134" t="s">
        <v>150</v>
      </c>
      <c r="D56" s="70"/>
      <c r="E56" s="70"/>
      <c r="F56" s="71"/>
      <c r="G56" s="69"/>
      <c r="H56" s="70"/>
      <c r="I56" s="71"/>
      <c r="J56" s="69"/>
      <c r="K56" s="70"/>
      <c r="L56" s="71"/>
      <c r="M56" s="69"/>
      <c r="N56" s="70"/>
      <c r="O56" s="71"/>
      <c r="P56" s="69"/>
      <c r="Q56" s="70"/>
      <c r="R56" s="71"/>
      <c r="S56" s="70"/>
      <c r="T56" s="70"/>
      <c r="U56" s="70"/>
      <c r="V56" s="69"/>
      <c r="W56" s="70"/>
      <c r="X56" s="71"/>
    </row>
    <row r="57" spans="3:24" ht="22.5" customHeight="1" thickBot="1">
      <c r="C57" s="86" t="s">
        <v>144</v>
      </c>
      <c r="D57" s="70"/>
      <c r="E57" s="70"/>
      <c r="F57" s="71"/>
      <c r="G57" s="69"/>
      <c r="H57" s="70"/>
      <c r="I57" s="71"/>
      <c r="J57" s="69"/>
      <c r="K57" s="70"/>
      <c r="L57" s="71"/>
      <c r="M57" s="69"/>
      <c r="N57" s="70"/>
      <c r="O57" s="71"/>
      <c r="P57" s="69"/>
      <c r="Q57" s="70"/>
      <c r="R57" s="71"/>
      <c r="S57" s="70"/>
      <c r="T57" s="70"/>
      <c r="U57" s="70"/>
      <c r="V57" s="69"/>
      <c r="W57" s="70"/>
      <c r="X57" s="71"/>
    </row>
    <row r="58" spans="3:24" ht="43.5" customHeight="1">
      <c r="C58" s="134" t="s">
        <v>145</v>
      </c>
      <c r="D58" s="70"/>
      <c r="E58" s="70"/>
      <c r="F58" s="71"/>
      <c r="G58" s="69"/>
      <c r="H58" s="70"/>
      <c r="I58" s="71"/>
      <c r="J58" s="69"/>
      <c r="K58" s="70"/>
      <c r="L58" s="71"/>
      <c r="M58" s="69"/>
      <c r="N58" s="70"/>
      <c r="O58" s="71"/>
      <c r="P58" s="69"/>
      <c r="Q58" s="70"/>
      <c r="R58" s="71"/>
      <c r="S58" s="70"/>
      <c r="T58" s="70"/>
      <c r="U58" s="70"/>
      <c r="V58" s="69"/>
      <c r="W58" s="70"/>
      <c r="X58" s="71"/>
    </row>
    <row r="59" spans="3:24" ht="51" customHeight="1">
      <c r="C59" s="136" t="s">
        <v>206</v>
      </c>
      <c r="D59" s="70"/>
      <c r="E59" s="70"/>
      <c r="F59" s="71"/>
      <c r="G59" s="69"/>
      <c r="H59" s="70"/>
      <c r="I59" s="71"/>
      <c r="J59" s="69"/>
      <c r="K59" s="70"/>
      <c r="L59" s="71"/>
      <c r="M59" s="69"/>
      <c r="N59" s="70"/>
      <c r="O59" s="71"/>
      <c r="P59" s="69"/>
      <c r="Q59" s="70"/>
      <c r="R59" s="71"/>
      <c r="S59" s="70"/>
      <c r="T59" s="70"/>
      <c r="U59" s="70"/>
      <c r="V59" s="69"/>
      <c r="W59" s="70"/>
      <c r="X59" s="71"/>
    </row>
    <row r="60" spans="3:24" ht="22.5" customHeight="1" thickBot="1">
      <c r="C60" s="86" t="s">
        <v>136</v>
      </c>
      <c r="D60" s="70"/>
      <c r="E60" s="70"/>
      <c r="F60" s="71"/>
      <c r="G60" s="69"/>
      <c r="H60" s="70"/>
      <c r="I60" s="71"/>
      <c r="J60" s="69"/>
      <c r="K60" s="70"/>
      <c r="L60" s="71"/>
      <c r="M60" s="69"/>
      <c r="N60" s="70"/>
      <c r="O60" s="71"/>
      <c r="P60" s="69"/>
      <c r="Q60" s="70"/>
      <c r="R60" s="71"/>
      <c r="S60" s="70"/>
      <c r="T60" s="70"/>
      <c r="U60" s="70"/>
      <c r="V60" s="69"/>
      <c r="W60" s="70"/>
      <c r="X60" s="71"/>
    </row>
    <row r="61" spans="3:24" ht="27.75" customHeight="1" thickBot="1">
      <c r="C61" s="86" t="s">
        <v>141</v>
      </c>
      <c r="D61" s="70"/>
      <c r="E61" s="70"/>
      <c r="F61" s="71"/>
      <c r="G61" s="69"/>
      <c r="H61" s="70"/>
      <c r="I61" s="71"/>
      <c r="J61" s="69"/>
      <c r="K61" s="70"/>
      <c r="L61" s="71"/>
      <c r="M61" s="69"/>
      <c r="N61" s="70"/>
      <c r="O61" s="71"/>
      <c r="P61" s="69"/>
      <c r="Q61" s="70"/>
      <c r="R61" s="71"/>
      <c r="S61" s="70"/>
      <c r="T61" s="70"/>
      <c r="U61" s="70"/>
      <c r="V61" s="69"/>
      <c r="W61" s="70"/>
      <c r="X61" s="71"/>
    </row>
    <row r="62" spans="3:24" ht="36.75" customHeight="1" thickBot="1">
      <c r="C62" s="86" t="s">
        <v>161</v>
      </c>
      <c r="D62" s="70"/>
      <c r="E62" s="70"/>
      <c r="F62" s="71"/>
      <c r="G62" s="69"/>
      <c r="H62" s="70"/>
      <c r="I62" s="71"/>
      <c r="J62" s="69"/>
      <c r="K62" s="70"/>
      <c r="L62" s="71"/>
      <c r="M62" s="69"/>
      <c r="N62" s="70"/>
      <c r="O62" s="71"/>
      <c r="P62" s="69"/>
      <c r="Q62" s="70"/>
      <c r="R62" s="71"/>
      <c r="S62" s="70"/>
      <c r="T62" s="70"/>
      <c r="U62" s="70"/>
      <c r="V62" s="69"/>
      <c r="W62" s="70"/>
      <c r="X62" s="71"/>
    </row>
  </sheetData>
  <pageMargins left="0.11811023622047245" right="0.11811023622047245" top="0.15748031496062992" bottom="0.15748031496062992" header="0.31496062992125984" footer="0.31496062992125984"/>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6:V15"/>
  <sheetViews>
    <sheetView workbookViewId="0">
      <selection activeCell="Q9" sqref="Q9:Q11"/>
    </sheetView>
  </sheetViews>
  <sheetFormatPr baseColWidth="10" defaultRowHeight="14.4"/>
  <cols>
    <col min="7" max="7" width="7.88671875" customWidth="1"/>
    <col min="8" max="8" width="6.44140625" customWidth="1"/>
    <col min="9" max="9" width="5" customWidth="1"/>
    <col min="11" max="11" width="8.6640625" customWidth="1"/>
    <col min="12" max="12" width="5.33203125" customWidth="1"/>
    <col min="13" max="13" width="4.109375" customWidth="1"/>
    <col min="15" max="15" width="8.5546875" customWidth="1"/>
    <col min="16" max="16" width="5" customWidth="1"/>
    <col min="17" max="17" width="5.109375" customWidth="1"/>
  </cols>
  <sheetData>
    <row r="6" spans="1:22" ht="15" thickBot="1"/>
    <row r="7" spans="1:22">
      <c r="A7" s="485"/>
      <c r="B7" s="253">
        <v>200</v>
      </c>
      <c r="C7" s="247">
        <f>A7*B7</f>
        <v>0</v>
      </c>
      <c r="E7" s="485"/>
      <c r="F7" s="253">
        <v>200</v>
      </c>
      <c r="G7" s="247">
        <f>E7*F7</f>
        <v>0</v>
      </c>
      <c r="I7" s="485"/>
      <c r="J7" s="253">
        <v>200</v>
      </c>
      <c r="K7" s="247">
        <f>I7*J7</f>
        <v>0</v>
      </c>
      <c r="M7" s="485"/>
      <c r="N7" s="253">
        <v>200</v>
      </c>
      <c r="O7" s="247">
        <f>M7*N7</f>
        <v>0</v>
      </c>
      <c r="Q7" s="485"/>
      <c r="R7" s="253">
        <v>200</v>
      </c>
      <c r="S7" s="247">
        <f>Q7*R7</f>
        <v>0</v>
      </c>
      <c r="U7" s="2">
        <f>I7+M7+Q7</f>
        <v>0</v>
      </c>
      <c r="V7">
        <f>R7*U7</f>
        <v>0</v>
      </c>
    </row>
    <row r="8" spans="1:22">
      <c r="A8" s="486"/>
      <c r="B8" s="365">
        <v>100</v>
      </c>
      <c r="C8" s="411">
        <f t="shared" ref="C8:C11" si="0">A8*B8</f>
        <v>0</v>
      </c>
      <c r="E8" s="486"/>
      <c r="F8" s="365">
        <v>100</v>
      </c>
      <c r="G8" s="411">
        <f t="shared" ref="G8:G11" si="1">E8*F8</f>
        <v>0</v>
      </c>
      <c r="I8" s="486"/>
      <c r="J8" s="365">
        <v>100</v>
      </c>
      <c r="K8" s="411">
        <f t="shared" ref="K8:K11" si="2">I8*J8</f>
        <v>0</v>
      </c>
      <c r="M8" s="486"/>
      <c r="N8" s="365">
        <v>100</v>
      </c>
      <c r="O8" s="411">
        <f t="shared" ref="O8:O10" si="3">M8*N8</f>
        <v>0</v>
      </c>
      <c r="Q8" s="486"/>
      <c r="R8" s="365">
        <v>100</v>
      </c>
      <c r="S8" s="411">
        <f t="shared" ref="S8:S11" si="4">Q8*R8</f>
        <v>0</v>
      </c>
      <c r="U8" s="2">
        <f t="shared" ref="U8:U12" si="5">I8+M8+Q8</f>
        <v>0</v>
      </c>
      <c r="V8">
        <f t="shared" ref="V8:V11" si="6">R8*U8</f>
        <v>0</v>
      </c>
    </row>
    <row r="9" spans="1:22">
      <c r="A9" s="486">
        <v>0</v>
      </c>
      <c r="B9" s="365">
        <v>50</v>
      </c>
      <c r="C9" s="411">
        <f t="shared" si="0"/>
        <v>0</v>
      </c>
      <c r="E9" s="486"/>
      <c r="F9" s="365">
        <v>50</v>
      </c>
      <c r="G9" s="411">
        <f t="shared" si="1"/>
        <v>0</v>
      </c>
      <c r="I9" s="486">
        <v>20</v>
      </c>
      <c r="J9" s="365">
        <v>50</v>
      </c>
      <c r="K9" s="411">
        <f t="shared" si="2"/>
        <v>1000</v>
      </c>
      <c r="M9" s="486">
        <v>20</v>
      </c>
      <c r="N9" s="365">
        <v>50</v>
      </c>
      <c r="O9" s="411">
        <f t="shared" si="3"/>
        <v>1000</v>
      </c>
      <c r="Q9" s="486">
        <v>26</v>
      </c>
      <c r="R9" s="365">
        <v>50</v>
      </c>
      <c r="S9" s="411">
        <f t="shared" si="4"/>
        <v>1300</v>
      </c>
      <c r="U9" s="2">
        <f t="shared" si="5"/>
        <v>66</v>
      </c>
      <c r="V9">
        <f t="shared" si="6"/>
        <v>3300</v>
      </c>
    </row>
    <row r="10" spans="1:22">
      <c r="A10" s="486">
        <v>3</v>
      </c>
      <c r="B10" s="365">
        <v>20</v>
      </c>
      <c r="C10" s="411">
        <f t="shared" si="0"/>
        <v>60</v>
      </c>
      <c r="E10" s="486"/>
      <c r="F10" s="365">
        <v>20</v>
      </c>
      <c r="G10" s="411">
        <f t="shared" si="1"/>
        <v>0</v>
      </c>
      <c r="I10" s="486"/>
      <c r="J10" s="365">
        <v>20</v>
      </c>
      <c r="K10" s="411">
        <f t="shared" si="2"/>
        <v>0</v>
      </c>
      <c r="M10" s="486"/>
      <c r="N10" s="365">
        <v>20</v>
      </c>
      <c r="O10" s="411">
        <f t="shared" si="3"/>
        <v>0</v>
      </c>
      <c r="Q10" s="486">
        <v>4</v>
      </c>
      <c r="R10" s="365">
        <v>20</v>
      </c>
      <c r="S10" s="411">
        <f t="shared" si="4"/>
        <v>80</v>
      </c>
      <c r="U10" s="2">
        <f t="shared" si="5"/>
        <v>4</v>
      </c>
      <c r="V10">
        <f t="shared" si="6"/>
        <v>80</v>
      </c>
    </row>
    <row r="11" spans="1:22">
      <c r="A11" s="486">
        <v>0.5</v>
      </c>
      <c r="B11" s="365">
        <v>10</v>
      </c>
      <c r="C11" s="411">
        <f t="shared" si="0"/>
        <v>5</v>
      </c>
      <c r="E11" s="486"/>
      <c r="F11" s="365">
        <v>10</v>
      </c>
      <c r="G11" s="411">
        <f t="shared" si="1"/>
        <v>0</v>
      </c>
      <c r="I11" s="486"/>
      <c r="J11" s="365">
        <v>10</v>
      </c>
      <c r="K11" s="411">
        <f t="shared" si="2"/>
        <v>0</v>
      </c>
      <c r="M11" s="486"/>
      <c r="N11" s="365">
        <v>10</v>
      </c>
      <c r="O11" s="411" t="e">
        <f>#REF!*N11</f>
        <v>#REF!</v>
      </c>
      <c r="Q11" s="486">
        <v>2</v>
      </c>
      <c r="R11" s="365">
        <v>10</v>
      </c>
      <c r="S11" s="411">
        <f t="shared" si="4"/>
        <v>20</v>
      </c>
      <c r="U11" s="2">
        <f t="shared" si="5"/>
        <v>2</v>
      </c>
      <c r="V11">
        <f t="shared" si="6"/>
        <v>20</v>
      </c>
    </row>
    <row r="12" spans="1:22" ht="15" thickBot="1">
      <c r="A12" s="487">
        <f>SUM(A7:A11)</f>
        <v>3.5</v>
      </c>
      <c r="B12" s="259">
        <f>SUMPRODUCT(A7:A11,B7:B11)</f>
        <v>65</v>
      </c>
      <c r="C12" s="414"/>
      <c r="E12" s="487">
        <f>SUM(E7:E11)</f>
        <v>0</v>
      </c>
      <c r="F12" s="259">
        <f>SUMPRODUCT(E7:E11,F7:F11)</f>
        <v>0</v>
      </c>
      <c r="G12" s="414"/>
      <c r="I12" s="487">
        <f>SUM(I7:I11)</f>
        <v>20</v>
      </c>
      <c r="J12" s="259">
        <f>SUMPRODUCT(I7:I11,J7:J11)</f>
        <v>1000</v>
      </c>
      <c r="K12" s="414"/>
      <c r="M12" s="487">
        <f>SUM(M7:M11)</f>
        <v>20</v>
      </c>
      <c r="N12" s="259">
        <f>SUMPRODUCT(M7:M11,N7:N11)</f>
        <v>1000</v>
      </c>
      <c r="O12" s="414"/>
      <c r="Q12" s="487">
        <f>SUM(Q7:Q11)</f>
        <v>32</v>
      </c>
      <c r="R12" s="259">
        <f>SUMPRODUCT(Q7:Q11,R7:R11)</f>
        <v>1400</v>
      </c>
      <c r="S12" s="414"/>
      <c r="U12" s="2">
        <f t="shared" si="5"/>
        <v>72</v>
      </c>
      <c r="V12">
        <f>SUM(V7:V11)</f>
        <v>3400</v>
      </c>
    </row>
    <row r="13" spans="1:22">
      <c r="F13" s="488">
        <v>2</v>
      </c>
      <c r="M13" s="191"/>
    </row>
    <row r="15" spans="1:22">
      <c r="J15">
        <f>I12+M12+Q12+E12</f>
        <v>72</v>
      </c>
      <c r="K15" t="s">
        <v>990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B1:AB287"/>
  <sheetViews>
    <sheetView zoomScale="85" zoomScaleNormal="85" workbookViewId="0">
      <selection activeCell="Q164" activeCellId="1" sqref="Q152 Q164"/>
    </sheetView>
  </sheetViews>
  <sheetFormatPr baseColWidth="10" defaultRowHeight="14.4" outlineLevelRow="1" outlineLevelCol="1"/>
  <cols>
    <col min="1" max="1" width="3.33203125" customWidth="1"/>
    <col min="2" max="2" width="8.33203125" hidden="1" customWidth="1" outlineLevel="1"/>
    <col min="3" max="3" width="20.109375" hidden="1" customWidth="1" outlineLevel="1"/>
    <col min="4" max="6" width="8.33203125" hidden="1" customWidth="1" outlineLevel="1"/>
    <col min="7" max="7" width="6.33203125" customWidth="1" collapsed="1"/>
    <col min="8" max="8" width="6.33203125" customWidth="1"/>
    <col min="11" max="11" width="10.33203125" customWidth="1"/>
    <col min="13" max="13" width="9.5546875" customWidth="1"/>
    <col min="14" max="14" width="8.33203125" customWidth="1"/>
    <col min="15" max="15" width="9.33203125" bestFit="1" customWidth="1"/>
    <col min="16" max="16" width="11.6640625" customWidth="1"/>
    <col min="17" max="17" width="9.109375" customWidth="1"/>
    <col min="18" max="18" width="8.44140625" customWidth="1"/>
    <col min="19" max="19" width="10.6640625" style="2" customWidth="1"/>
    <col min="20" max="20" width="8" style="2" customWidth="1"/>
    <col min="21" max="21" width="10.44140625" style="2" customWidth="1"/>
    <col min="22" max="22" width="10" style="2" customWidth="1"/>
    <col min="23" max="23" width="10.33203125" style="2" customWidth="1"/>
  </cols>
  <sheetData>
    <row r="1" spans="4:24">
      <c r="U1" s="4"/>
      <c r="V1"/>
      <c r="W1"/>
      <c r="X1" s="2"/>
    </row>
    <row r="2" spans="4:24">
      <c r="D2" s="4" t="s">
        <v>697</v>
      </c>
      <c r="M2" s="2" t="s">
        <v>725</v>
      </c>
      <c r="T2" s="4" t="s">
        <v>777</v>
      </c>
      <c r="U2" s="4" t="s">
        <v>743</v>
      </c>
      <c r="V2"/>
    </row>
    <row r="3" spans="4:24">
      <c r="I3" s="4" t="s">
        <v>11</v>
      </c>
      <c r="J3" s="4" t="s">
        <v>10</v>
      </c>
      <c r="K3" s="4" t="s">
        <v>759</v>
      </c>
      <c r="L3" s="4" t="s">
        <v>760</v>
      </c>
      <c r="M3" s="2" t="s">
        <v>687</v>
      </c>
      <c r="N3" s="4"/>
      <c r="O3" s="4" t="s">
        <v>66</v>
      </c>
      <c r="S3" s="418" t="s">
        <v>704</v>
      </c>
      <c r="T3" s="2">
        <v>3400</v>
      </c>
      <c r="U3" s="2">
        <v>65</v>
      </c>
      <c r="V3"/>
      <c r="W3" s="419">
        <f>SUM(T3:V3)</f>
        <v>3465</v>
      </c>
    </row>
    <row r="4" spans="4:24">
      <c r="I4" s="5">
        <v>45084</v>
      </c>
      <c r="J4" s="30" t="s">
        <v>309</v>
      </c>
      <c r="K4" s="7">
        <v>950</v>
      </c>
      <c r="L4" s="7"/>
      <c r="M4" s="7"/>
      <c r="N4" s="109">
        <f t="shared" ref="N4:N16" si="0">SUM(K4:M4)</f>
        <v>950</v>
      </c>
      <c r="O4" s="326">
        <v>25.05</v>
      </c>
      <c r="P4" s="29">
        <f>N4*O4</f>
        <v>23797.5</v>
      </c>
      <c r="Q4">
        <v>25.05</v>
      </c>
      <c r="S4" s="418" t="s">
        <v>775</v>
      </c>
      <c r="U4" s="24"/>
      <c r="W4" s="419">
        <f>SUM(T4:V4)</f>
        <v>0</v>
      </c>
    </row>
    <row r="5" spans="4:24">
      <c r="I5" s="5">
        <v>45090</v>
      </c>
      <c r="J5" s="30" t="s">
        <v>1038</v>
      </c>
      <c r="K5" s="7">
        <v>1000</v>
      </c>
      <c r="L5" s="7"/>
      <c r="M5" s="133"/>
      <c r="N5" s="109">
        <f t="shared" si="0"/>
        <v>1000</v>
      </c>
      <c r="O5" s="326">
        <v>25.25</v>
      </c>
      <c r="P5" s="29">
        <f t="shared" ref="P5:P17" si="1">N5*O5</f>
        <v>25250</v>
      </c>
      <c r="Q5" s="9">
        <v>25.25</v>
      </c>
      <c r="S5" s="4" t="s">
        <v>762</v>
      </c>
      <c r="T5" s="4">
        <f>SUM(T3:T4)</f>
        <v>3400</v>
      </c>
      <c r="U5" s="4">
        <f>SUM(U3:U4)</f>
        <v>65</v>
      </c>
      <c r="V5" s="4"/>
      <c r="W5" s="161">
        <f>SUM(W3:W4)</f>
        <v>3465</v>
      </c>
    </row>
    <row r="6" spans="4:24">
      <c r="I6" s="5">
        <v>45113</v>
      </c>
      <c r="J6" s="30" t="s">
        <v>1038</v>
      </c>
      <c r="K6" s="7">
        <v>400</v>
      </c>
      <c r="L6" s="7"/>
      <c r="M6" s="7"/>
      <c r="N6" s="109">
        <f t="shared" si="0"/>
        <v>400</v>
      </c>
      <c r="O6" s="31">
        <v>25.6</v>
      </c>
      <c r="P6" s="29">
        <f t="shared" si="1"/>
        <v>10240</v>
      </c>
      <c r="Q6" s="9"/>
      <c r="S6" s="409" t="s">
        <v>571</v>
      </c>
      <c r="T6" s="24">
        <f>-K22</f>
        <v>-3250</v>
      </c>
      <c r="U6" s="24">
        <f>-L22</f>
        <v>0</v>
      </c>
      <c r="W6" s="161">
        <f>SUM(T6:V6)</f>
        <v>-3250</v>
      </c>
    </row>
    <row r="7" spans="4:24">
      <c r="I7" s="5">
        <v>45114</v>
      </c>
      <c r="J7" s="30" t="s">
        <v>1038</v>
      </c>
      <c r="K7" s="7">
        <v>900</v>
      </c>
      <c r="L7" s="7"/>
      <c r="M7" s="133"/>
      <c r="N7" s="109">
        <f t="shared" si="0"/>
        <v>900</v>
      </c>
      <c r="O7" s="31">
        <v>25.7</v>
      </c>
      <c r="P7" s="29">
        <f t="shared" si="1"/>
        <v>23130</v>
      </c>
      <c r="S7" s="409" t="s">
        <v>705</v>
      </c>
      <c r="T7" s="24">
        <f>SUM(T5:T6)</f>
        <v>150</v>
      </c>
      <c r="U7" s="24">
        <f>SUM(U5:U6)</f>
        <v>65</v>
      </c>
      <c r="W7" s="161">
        <f>SUM(T7:V7)</f>
        <v>215</v>
      </c>
    </row>
    <row r="8" spans="4:24" hidden="1" outlineLevel="1">
      <c r="I8" s="5"/>
      <c r="J8" s="30"/>
      <c r="K8" s="7"/>
      <c r="L8" s="7"/>
      <c r="M8" s="133"/>
      <c r="N8" s="109">
        <f t="shared" si="0"/>
        <v>0</v>
      </c>
      <c r="O8" s="31"/>
      <c r="P8" s="29">
        <f t="shared" si="1"/>
        <v>0</v>
      </c>
      <c r="S8"/>
      <c r="T8" s="9"/>
      <c r="U8"/>
      <c r="V8"/>
      <c r="W8"/>
    </row>
    <row r="9" spans="4:24" hidden="1" outlineLevel="1">
      <c r="I9" s="5"/>
      <c r="J9" s="30"/>
      <c r="K9" s="7"/>
      <c r="L9" s="7"/>
      <c r="M9" s="133"/>
      <c r="N9" s="109">
        <f t="shared" si="0"/>
        <v>0</v>
      </c>
      <c r="O9" s="31"/>
      <c r="P9" s="29">
        <f t="shared" si="1"/>
        <v>0</v>
      </c>
      <c r="S9"/>
      <c r="T9"/>
      <c r="U9"/>
      <c r="V9"/>
      <c r="W9"/>
    </row>
    <row r="10" spans="4:24" hidden="1" outlineLevel="1">
      <c r="I10" s="5"/>
      <c r="J10" s="30"/>
      <c r="K10" s="7"/>
      <c r="L10" s="7"/>
      <c r="M10" s="133"/>
      <c r="N10" s="109">
        <f t="shared" si="0"/>
        <v>0</v>
      </c>
      <c r="O10" s="31"/>
      <c r="P10" s="399">
        <f t="shared" si="1"/>
        <v>0</v>
      </c>
      <c r="T10"/>
      <c r="U10"/>
      <c r="V10"/>
      <c r="W10"/>
    </row>
    <row r="11" spans="4:24" hidden="1" outlineLevel="1">
      <c r="I11" s="5"/>
      <c r="J11" s="30"/>
      <c r="K11" s="7"/>
      <c r="L11" s="7"/>
      <c r="M11" s="133"/>
      <c r="N11" s="109">
        <f t="shared" si="0"/>
        <v>0</v>
      </c>
      <c r="O11" s="31"/>
      <c r="P11" s="400">
        <f t="shared" si="1"/>
        <v>0</v>
      </c>
      <c r="T11"/>
      <c r="U11"/>
      <c r="V11"/>
      <c r="W11"/>
    </row>
    <row r="12" spans="4:24" hidden="1" outlineLevel="1">
      <c r="I12" s="5"/>
      <c r="J12" s="30"/>
      <c r="K12" s="416"/>
      <c r="L12" s="7"/>
      <c r="M12" s="133"/>
      <c r="N12" s="109">
        <f t="shared" si="0"/>
        <v>0</v>
      </c>
      <c r="O12" s="31"/>
      <c r="P12" s="400">
        <f t="shared" si="1"/>
        <v>0</v>
      </c>
      <c r="T12"/>
      <c r="U12"/>
      <c r="V12"/>
      <c r="W12"/>
    </row>
    <row r="13" spans="4:24" hidden="1" outlineLevel="1">
      <c r="I13" s="5"/>
      <c r="J13" s="30"/>
      <c r="K13" s="7"/>
      <c r="L13" s="427"/>
      <c r="M13" s="133"/>
      <c r="N13" s="109">
        <f t="shared" si="0"/>
        <v>0</v>
      </c>
      <c r="O13" s="31"/>
      <c r="P13" s="400">
        <f t="shared" si="1"/>
        <v>0</v>
      </c>
      <c r="T13"/>
      <c r="U13"/>
      <c r="V13"/>
      <c r="W13"/>
    </row>
    <row r="14" spans="4:24" hidden="1" outlineLevel="1">
      <c r="I14" s="5"/>
      <c r="J14" s="30"/>
      <c r="K14" s="7"/>
      <c r="L14" s="427"/>
      <c r="M14" s="133"/>
      <c r="N14" s="109">
        <f t="shared" si="0"/>
        <v>0</v>
      </c>
      <c r="O14" s="31"/>
      <c r="P14" s="400">
        <f t="shared" si="1"/>
        <v>0</v>
      </c>
      <c r="T14"/>
      <c r="U14"/>
      <c r="V14"/>
      <c r="W14"/>
    </row>
    <row r="15" spans="4:24" hidden="1" outlineLevel="1">
      <c r="I15" s="5"/>
      <c r="J15" s="30"/>
      <c r="K15" s="7"/>
      <c r="L15" s="7"/>
      <c r="M15" s="437"/>
      <c r="N15" s="109">
        <f t="shared" si="0"/>
        <v>0</v>
      </c>
      <c r="O15" s="31"/>
      <c r="P15" s="400">
        <f t="shared" si="1"/>
        <v>0</v>
      </c>
      <c r="S15"/>
      <c r="T15"/>
      <c r="U15"/>
      <c r="V15"/>
      <c r="W15"/>
    </row>
    <row r="16" spans="4:24" hidden="1" outlineLevel="1">
      <c r="I16" s="5"/>
      <c r="J16" s="30"/>
      <c r="K16" s="7"/>
      <c r="L16" s="7"/>
      <c r="M16" s="133"/>
      <c r="N16" s="109">
        <f t="shared" si="0"/>
        <v>0</v>
      </c>
      <c r="O16" s="31"/>
      <c r="P16" s="400">
        <f t="shared" si="1"/>
        <v>0</v>
      </c>
      <c r="S16"/>
      <c r="T16"/>
      <c r="U16"/>
      <c r="V16"/>
      <c r="W16"/>
    </row>
    <row r="17" spans="9:28" hidden="1" outlineLevel="1">
      <c r="I17" s="5"/>
      <c r="J17" s="30"/>
      <c r="K17" s="7"/>
      <c r="L17" s="7"/>
      <c r="M17" s="133"/>
      <c r="N17" s="109">
        <f>SUM(K17:M17)</f>
        <v>0</v>
      </c>
      <c r="O17" s="31"/>
      <c r="P17" s="400">
        <f t="shared" si="1"/>
        <v>0</v>
      </c>
      <c r="S17"/>
      <c r="T17"/>
      <c r="U17"/>
      <c r="V17"/>
      <c r="W17"/>
    </row>
    <row r="18" spans="9:28" hidden="1" outlineLevel="1">
      <c r="I18" s="5"/>
      <c r="J18" s="30"/>
      <c r="K18" s="7"/>
      <c r="L18" s="7"/>
      <c r="M18" s="133"/>
      <c r="N18" s="109">
        <f>SUM(K18:M18)</f>
        <v>0</v>
      </c>
      <c r="O18" s="31"/>
      <c r="P18" s="400">
        <f>N18*O18</f>
        <v>0</v>
      </c>
      <c r="S18"/>
      <c r="T18"/>
      <c r="U18"/>
      <c r="V18"/>
      <c r="W18"/>
    </row>
    <row r="19" spans="9:28" hidden="1" outlineLevel="1">
      <c r="I19" s="5"/>
      <c r="J19" s="30"/>
      <c r="K19" s="7"/>
      <c r="L19" s="7"/>
      <c r="M19" s="133"/>
      <c r="N19" s="109">
        <f>SUM(K19:M19)</f>
        <v>0</v>
      </c>
      <c r="O19" s="31"/>
      <c r="P19" s="400">
        <f>N19*O19</f>
        <v>0</v>
      </c>
      <c r="S19"/>
    </row>
    <row r="20" spans="9:28" hidden="1" outlineLevel="1">
      <c r="J20" s="30"/>
      <c r="K20" s="7"/>
      <c r="L20" s="7"/>
      <c r="M20" s="133"/>
      <c r="N20" s="109">
        <f>SUM(K20:M20)</f>
        <v>0</v>
      </c>
      <c r="O20" s="31"/>
      <c r="P20" s="400">
        <f>N20*O20</f>
        <v>0</v>
      </c>
      <c r="S20"/>
    </row>
    <row r="21" spans="9:28" collapsed="1">
      <c r="J21" s="30"/>
      <c r="K21" s="7"/>
      <c r="L21" s="7"/>
      <c r="M21" s="133"/>
      <c r="N21" s="109">
        <f>SUM(K21:M21)</f>
        <v>0</v>
      </c>
      <c r="O21" s="31"/>
      <c r="P21" s="400">
        <f>N21*O21</f>
        <v>0</v>
      </c>
      <c r="S21"/>
    </row>
    <row r="22" spans="9:28" ht="15" thickBot="1">
      <c r="I22" s="8" t="s">
        <v>14</v>
      </c>
      <c r="J22" t="s">
        <v>591</v>
      </c>
      <c r="K22" s="214">
        <f>SUM(K4:K21)</f>
        <v>3250</v>
      </c>
      <c r="L22" s="214">
        <f>SUM(L4:L21)</f>
        <v>0</v>
      </c>
      <c r="M22" s="347">
        <f>SUM(M4:M21)</f>
        <v>0</v>
      </c>
      <c r="N22" s="214">
        <f>SUM(N4:N21)</f>
        <v>3250</v>
      </c>
      <c r="O22" s="32">
        <f>SUMPRODUCT(N4:N21,O4:O21)/N22</f>
        <v>25.35923076923077</v>
      </c>
      <c r="P22" s="29">
        <f>SUM(P4:P21)</f>
        <v>82417.5</v>
      </c>
      <c r="S22" s="365"/>
      <c r="T22" s="422"/>
      <c r="U22" s="365"/>
      <c r="V22" s="365"/>
      <c r="W22" s="365"/>
      <c r="X22" s="365"/>
    </row>
    <row r="23" spans="9:28" ht="15" thickBot="1">
      <c r="J23" s="8"/>
      <c r="L23" s="25"/>
      <c r="M23" s="25"/>
      <c r="N23" s="25"/>
      <c r="O23" s="216">
        <f>O22</f>
        <v>25.35923076923077</v>
      </c>
      <c r="P23" s="429" t="e">
        <f>P22/#REF!</f>
        <v>#REF!</v>
      </c>
      <c r="S23" s="365"/>
      <c r="T23" s="422"/>
      <c r="U23" s="365"/>
      <c r="V23" s="365"/>
      <c r="W23" s="365"/>
      <c r="X23" s="365"/>
    </row>
    <row r="24" spans="9:28">
      <c r="J24" s="2"/>
      <c r="O24" s="22" t="e">
        <f>#REF!</f>
        <v>#REF!</v>
      </c>
      <c r="S24" s="365"/>
      <c r="T24" s="422"/>
      <c r="U24" s="365"/>
      <c r="V24" s="365"/>
      <c r="W24" s="365"/>
      <c r="X24" s="365"/>
    </row>
    <row r="25" spans="9:28">
      <c r="J25" s="2"/>
      <c r="O25" s="22"/>
      <c r="S25" s="365"/>
      <c r="T25" s="422"/>
      <c r="U25" s="365"/>
      <c r="V25" s="365"/>
      <c r="W25" s="365"/>
      <c r="X25" s="365"/>
    </row>
    <row r="26" spans="9:28">
      <c r="J26" s="2"/>
      <c r="O26" s="22"/>
      <c r="S26" s="365"/>
      <c r="T26" s="422"/>
      <c r="U26" s="365"/>
      <c r="V26" s="365"/>
      <c r="W26" s="365"/>
      <c r="X26" s="365"/>
    </row>
    <row r="27" spans="9:28" hidden="1" outlineLevel="1">
      <c r="T27" s="408"/>
    </row>
    <row r="28" spans="9:28" hidden="1" outlineLevel="1"/>
    <row r="29" spans="9:28" hidden="1" outlineLevel="1">
      <c r="J29" s="332" t="s">
        <v>991</v>
      </c>
      <c r="K29" s="188"/>
      <c r="L29" s="188"/>
      <c r="M29" s="188"/>
      <c r="N29" s="188"/>
      <c r="O29" s="188"/>
      <c r="P29" s="188"/>
      <c r="Q29" s="188"/>
      <c r="R29" s="188" t="s">
        <v>578</v>
      </c>
      <c r="S29" s="293"/>
      <c r="T29" s="293"/>
      <c r="U29" s="293"/>
      <c r="V29" s="293"/>
      <c r="W29" s="293"/>
      <c r="X29" s="188" t="s">
        <v>75</v>
      </c>
      <c r="Y29" s="188"/>
      <c r="Z29" s="189"/>
    </row>
    <row r="30" spans="9:28" hidden="1" outlineLevel="1">
      <c r="J30" s="67"/>
      <c r="K30" t="s">
        <v>565</v>
      </c>
      <c r="L30" s="2"/>
      <c r="M30" s="2"/>
      <c r="N30" s="2"/>
      <c r="O30" s="2"/>
      <c r="P30" s="2"/>
      <c r="S30" s="2" t="s">
        <v>762</v>
      </c>
      <c r="T30" s="161">
        <f>Q36+T34</f>
        <v>3465</v>
      </c>
      <c r="U30" s="215">
        <f>T30-X30</f>
        <v>0</v>
      </c>
      <c r="W30" s="2" t="s">
        <v>565</v>
      </c>
      <c r="X30" s="215">
        <f>W$5+$M$22+L$22</f>
        <v>3465</v>
      </c>
      <c r="Y30" s="4" t="str">
        <f>IF(X31=Z31,"OK","attention")</f>
        <v>attention</v>
      </c>
      <c r="Z30" s="68"/>
      <c r="AB30">
        <v>0</v>
      </c>
    </row>
    <row r="31" spans="9:28" hidden="1" outlineLevel="1">
      <c r="J31" s="67"/>
      <c r="K31" s="2" t="s">
        <v>76</v>
      </c>
      <c r="L31" s="4">
        <v>200</v>
      </c>
      <c r="M31" s="2"/>
      <c r="N31" s="2"/>
      <c r="O31" s="2"/>
      <c r="P31" s="2"/>
      <c r="W31" s="2" t="s">
        <v>563</v>
      </c>
      <c r="X31" s="353">
        <f>Z34</f>
        <v>-117.34047101850743</v>
      </c>
      <c r="Y31" s="142" t="e">
        <f>+X31-#REF!</f>
        <v>#REF!</v>
      </c>
      <c r="Z31" s="350">
        <f>-VietnamIX!$BE$40</f>
        <v>-3206.3269963609514</v>
      </c>
    </row>
    <row r="32" spans="9:28" hidden="1" outlineLevel="1">
      <c r="J32" s="67"/>
      <c r="K32" s="2" t="s">
        <v>76</v>
      </c>
      <c r="L32" s="4">
        <v>100</v>
      </c>
      <c r="M32" s="2"/>
      <c r="N32" s="2"/>
      <c r="O32" s="2"/>
      <c r="P32" s="2"/>
      <c r="W32" s="4" t="s">
        <v>839</v>
      </c>
      <c r="X32" s="142">
        <f>SUM(X30:X31)</f>
        <v>3347.6595289814927</v>
      </c>
      <c r="Z32" s="350">
        <f>VietnamIX!$BD$40</f>
        <v>80909.290322580637</v>
      </c>
      <c r="AB32">
        <f>26*25</f>
        <v>650</v>
      </c>
    </row>
    <row r="33" spans="10:28" ht="15.6" hidden="1" outlineLevel="1">
      <c r="J33" s="67"/>
      <c r="K33" s="2" t="s">
        <v>76</v>
      </c>
      <c r="L33" s="4">
        <v>50</v>
      </c>
      <c r="M33" s="2">
        <v>20</v>
      </c>
      <c r="N33" s="365">
        <v>26</v>
      </c>
      <c r="O33" s="489">
        <v>1</v>
      </c>
      <c r="P33" s="2"/>
      <c r="Q33" s="4">
        <f>SUM(M33:P33)</f>
        <v>47</v>
      </c>
      <c r="X33" s="2"/>
      <c r="Z33" s="68"/>
      <c r="AB33">
        <v>-430</v>
      </c>
    </row>
    <row r="34" spans="10:28" hidden="1" outlineLevel="1">
      <c r="J34" s="67"/>
      <c r="K34" s="2" t="s">
        <v>76</v>
      </c>
      <c r="L34" s="4">
        <v>20</v>
      </c>
      <c r="M34" s="2"/>
      <c r="N34" s="365">
        <v>4</v>
      </c>
      <c r="O34" s="2"/>
      <c r="P34" s="2">
        <v>3</v>
      </c>
      <c r="Q34" s="4">
        <f>SUM(M34:P34)</f>
        <v>7</v>
      </c>
      <c r="S34" s="350">
        <f>+$N$22</f>
        <v>3250</v>
      </c>
      <c r="T34" s="353">
        <v>950</v>
      </c>
      <c r="X34" s="2"/>
      <c r="Z34" s="351">
        <v>-117.34047101850743</v>
      </c>
    </row>
    <row r="35" spans="10:28" hidden="1" outlineLevel="1">
      <c r="J35" s="67"/>
      <c r="K35" s="2" t="s">
        <v>76</v>
      </c>
      <c r="L35" s="4">
        <v>10</v>
      </c>
      <c r="M35" s="2"/>
      <c r="N35" s="365">
        <v>2</v>
      </c>
      <c r="O35" s="2"/>
      <c r="P35" s="2">
        <v>0.5</v>
      </c>
      <c r="Q35" s="4">
        <f>SUM(M35:P35)</f>
        <v>2.5</v>
      </c>
      <c r="W35" s="2" t="s">
        <v>75</v>
      </c>
      <c r="X35" s="2">
        <f>Q36</f>
        <v>2515</v>
      </c>
      <c r="Z35" s="351">
        <v>2961</v>
      </c>
    </row>
    <row r="36" spans="10:28" hidden="1" outlineLevel="1">
      <c r="J36" s="67"/>
      <c r="K36" s="4" t="s">
        <v>75</v>
      </c>
      <c r="M36" s="2">
        <f>SUMPRODUCT($L31:$L35,M31:M35)</f>
        <v>1000</v>
      </c>
      <c r="N36" s="2">
        <f>SUMPRODUCT($L31:$L35,N31:N35)</f>
        <v>1400</v>
      </c>
      <c r="O36" s="191">
        <f>SUMPRODUCT($L31:$L35,O31:O35)</f>
        <v>50</v>
      </c>
      <c r="P36" s="2">
        <f>SUMPRODUCT($L31:$L35,P31:P35)</f>
        <v>65</v>
      </c>
      <c r="Q36" s="4">
        <f>SUM(M36:P36)</f>
        <v>2515</v>
      </c>
      <c r="W36" s="2" t="s">
        <v>77</v>
      </c>
      <c r="X36" s="14">
        <f>+Q47/$O$22</f>
        <v>822.06752206752208</v>
      </c>
      <c r="Z36" s="68"/>
      <c r="AA36" s="121" t="s">
        <v>11</v>
      </c>
      <c r="AB36" s="240">
        <v>950</v>
      </c>
    </row>
    <row r="37" spans="10:28" hidden="1" outlineLevel="1">
      <c r="J37" s="67"/>
      <c r="M37" s="2"/>
      <c r="N37" s="2"/>
      <c r="O37" s="2"/>
      <c r="P37" s="2"/>
      <c r="W37" s="4" t="s">
        <v>838</v>
      </c>
      <c r="X37" s="14">
        <f>SUM(X35:X36)</f>
        <v>3337.0675220675221</v>
      </c>
      <c r="Z37" s="68"/>
      <c r="AA37" s="299" t="s">
        <v>587</v>
      </c>
      <c r="AB37" s="4">
        <v>950</v>
      </c>
    </row>
    <row r="38" spans="10:28" hidden="1" outlineLevel="1">
      <c r="J38" s="67"/>
      <c r="K38" s="2" t="s">
        <v>76</v>
      </c>
      <c r="L38" s="4">
        <v>500</v>
      </c>
      <c r="M38" s="2"/>
      <c r="N38" s="2"/>
      <c r="O38" s="2"/>
      <c r="P38" s="2"/>
      <c r="Q38" s="4">
        <f t="shared" ref="Q38:Q43" si="2">SUM(M38:P38)</f>
        <v>0</v>
      </c>
      <c r="S38" s="2" t="s">
        <v>571</v>
      </c>
      <c r="T38" s="4">
        <f>SUM(T32:T37)</f>
        <v>950</v>
      </c>
      <c r="U38" s="4" t="s">
        <v>17</v>
      </c>
      <c r="X38" s="2"/>
      <c r="Z38" s="68"/>
      <c r="AA38" s="92"/>
      <c r="AB38" s="297">
        <f>+AB37+Q36</f>
        <v>3465</v>
      </c>
    </row>
    <row r="39" spans="10:28" hidden="1" outlineLevel="1">
      <c r="J39" s="67"/>
      <c r="K39" s="2" t="s">
        <v>76</v>
      </c>
      <c r="L39" s="4">
        <v>500</v>
      </c>
      <c r="M39" s="2">
        <v>20</v>
      </c>
      <c r="N39" s="2">
        <v>20</v>
      </c>
      <c r="O39" s="2"/>
      <c r="P39" s="2">
        <v>1</v>
      </c>
      <c r="Q39" s="4">
        <f t="shared" si="2"/>
        <v>41</v>
      </c>
      <c r="T39" s="4">
        <f>+T38*'cash IX'!$O$22</f>
        <v>24091.26923076923</v>
      </c>
      <c r="U39" s="4" t="s">
        <v>135</v>
      </c>
      <c r="X39" s="2"/>
      <c r="Z39" s="68"/>
    </row>
    <row r="40" spans="10:28" hidden="1" outlineLevel="1">
      <c r="J40" s="67"/>
      <c r="K40" s="2" t="s">
        <v>76</v>
      </c>
      <c r="L40" s="4">
        <v>200</v>
      </c>
      <c r="M40" s="2"/>
      <c r="N40" s="2"/>
      <c r="O40" s="2"/>
      <c r="P40" s="2">
        <v>1</v>
      </c>
      <c r="Q40" s="4">
        <f t="shared" si="2"/>
        <v>1</v>
      </c>
      <c r="W40" s="2" t="s">
        <v>584</v>
      </c>
      <c r="X40" s="203">
        <f>+X37-X32</f>
        <v>-10.592006913970636</v>
      </c>
      <c r="Z40" s="68"/>
    </row>
    <row r="41" spans="10:28" hidden="1" outlineLevel="1">
      <c r="J41" s="67"/>
      <c r="K41" s="2" t="s">
        <v>76</v>
      </c>
      <c r="L41" s="4">
        <v>100</v>
      </c>
      <c r="M41" s="2"/>
      <c r="N41" s="2"/>
      <c r="O41" s="2"/>
      <c r="P41" s="2">
        <v>1</v>
      </c>
      <c r="Q41" s="4">
        <f t="shared" si="2"/>
        <v>1</v>
      </c>
      <c r="S41" s="2" t="s">
        <v>842</v>
      </c>
      <c r="T41" s="28">
        <f>T30-T34</f>
        <v>2515</v>
      </c>
      <c r="Z41" s="68"/>
    </row>
    <row r="42" spans="10:28" hidden="1" outlineLevel="1">
      <c r="J42" s="67"/>
      <c r="K42" s="2" t="s">
        <v>76</v>
      </c>
      <c r="L42" s="4">
        <v>50</v>
      </c>
      <c r="M42" s="2"/>
      <c r="N42" s="2"/>
      <c r="O42" s="2"/>
      <c r="P42" s="2"/>
      <c r="Q42" s="4">
        <f t="shared" si="2"/>
        <v>0</v>
      </c>
      <c r="Y42" s="2"/>
      <c r="Z42" s="68"/>
      <c r="AB42" t="s">
        <v>784</v>
      </c>
    </row>
    <row r="43" spans="10:28" hidden="1" outlineLevel="1">
      <c r="J43" s="67"/>
      <c r="K43" s="2" t="s">
        <v>76</v>
      </c>
      <c r="L43" s="4">
        <v>20</v>
      </c>
      <c r="M43" s="2"/>
      <c r="N43" s="2"/>
      <c r="O43" s="2"/>
      <c r="P43" s="2"/>
      <c r="Q43" s="4">
        <f t="shared" si="2"/>
        <v>0</v>
      </c>
      <c r="X43" s="2"/>
      <c r="Y43" s="2"/>
      <c r="Z43" s="125"/>
      <c r="AB43" t="s">
        <v>785</v>
      </c>
    </row>
    <row r="44" spans="10:28" hidden="1" outlineLevel="1">
      <c r="J44" s="67"/>
      <c r="K44" s="2" t="s">
        <v>76</v>
      </c>
      <c r="L44" s="4">
        <v>10</v>
      </c>
      <c r="M44" s="2"/>
      <c r="N44" s="2"/>
      <c r="O44" s="2"/>
      <c r="P44" s="2">
        <v>3</v>
      </c>
      <c r="Q44" s="4">
        <v>0</v>
      </c>
      <c r="X44" s="4" t="s">
        <v>75</v>
      </c>
      <c r="Y44" s="4" t="s">
        <v>77</v>
      </c>
      <c r="Z44" s="126" t="s">
        <v>590</v>
      </c>
    </row>
    <row r="45" spans="10:28" hidden="1" outlineLevel="1">
      <c r="J45" s="67"/>
      <c r="K45" s="2" t="s">
        <v>76</v>
      </c>
      <c r="L45" s="4">
        <v>5</v>
      </c>
      <c r="M45" s="2"/>
      <c r="N45" s="2"/>
      <c r="O45" s="2"/>
      <c r="P45" s="2">
        <v>3</v>
      </c>
      <c r="Q45" s="4">
        <f>SUM(M45:P45)</f>
        <v>3</v>
      </c>
      <c r="V45" s="2" t="s">
        <v>588</v>
      </c>
      <c r="W45" s="2" t="s">
        <v>9</v>
      </c>
      <c r="X45" s="142">
        <f>+Q36</f>
        <v>2515</v>
      </c>
      <c r="Y45" s="142">
        <f>+Q36*'cash IX'!$O$22</f>
        <v>63778.465384615389</v>
      </c>
      <c r="Z45" s="235">
        <f>+Y45/'cash IX'!$O$22</f>
        <v>2515</v>
      </c>
    </row>
    <row r="46" spans="10:28" hidden="1" outlineLevel="1">
      <c r="J46" s="67"/>
      <c r="K46" s="2" t="s">
        <v>76</v>
      </c>
      <c r="L46" s="4">
        <v>2</v>
      </c>
      <c r="M46" s="2"/>
      <c r="N46" s="2"/>
      <c r="O46" s="2"/>
      <c r="P46" s="2">
        <v>1</v>
      </c>
      <c r="Q46" s="4">
        <f>SUM(M46:P46)</f>
        <v>1</v>
      </c>
      <c r="V46" s="2" t="s">
        <v>588</v>
      </c>
      <c r="W46" s="2" t="s">
        <v>135</v>
      </c>
      <c r="X46" s="142">
        <f>+Q47/'cash IX'!$O$22</f>
        <v>822.06752206752208</v>
      </c>
      <c r="Y46" s="142">
        <f>+Q47</f>
        <v>20847</v>
      </c>
      <c r="Z46" s="235">
        <f>+Y46/'cash IX'!$O$22</f>
        <v>822.06752206752208</v>
      </c>
    </row>
    <row r="47" spans="10:28" hidden="1" outlineLevel="1">
      <c r="J47" s="67"/>
      <c r="K47" s="4" t="s">
        <v>77</v>
      </c>
      <c r="M47" s="2">
        <f>SUMPRODUCT($L38:$L46,M38:M46)</f>
        <v>10000</v>
      </c>
      <c r="N47" s="2">
        <f>SUMPRODUCT($L38:$L46,N38:N46)</f>
        <v>10000</v>
      </c>
      <c r="O47" s="2">
        <f>SUMPRODUCT($L38:$L46,O38:O46)</f>
        <v>0</v>
      </c>
      <c r="P47" s="2">
        <f>SUMPRODUCT($L38:$L46,P38:P46)</f>
        <v>847</v>
      </c>
      <c r="Q47" s="4">
        <f>SUM(M47:P47)</f>
        <v>20847</v>
      </c>
      <c r="V47" s="2" t="s">
        <v>589</v>
      </c>
      <c r="W47" s="2" t="s">
        <v>135</v>
      </c>
      <c r="X47" s="142">
        <f>-X31</f>
        <v>117.34047101850743</v>
      </c>
      <c r="Y47" s="142">
        <f>+Q49</f>
        <v>2961</v>
      </c>
      <c r="Z47" s="235">
        <f>+Y47/'cash IX'!$O$22</f>
        <v>116.76221676221675</v>
      </c>
    </row>
    <row r="48" spans="10:28" hidden="1" outlineLevel="1">
      <c r="J48" s="67"/>
      <c r="Q48" s="311">
        <f>Q47/'cash IX'!$O$22</f>
        <v>822.06752206752208</v>
      </c>
      <c r="V48" s="2" t="s">
        <v>780</v>
      </c>
      <c r="X48" s="142">
        <f>SUM(X45:X47)</f>
        <v>3454.4079930860294</v>
      </c>
      <c r="Y48" s="142">
        <f>SUM(Y45:Y47)</f>
        <v>87586.465384615381</v>
      </c>
      <c r="Z48" s="235">
        <f>SUM(Z45:Z47)</f>
        <v>3453.8297388297387</v>
      </c>
    </row>
    <row r="49" spans="10:28" hidden="1" outlineLevel="1">
      <c r="J49" s="67"/>
      <c r="N49" t="s">
        <v>563</v>
      </c>
      <c r="P49" s="4" t="str">
        <f>IF(Q49=Z32,"OK","attention")</f>
        <v>attention</v>
      </c>
      <c r="Q49" s="352">
        <f>Z35</f>
        <v>2961</v>
      </c>
      <c r="R49" s="296" t="str">
        <f>+J29</f>
        <v>au 7/6/2023</v>
      </c>
      <c r="X49" s="142"/>
      <c r="Y49" s="142">
        <f>+Y48/'cash IX'!$O$22</f>
        <v>3453.8297388297387</v>
      </c>
      <c r="Z49" s="302"/>
    </row>
    <row r="50" spans="10:28" ht="15" hidden="1" outlineLevel="1" thickBot="1">
      <c r="J50" s="67"/>
      <c r="Q50" s="417">
        <f>Q49/'cash IX'!$O$22</f>
        <v>116.76221676221675</v>
      </c>
      <c r="Y50" s="142"/>
      <c r="Z50" s="302"/>
    </row>
    <row r="51" spans="10:28" ht="15" hidden="1" outlineLevel="1" thickBot="1">
      <c r="J51" s="67"/>
      <c r="N51" s="9" t="s">
        <v>778</v>
      </c>
      <c r="Q51" s="322">
        <f>+Q47+Q49</f>
        <v>23808</v>
      </c>
      <c r="S51" s="349">
        <f>+Q51-T39</f>
        <v>-283.26923076923049</v>
      </c>
      <c r="V51" s="2" t="s">
        <v>608</v>
      </c>
      <c r="W51" s="27">
        <f>Q36*'cash IX'!$O$22+'cash IX'!Q47</f>
        <v>84625.465384615381</v>
      </c>
      <c r="X51" s="6">
        <f>+W51/'cash IX'!$O$22</f>
        <v>3337.0675220675221</v>
      </c>
      <c r="Y51" s="142" t="e">
        <f>X51-#REF!</f>
        <v>#REF!</v>
      </c>
      <c r="Z51" s="302"/>
    </row>
    <row r="52" spans="10:28" hidden="1" outlineLevel="1">
      <c r="J52" s="67"/>
      <c r="M52" s="2"/>
      <c r="Q52" s="417">
        <f>Q51/'cash IX'!$O$22</f>
        <v>938.82973882973886</v>
      </c>
      <c r="S52" s="289">
        <f>+S51/'cash IX'!$O$22</f>
        <v>-11.170261170261158</v>
      </c>
      <c r="V52" s="2" t="s">
        <v>609</v>
      </c>
      <c r="W52" s="27">
        <f>Q49</f>
        <v>2961</v>
      </c>
      <c r="X52" s="6">
        <f>+W52/'cash IX'!$O$22</f>
        <v>116.76221676221675</v>
      </c>
      <c r="Y52" s="142" t="e">
        <f>X52-#REF!</f>
        <v>#REF!</v>
      </c>
      <c r="Z52" s="302"/>
      <c r="AA52" s="2"/>
    </row>
    <row r="53" spans="10:28" hidden="1" outlineLevel="1">
      <c r="J53" s="67"/>
      <c r="N53" s="9" t="s">
        <v>779</v>
      </c>
      <c r="O53" s="9"/>
      <c r="Q53" s="28">
        <f>Q36+(Q51/'cash IX'!$O$22)</f>
        <v>3453.8297388297387</v>
      </c>
      <c r="S53"/>
      <c r="T53"/>
      <c r="V53" s="2" t="s">
        <v>14</v>
      </c>
      <c r="W53" s="233">
        <f>SUM(W51:W52)</f>
        <v>87586.465384615381</v>
      </c>
      <c r="X53" s="6">
        <f>SUM(X51:X52)</f>
        <v>3453.8297388297387</v>
      </c>
      <c r="Y53" s="161" t="e">
        <f>X53-#REF!</f>
        <v>#REF!</v>
      </c>
      <c r="Z53" s="302"/>
      <c r="AA53" s="2"/>
      <c r="AB53" s="28" t="e">
        <f>Q53-#REF!</f>
        <v>#REF!</v>
      </c>
    </row>
    <row r="54" spans="10:28" hidden="1" outlineLevel="1">
      <c r="J54" s="67"/>
      <c r="Q54" s="417">
        <f>Q36+Q48+Q50</f>
        <v>3453.8297388297387</v>
      </c>
      <c r="S54"/>
      <c r="T54"/>
      <c r="Z54" s="302"/>
      <c r="AB54" s="82" t="e">
        <f>+AB53*'cash IX'!$O$22</f>
        <v>#REF!</v>
      </c>
    </row>
    <row r="55" spans="10:28" hidden="1" outlineLevel="1">
      <c r="J55" s="92"/>
      <c r="K55" s="87"/>
      <c r="L55" s="87"/>
      <c r="M55" s="87"/>
      <c r="N55" s="87"/>
      <c r="O55" s="87"/>
      <c r="P55" s="87"/>
      <c r="Q55" s="87"/>
      <c r="R55" s="87"/>
      <c r="S55" s="297"/>
      <c r="T55" s="297"/>
      <c r="U55" s="297"/>
      <c r="V55" s="297"/>
      <c r="W55" s="297"/>
      <c r="X55" s="87"/>
      <c r="Y55" s="87"/>
      <c r="Z55" s="88"/>
    </row>
    <row r="56" spans="10:28" hidden="1" outlineLevel="1"/>
    <row r="57" spans="10:28" hidden="1" outlineLevel="1"/>
    <row r="58" spans="10:28" collapsed="1">
      <c r="J58" s="332" t="s">
        <v>992</v>
      </c>
      <c r="K58" s="188"/>
      <c r="L58" s="188"/>
      <c r="M58" s="188"/>
      <c r="N58" s="188"/>
      <c r="O58" s="188"/>
      <c r="P58" s="188"/>
      <c r="Q58" s="188"/>
      <c r="R58" s="188" t="s">
        <v>578</v>
      </c>
      <c r="S58" s="293"/>
      <c r="T58" s="293"/>
      <c r="U58" s="293"/>
      <c r="V58" s="293"/>
      <c r="W58" s="293"/>
      <c r="X58" s="188" t="s">
        <v>75</v>
      </c>
      <c r="Y58" s="188"/>
      <c r="Z58" s="189"/>
    </row>
    <row r="59" spans="10:28">
      <c r="J59" s="67"/>
      <c r="K59" t="s">
        <v>565</v>
      </c>
      <c r="L59" s="2"/>
      <c r="M59" s="2"/>
      <c r="N59" s="2"/>
      <c r="O59" s="2"/>
      <c r="P59" s="2"/>
      <c r="S59" s="2" t="s">
        <v>762</v>
      </c>
      <c r="T59" s="161">
        <f>Q65+T63</f>
        <v>3465</v>
      </c>
      <c r="U59" s="215">
        <f>T59-X59</f>
        <v>0</v>
      </c>
      <c r="W59" s="2" t="s">
        <v>565</v>
      </c>
      <c r="X59" s="215">
        <f>W$5+$M$22+L$22</f>
        <v>3465</v>
      </c>
      <c r="Y59" s="4" t="str">
        <f>IF(X60=Z60,"OK","attention")</f>
        <v>attention</v>
      </c>
      <c r="Z59" s="68"/>
      <c r="AB59">
        <v>0</v>
      </c>
    </row>
    <row r="60" spans="10:28">
      <c r="J60" s="67"/>
      <c r="K60" s="2" t="s">
        <v>76</v>
      </c>
      <c r="L60" s="4">
        <v>200</v>
      </c>
      <c r="M60" s="2"/>
      <c r="N60" s="2"/>
      <c r="O60" s="2"/>
      <c r="P60" s="2"/>
      <c r="W60" s="2" t="s">
        <v>563</v>
      </c>
      <c r="X60" s="353">
        <f>Z63</f>
        <v>-2179.3898244684824</v>
      </c>
      <c r="Y60" s="142" t="e">
        <f>+X60-#REF!</f>
        <v>#REF!</v>
      </c>
      <c r="Z60" s="350">
        <f>-VietnamIX!$BE$40</f>
        <v>-3206.3269963609514</v>
      </c>
    </row>
    <row r="61" spans="10:28">
      <c r="J61" s="67"/>
      <c r="K61" s="2" t="s">
        <v>76</v>
      </c>
      <c r="L61" s="4">
        <v>100</v>
      </c>
      <c r="M61" s="2"/>
      <c r="N61" s="2"/>
      <c r="O61" s="2"/>
      <c r="P61" s="2"/>
      <c r="W61" s="4" t="s">
        <v>839</v>
      </c>
      <c r="X61" s="142">
        <f>SUM(X59:X60)</f>
        <v>1285.6101755315176</v>
      </c>
      <c r="Z61" s="350">
        <f>VietnamIX!$BD$40</f>
        <v>80909.290322580637</v>
      </c>
      <c r="AB61">
        <f>26*25</f>
        <v>650</v>
      </c>
    </row>
    <row r="62" spans="10:28" ht="15.6">
      <c r="J62" s="67"/>
      <c r="K62" s="2" t="s">
        <v>76</v>
      </c>
      <c r="L62" s="4">
        <v>50</v>
      </c>
      <c r="M62" s="2">
        <v>19</v>
      </c>
      <c r="N62" s="2"/>
      <c r="O62" s="489"/>
      <c r="P62" s="2"/>
      <c r="Q62" s="4">
        <f>SUM(M62:P62)</f>
        <v>19</v>
      </c>
      <c r="X62" s="2"/>
      <c r="Z62" s="68"/>
      <c r="AB62">
        <v>-430</v>
      </c>
    </row>
    <row r="63" spans="10:28">
      <c r="J63" s="67"/>
      <c r="K63" s="2" t="s">
        <v>76</v>
      </c>
      <c r="L63" s="4">
        <v>20</v>
      </c>
      <c r="M63" s="2">
        <v>4</v>
      </c>
      <c r="N63" s="2"/>
      <c r="O63" s="2"/>
      <c r="P63" s="2">
        <v>3</v>
      </c>
      <c r="Q63" s="4">
        <f>SUM(M63:P63)</f>
        <v>7</v>
      </c>
      <c r="S63" s="350">
        <f>+$N$22</f>
        <v>3250</v>
      </c>
      <c r="T63" s="353">
        <v>2350</v>
      </c>
      <c r="X63" s="2"/>
      <c r="Z63" s="351">
        <v>-2179.3898244684824</v>
      </c>
    </row>
    <row r="64" spans="10:28">
      <c r="J64" s="67"/>
      <c r="K64" s="2" t="s">
        <v>76</v>
      </c>
      <c r="L64" s="4">
        <v>10</v>
      </c>
      <c r="M64" s="2">
        <v>2</v>
      </c>
      <c r="N64" s="2"/>
      <c r="O64" s="2"/>
      <c r="P64" s="2">
        <v>0.5</v>
      </c>
      <c r="Q64" s="4">
        <f>SUM(M64:P64)</f>
        <v>2.5</v>
      </c>
      <c r="W64" s="2" t="s">
        <v>75</v>
      </c>
      <c r="X64" s="2">
        <f>Q65</f>
        <v>1115</v>
      </c>
      <c r="Z64" s="351">
        <v>54995.290322580644</v>
      </c>
    </row>
    <row r="65" spans="10:28">
      <c r="J65" s="67"/>
      <c r="K65" s="4" t="s">
        <v>75</v>
      </c>
      <c r="M65" s="2">
        <f>SUMPRODUCT($L60:$L64,M60:M64)</f>
        <v>1050</v>
      </c>
      <c r="N65" s="2"/>
      <c r="O65" s="191">
        <f>SUMPRODUCT($L60:$L64,O60:O64)</f>
        <v>0</v>
      </c>
      <c r="P65" s="2">
        <f>SUMPRODUCT($L60:$L64,P60:P64)</f>
        <v>65</v>
      </c>
      <c r="Q65" s="4">
        <f>SUM(M65:P65)</f>
        <v>1115</v>
      </c>
      <c r="W65" s="2" t="s">
        <v>77</v>
      </c>
      <c r="X65" s="14">
        <f>+Q76/$O$22</f>
        <v>145.86404586404586</v>
      </c>
      <c r="Z65" s="68"/>
      <c r="AA65" s="121" t="s">
        <v>11</v>
      </c>
      <c r="AB65" s="240">
        <f>Q36-Q65</f>
        <v>1400</v>
      </c>
    </row>
    <row r="66" spans="10:28">
      <c r="J66" s="67"/>
      <c r="M66" s="2"/>
      <c r="N66" s="2"/>
      <c r="O66" s="2"/>
      <c r="P66" s="2"/>
      <c r="W66" s="4" t="s">
        <v>838</v>
      </c>
      <c r="X66" s="14">
        <f>SUM(X64:X65)</f>
        <v>1260.8640458640459</v>
      </c>
      <c r="Z66" s="68"/>
      <c r="AA66" s="299" t="s">
        <v>587</v>
      </c>
      <c r="AB66" s="4">
        <f>AB37</f>
        <v>950</v>
      </c>
    </row>
    <row r="67" spans="10:28">
      <c r="J67" s="67"/>
      <c r="K67" s="2" t="s">
        <v>76</v>
      </c>
      <c r="L67" s="4">
        <v>500</v>
      </c>
      <c r="M67" s="2"/>
      <c r="N67" s="2"/>
      <c r="O67" s="2"/>
      <c r="P67" s="2"/>
      <c r="Q67" s="4">
        <f t="shared" ref="Q67:Q72" si="3">SUM(M67:P67)</f>
        <v>0</v>
      </c>
      <c r="S67" s="2" t="s">
        <v>571</v>
      </c>
      <c r="T67" s="4">
        <f>SUM(T61:T66)</f>
        <v>2350</v>
      </c>
      <c r="U67" s="4" t="s">
        <v>17</v>
      </c>
      <c r="X67" s="2"/>
      <c r="Z67" s="68"/>
      <c r="AA67" s="92"/>
      <c r="AB67" s="297">
        <f>+AB66+Q65</f>
        <v>2065</v>
      </c>
    </row>
    <row r="68" spans="10:28">
      <c r="J68" s="67"/>
      <c r="K68" s="2" t="s">
        <v>76</v>
      </c>
      <c r="L68" s="4">
        <v>500</v>
      </c>
      <c r="M68" s="2">
        <v>5</v>
      </c>
      <c r="N68" s="2"/>
      <c r="O68" s="2"/>
      <c r="P68" s="2">
        <v>2</v>
      </c>
      <c r="Q68" s="4">
        <f t="shared" si="3"/>
        <v>7</v>
      </c>
      <c r="T68" s="4">
        <f>+T67*'cash IX'!$O$22</f>
        <v>59594.192307692312</v>
      </c>
      <c r="U68" s="4" t="s">
        <v>135</v>
      </c>
      <c r="X68" s="2"/>
      <c r="Z68" s="68"/>
    </row>
    <row r="69" spans="10:28">
      <c r="J69" s="67"/>
      <c r="K69" s="2" t="s">
        <v>76</v>
      </c>
      <c r="L69" s="4">
        <v>200</v>
      </c>
      <c r="M69" s="2"/>
      <c r="N69" s="2"/>
      <c r="O69" s="2"/>
      <c r="P69" s="2"/>
      <c r="Q69" s="4">
        <f t="shared" si="3"/>
        <v>0</v>
      </c>
      <c r="W69" s="2" t="s">
        <v>584</v>
      </c>
      <c r="X69" s="203">
        <f>+X66-X61</f>
        <v>-24.746129667471678</v>
      </c>
      <c r="Z69" s="68"/>
    </row>
    <row r="70" spans="10:28">
      <c r="J70" s="67"/>
      <c r="K70" s="2" t="s">
        <v>76</v>
      </c>
      <c r="L70" s="4">
        <v>100</v>
      </c>
      <c r="M70" s="2"/>
      <c r="N70" s="2"/>
      <c r="O70" s="2"/>
      <c r="P70" s="2">
        <v>1</v>
      </c>
      <c r="Q70" s="4">
        <f t="shared" si="3"/>
        <v>1</v>
      </c>
      <c r="S70" s="2" t="s">
        <v>842</v>
      </c>
      <c r="T70" s="28">
        <f>T59-T63</f>
        <v>1115</v>
      </c>
      <c r="Z70" s="68"/>
    </row>
    <row r="71" spans="10:28">
      <c r="J71" s="67"/>
      <c r="K71" s="2" t="s">
        <v>76</v>
      </c>
      <c r="L71" s="4">
        <v>50</v>
      </c>
      <c r="M71" s="2"/>
      <c r="N71" s="2"/>
      <c r="O71" s="2"/>
      <c r="P71" s="2"/>
      <c r="Q71" s="4">
        <f t="shared" si="3"/>
        <v>0</v>
      </c>
      <c r="Y71" s="2"/>
      <c r="Z71" s="68"/>
      <c r="AB71" t="s">
        <v>784</v>
      </c>
    </row>
    <row r="72" spans="10:28">
      <c r="J72" s="67"/>
      <c r="K72" s="2" t="s">
        <v>76</v>
      </c>
      <c r="L72" s="4">
        <v>20</v>
      </c>
      <c r="M72" s="2"/>
      <c r="N72" s="2"/>
      <c r="O72" s="2"/>
      <c r="P72" s="2">
        <v>2</v>
      </c>
      <c r="Q72" s="4">
        <f t="shared" si="3"/>
        <v>2</v>
      </c>
      <c r="X72" s="2"/>
      <c r="Y72" s="2"/>
      <c r="Z72" s="125"/>
      <c r="AB72" t="s">
        <v>785</v>
      </c>
    </row>
    <row r="73" spans="10:28">
      <c r="J73" s="67"/>
      <c r="K73" s="2" t="s">
        <v>76</v>
      </c>
      <c r="L73" s="4">
        <v>10</v>
      </c>
      <c r="M73" s="2"/>
      <c r="N73" s="2"/>
      <c r="O73" s="2"/>
      <c r="P73" s="2">
        <v>5</v>
      </c>
      <c r="Q73" s="4">
        <v>0</v>
      </c>
      <c r="X73" s="4" t="s">
        <v>75</v>
      </c>
      <c r="Y73" s="4" t="s">
        <v>77</v>
      </c>
      <c r="Z73" s="126" t="s">
        <v>590</v>
      </c>
    </row>
    <row r="74" spans="10:28">
      <c r="J74" s="67"/>
      <c r="K74" s="2" t="s">
        <v>76</v>
      </c>
      <c r="L74" s="4">
        <v>5</v>
      </c>
      <c r="M74" s="2"/>
      <c r="N74" s="2"/>
      <c r="O74" s="2"/>
      <c r="P74" s="2">
        <v>1</v>
      </c>
      <c r="Q74" s="4">
        <f>SUM(M74:P74)</f>
        <v>1</v>
      </c>
      <c r="V74" s="2" t="s">
        <v>588</v>
      </c>
      <c r="W74" s="2" t="s">
        <v>9</v>
      </c>
      <c r="X74" s="142">
        <f>+Q65</f>
        <v>1115</v>
      </c>
      <c r="Y74" s="142">
        <f>+Q65*'cash IX'!$O$22</f>
        <v>28275.542307692307</v>
      </c>
      <c r="Z74" s="235">
        <f>+Y74/'cash IX'!$O$22</f>
        <v>1115</v>
      </c>
    </row>
    <row r="75" spans="10:28">
      <c r="J75" s="67"/>
      <c r="K75" s="2" t="s">
        <v>76</v>
      </c>
      <c r="L75" s="4">
        <v>2</v>
      </c>
      <c r="M75" s="2"/>
      <c r="N75" s="2"/>
      <c r="O75" s="2"/>
      <c r="P75" s="2">
        <v>2</v>
      </c>
      <c r="Q75" s="4">
        <f>SUM(M75:P75)</f>
        <v>2</v>
      </c>
      <c r="V75" s="2" t="s">
        <v>588</v>
      </c>
      <c r="W75" s="2" t="s">
        <v>135</v>
      </c>
      <c r="X75" s="142">
        <f>+Q76/'cash IX'!$O$22</f>
        <v>145.86404586404586</v>
      </c>
      <c r="Y75" s="142">
        <f>+Q76</f>
        <v>3699</v>
      </c>
      <c r="Z75" s="235">
        <f>+Y75/'cash IX'!$O$22</f>
        <v>145.86404586404586</v>
      </c>
    </row>
    <row r="76" spans="10:28">
      <c r="J76" s="67"/>
      <c r="K76" s="4" t="s">
        <v>77</v>
      </c>
      <c r="M76" s="2">
        <f>SUMPRODUCT($L67:$L75,M67:M75)</f>
        <v>2500</v>
      </c>
      <c r="N76" s="2">
        <f>SUMPRODUCT($L67:$L75,N67:N75)</f>
        <v>0</v>
      </c>
      <c r="O76" s="2">
        <f>SUMPRODUCT($L67:$L75,O67:O75)</f>
        <v>0</v>
      </c>
      <c r="P76" s="2">
        <f>SUMPRODUCT($L67:$L75,P67:P75)</f>
        <v>1199</v>
      </c>
      <c r="Q76" s="4">
        <f>SUM(M76:P76)</f>
        <v>3699</v>
      </c>
      <c r="V76" s="2" t="s">
        <v>589</v>
      </c>
      <c r="W76" s="2" t="s">
        <v>135</v>
      </c>
      <c r="X76" s="142">
        <f>-X60</f>
        <v>2179.3898244684824</v>
      </c>
      <c r="Y76" s="142">
        <f>+Q78</f>
        <v>54995.290322580644</v>
      </c>
      <c r="Z76" s="235">
        <f>+Y76/'cash IX'!$O$22</f>
        <v>2168.6497837035472</v>
      </c>
    </row>
    <row r="77" spans="10:28">
      <c r="J77" s="67"/>
      <c r="Q77" s="311">
        <f>Q76/'cash IX'!$O$22</f>
        <v>145.86404586404586</v>
      </c>
      <c r="V77" s="2" t="s">
        <v>780</v>
      </c>
      <c r="X77" s="142">
        <f>SUM(X74:X76)</f>
        <v>3440.2538703325281</v>
      </c>
      <c r="Y77" s="142">
        <f>SUM(Y74:Y76)</f>
        <v>86969.832630272955</v>
      </c>
      <c r="Z77" s="235">
        <f>SUM(Z74:Z76)</f>
        <v>3429.5138295675933</v>
      </c>
    </row>
    <row r="78" spans="10:28">
      <c r="J78" s="67"/>
      <c r="N78" t="s">
        <v>563</v>
      </c>
      <c r="P78" s="4" t="str">
        <f>IF(Q78=Z61,"OK","attention")</f>
        <v>attention</v>
      </c>
      <c r="Q78" s="352">
        <f>Z64</f>
        <v>54995.290322580644</v>
      </c>
      <c r="R78" s="296" t="str">
        <f>+J58</f>
        <v>au 12/6/2023</v>
      </c>
      <c r="X78" s="142"/>
      <c r="Y78" s="142">
        <f>+Y77/'cash IX'!$O$22</f>
        <v>3429.5138295675929</v>
      </c>
      <c r="Z78" s="302"/>
    </row>
    <row r="79" spans="10:28" ht="15" thickBot="1">
      <c r="J79" s="67"/>
      <c r="Q79" s="417">
        <f>Q78/'cash IX'!$O$22</f>
        <v>2168.6497837035472</v>
      </c>
      <c r="Y79" s="142"/>
      <c r="Z79" s="302"/>
    </row>
    <row r="80" spans="10:28" ht="15" thickBot="1">
      <c r="J80" s="67"/>
      <c r="N80" s="9" t="s">
        <v>778</v>
      </c>
      <c r="Q80" s="322">
        <f>+Q76+Q78</f>
        <v>58694.290322580644</v>
      </c>
      <c r="S80" s="349">
        <f>+Q80-T68</f>
        <v>-899.90198511166818</v>
      </c>
      <c r="V80" s="2" t="s">
        <v>608</v>
      </c>
      <c r="W80" s="27">
        <f>Q65*'cash IX'!$O$22+'cash IX'!Q76</f>
        <v>31974.542307692307</v>
      </c>
      <c r="X80" s="6">
        <f>+W80/'cash IX'!$O$22</f>
        <v>1260.8640458640457</v>
      </c>
      <c r="Y80" s="142">
        <f>X80-X51</f>
        <v>-2076.2034762034764</v>
      </c>
      <c r="Z80" s="302"/>
    </row>
    <row r="81" spans="10:28">
      <c r="J81" s="67"/>
      <c r="M81" s="2"/>
      <c r="Q81" s="417">
        <f>Q80/'cash IX'!$O$22</f>
        <v>2314.5138295675929</v>
      </c>
      <c r="S81" s="289">
        <f>+S80/'cash IX'!$O$22</f>
        <v>-35.486170432407214</v>
      </c>
      <c r="V81" s="2" t="s">
        <v>609</v>
      </c>
      <c r="W81" s="27">
        <f>Q78</f>
        <v>54995.290322580644</v>
      </c>
      <c r="X81" s="6">
        <f>+W81/'cash IX'!$O$22</f>
        <v>2168.6497837035472</v>
      </c>
      <c r="Y81" s="142">
        <f>X81-X52</f>
        <v>2051.8875669413305</v>
      </c>
      <c r="Z81" s="302"/>
      <c r="AA81" s="2"/>
    </row>
    <row r="82" spans="10:28">
      <c r="J82" s="67"/>
      <c r="N82" s="9" t="s">
        <v>779</v>
      </c>
      <c r="O82" s="9"/>
      <c r="Q82" s="28">
        <f>Q65+(Q80/'cash IX'!$O$22)</f>
        <v>3429.5138295675929</v>
      </c>
      <c r="S82"/>
      <c r="T82"/>
      <c r="V82" s="2" t="s">
        <v>14</v>
      </c>
      <c r="W82" s="233">
        <f>SUM(W80:W81)</f>
        <v>86969.832630272955</v>
      </c>
      <c r="X82" s="6">
        <f>SUM(X80:X81)</f>
        <v>3429.5138295675929</v>
      </c>
      <c r="Y82" s="142">
        <f>X82-X53</f>
        <v>-24.315909262145851</v>
      </c>
      <c r="Z82" s="302"/>
      <c r="AA82" s="2"/>
      <c r="AB82" s="28">
        <f>Q82-Q53</f>
        <v>-24.315909262145851</v>
      </c>
    </row>
    <row r="83" spans="10:28">
      <c r="J83" s="67"/>
      <c r="Q83" s="417">
        <f>Q65+Q77+Q79</f>
        <v>3429.5138295675933</v>
      </c>
      <c r="S83"/>
      <c r="T83"/>
      <c r="Z83" s="302"/>
      <c r="AB83" s="27">
        <f>+AB82*'cash IX'!$O$22</f>
        <v>-616.63275434243258</v>
      </c>
    </row>
    <row r="84" spans="10:28">
      <c r="J84" s="92"/>
      <c r="K84" s="87"/>
      <c r="L84" s="87"/>
      <c r="M84" s="87"/>
      <c r="N84" s="87"/>
      <c r="O84" s="87"/>
      <c r="P84" s="87"/>
      <c r="Q84" s="87"/>
      <c r="R84" s="87"/>
      <c r="S84" s="297"/>
      <c r="T84" s="297"/>
      <c r="U84" s="297"/>
      <c r="V84" s="297"/>
      <c r="W84" s="297"/>
      <c r="X84" s="87"/>
      <c r="Y84" s="87"/>
      <c r="Z84" s="88"/>
    </row>
    <row r="87" spans="10:28">
      <c r="J87" s="332" t="s">
        <v>992</v>
      </c>
      <c r="K87" s="188"/>
      <c r="L87" s="188"/>
      <c r="M87" s="188"/>
      <c r="N87" s="188"/>
      <c r="O87" s="188"/>
      <c r="P87" s="188"/>
      <c r="Q87" s="188"/>
      <c r="R87" s="188" t="s">
        <v>578</v>
      </c>
      <c r="S87" s="293"/>
      <c r="T87" s="293"/>
      <c r="U87" s="293"/>
      <c r="V87" s="293"/>
      <c r="W87" s="293"/>
      <c r="X87" s="188" t="s">
        <v>75</v>
      </c>
      <c r="Y87" s="188"/>
      <c r="Z87" s="189"/>
    </row>
    <row r="88" spans="10:28">
      <c r="J88" s="67"/>
      <c r="K88" t="s">
        <v>565</v>
      </c>
      <c r="L88" s="2"/>
      <c r="M88" s="2"/>
      <c r="N88" s="2"/>
      <c r="O88" s="2"/>
      <c r="P88" s="2"/>
      <c r="S88" s="2" t="s">
        <v>762</v>
      </c>
      <c r="T88" s="161">
        <f>Q94+T92</f>
        <v>3465</v>
      </c>
      <c r="U88" s="215">
        <f>T88-X88</f>
        <v>0</v>
      </c>
      <c r="W88" s="2" t="s">
        <v>565</v>
      </c>
      <c r="X88" s="215">
        <f>W$5+$M$22+L$22</f>
        <v>3465</v>
      </c>
      <c r="Y88" s="4" t="str">
        <f>IF(X89=Z89,"OK","attention")</f>
        <v>attention</v>
      </c>
      <c r="Z88" s="68"/>
      <c r="AB88">
        <v>0</v>
      </c>
    </row>
    <row r="89" spans="10:28">
      <c r="J89" s="67"/>
      <c r="K89" s="2" t="s">
        <v>76</v>
      </c>
      <c r="L89" s="4">
        <v>200</v>
      </c>
      <c r="M89" s="2"/>
      <c r="N89" s="2"/>
      <c r="O89" s="2"/>
      <c r="P89" s="2"/>
      <c r="W89" s="2" t="s">
        <v>563</v>
      </c>
      <c r="X89" s="353">
        <f>Z92</f>
        <v>-975.22176673233685</v>
      </c>
      <c r="Y89" s="142">
        <f>+X89-X60</f>
        <v>1204.1680577361456</v>
      </c>
      <c r="Z89" s="350">
        <f>-VietnamIX!$BE$40</f>
        <v>-3206.3269963609514</v>
      </c>
    </row>
    <row r="90" spans="10:28">
      <c r="J90" s="67"/>
      <c r="K90" s="2" t="s">
        <v>76</v>
      </c>
      <c r="L90" s="4">
        <v>100</v>
      </c>
      <c r="M90" s="2"/>
      <c r="N90" s="2"/>
      <c r="O90" s="2"/>
      <c r="P90" s="2"/>
      <c r="W90" s="4" t="s">
        <v>839</v>
      </c>
      <c r="X90" s="142">
        <f>SUM(X88:X89)</f>
        <v>2489.7782332676634</v>
      </c>
      <c r="Z90" s="350">
        <f>VietnamIX!$BD$40</f>
        <v>80909.290322580637</v>
      </c>
      <c r="AB90">
        <f>26*25</f>
        <v>650</v>
      </c>
    </row>
    <row r="91" spans="10:28" ht="15.6">
      <c r="J91" s="67"/>
      <c r="K91" s="2" t="s">
        <v>76</v>
      </c>
      <c r="L91" s="4">
        <v>50</v>
      </c>
      <c r="M91" s="2"/>
      <c r="N91" s="365">
        <v>26</v>
      </c>
      <c r="O91" s="489">
        <v>1</v>
      </c>
      <c r="P91" s="2"/>
      <c r="Q91" s="4">
        <f>SUM(M91:P91)</f>
        <v>27</v>
      </c>
      <c r="X91" s="2"/>
      <c r="Z91" s="68"/>
      <c r="AB91">
        <v>-430</v>
      </c>
    </row>
    <row r="92" spans="10:28">
      <c r="J92" s="67"/>
      <c r="K92" s="2" t="s">
        <v>76</v>
      </c>
      <c r="L92" s="4">
        <v>20</v>
      </c>
      <c r="M92" s="2"/>
      <c r="N92" s="365">
        <v>4</v>
      </c>
      <c r="O92" s="2"/>
      <c r="P92" s="2">
        <v>3</v>
      </c>
      <c r="Q92" s="4">
        <f>SUM(M92:P92)</f>
        <v>7</v>
      </c>
      <c r="S92" s="350">
        <f>+$N$22</f>
        <v>3250</v>
      </c>
      <c r="T92" s="353">
        <v>1950</v>
      </c>
      <c r="X92" s="2"/>
      <c r="Z92" s="351">
        <v>-975.22176673233685</v>
      </c>
    </row>
    <row r="93" spans="10:28">
      <c r="J93" s="67"/>
      <c r="K93" s="2" t="s">
        <v>76</v>
      </c>
      <c r="L93" s="4">
        <v>10</v>
      </c>
      <c r="M93" s="2"/>
      <c r="N93" s="365">
        <v>2</v>
      </c>
      <c r="O93" s="2"/>
      <c r="P93" s="2">
        <v>0.5</v>
      </c>
      <c r="Q93" s="4">
        <f>SUM(M93:P93)</f>
        <v>2.5</v>
      </c>
      <c r="W93" s="2" t="s">
        <v>75</v>
      </c>
      <c r="X93" s="2">
        <f>Q94</f>
        <v>1515</v>
      </c>
      <c r="Z93" s="351">
        <v>24609</v>
      </c>
    </row>
    <row r="94" spans="10:28">
      <c r="J94" s="67"/>
      <c r="K94" s="4" t="s">
        <v>75</v>
      </c>
      <c r="M94" s="2">
        <f>SUMPRODUCT($L89:$L93,M89:M93)</f>
        <v>0</v>
      </c>
      <c r="N94" s="2">
        <f>SUMPRODUCT($L89:$L93,N89:N93)</f>
        <v>1400</v>
      </c>
      <c r="O94" s="191">
        <f>SUMPRODUCT($L89:$L93,O89:O93)</f>
        <v>50</v>
      </c>
      <c r="P94" s="2">
        <f>SUMPRODUCT($L89:$L93,P89:P93)</f>
        <v>65</v>
      </c>
      <c r="Q94" s="4">
        <f>SUM(M94:P94)</f>
        <v>1515</v>
      </c>
      <c r="W94" s="2" t="s">
        <v>77</v>
      </c>
      <c r="X94" s="14">
        <f>+Q105/$O$22</f>
        <v>968.48363515030178</v>
      </c>
      <c r="Z94" s="68"/>
      <c r="AA94" s="121" t="s">
        <v>11</v>
      </c>
      <c r="AB94" s="240">
        <f>Q65-Q94</f>
        <v>-400</v>
      </c>
    </row>
    <row r="95" spans="10:28">
      <c r="J95" s="67"/>
      <c r="M95" s="2"/>
      <c r="N95" s="2"/>
      <c r="O95" s="2"/>
      <c r="P95" s="2"/>
      <c r="W95" s="4" t="s">
        <v>838</v>
      </c>
      <c r="X95" s="14">
        <f>SUM(X93:X94)</f>
        <v>2483.4836351503018</v>
      </c>
      <c r="Z95" s="68"/>
      <c r="AA95" s="299" t="s">
        <v>587</v>
      </c>
      <c r="AB95" s="4">
        <f>AB66</f>
        <v>950</v>
      </c>
    </row>
    <row r="96" spans="10:28">
      <c r="J96" s="67"/>
      <c r="K96" s="2" t="s">
        <v>76</v>
      </c>
      <c r="L96" s="4">
        <v>500</v>
      </c>
      <c r="M96" s="2"/>
      <c r="N96" s="2"/>
      <c r="O96" s="2"/>
      <c r="P96" s="2"/>
      <c r="Q96" s="4">
        <f t="shared" ref="Q96:Q101" si="4">SUM(M96:P96)</f>
        <v>0</v>
      </c>
      <c r="S96" s="2" t="s">
        <v>571</v>
      </c>
      <c r="T96" s="4">
        <f>SUM(T90:T95)</f>
        <v>1950</v>
      </c>
      <c r="U96" s="4" t="s">
        <v>17</v>
      </c>
      <c r="X96" s="2"/>
      <c r="Z96" s="68"/>
      <c r="AA96" s="92"/>
      <c r="AB96" s="297">
        <f>+AB95+Q94</f>
        <v>2465</v>
      </c>
    </row>
    <row r="97" spans="10:28">
      <c r="J97" s="67"/>
      <c r="K97" s="2" t="s">
        <v>76</v>
      </c>
      <c r="L97" s="4">
        <v>500</v>
      </c>
      <c r="M97" s="2">
        <v>20</v>
      </c>
      <c r="N97" s="2">
        <v>20</v>
      </c>
      <c r="O97" s="2"/>
      <c r="P97" s="2">
        <v>8</v>
      </c>
      <c r="Q97" s="4">
        <f t="shared" si="4"/>
        <v>48</v>
      </c>
      <c r="T97" s="4">
        <f>+T96*'cash IX'!$O$22</f>
        <v>49450.5</v>
      </c>
      <c r="U97" s="4" t="s">
        <v>135</v>
      </c>
      <c r="X97" s="2"/>
      <c r="Z97" s="68"/>
    </row>
    <row r="98" spans="10:28">
      <c r="J98" s="67"/>
      <c r="K98" s="2" t="s">
        <v>76</v>
      </c>
      <c r="L98" s="4">
        <v>200</v>
      </c>
      <c r="M98" s="2"/>
      <c r="N98" s="2"/>
      <c r="O98" s="2"/>
      <c r="P98" s="2"/>
      <c r="Q98" s="4">
        <f t="shared" si="4"/>
        <v>0</v>
      </c>
      <c r="W98" s="2" t="s">
        <v>584</v>
      </c>
      <c r="X98" s="203">
        <f>+X95-X90</f>
        <v>-6.2945981173616019</v>
      </c>
      <c r="Z98" s="68"/>
    </row>
    <row r="99" spans="10:28">
      <c r="J99" s="67"/>
      <c r="K99" s="2" t="s">
        <v>76</v>
      </c>
      <c r="L99" s="4">
        <v>100</v>
      </c>
      <c r="M99" s="2"/>
      <c r="N99" s="2"/>
      <c r="O99" s="2"/>
      <c r="P99" s="2">
        <v>4</v>
      </c>
      <c r="Q99" s="4">
        <f t="shared" si="4"/>
        <v>4</v>
      </c>
      <c r="S99" s="2" t="s">
        <v>842</v>
      </c>
      <c r="T99" s="28">
        <f>T88-T92</f>
        <v>1515</v>
      </c>
      <c r="Z99" s="68"/>
    </row>
    <row r="100" spans="10:28">
      <c r="J100" s="67"/>
      <c r="K100" s="2" t="s">
        <v>76</v>
      </c>
      <c r="L100" s="4">
        <v>50</v>
      </c>
      <c r="M100" s="2"/>
      <c r="N100" s="2"/>
      <c r="O100" s="2"/>
      <c r="P100" s="2">
        <v>2</v>
      </c>
      <c r="Q100" s="4">
        <f t="shared" si="4"/>
        <v>2</v>
      </c>
      <c r="Y100" s="2"/>
      <c r="Z100" s="68"/>
      <c r="AB100" t="s">
        <v>784</v>
      </c>
    </row>
    <row r="101" spans="10:28">
      <c r="J101" s="67"/>
      <c r="K101" s="2" t="s">
        <v>76</v>
      </c>
      <c r="L101" s="4">
        <v>20</v>
      </c>
      <c r="M101" s="2"/>
      <c r="N101" s="2"/>
      <c r="O101" s="2"/>
      <c r="P101" s="2">
        <v>3</v>
      </c>
      <c r="Q101" s="4">
        <f t="shared" si="4"/>
        <v>3</v>
      </c>
      <c r="X101" s="2"/>
      <c r="Y101" s="2"/>
      <c r="Z101" s="125"/>
      <c r="AB101" t="s">
        <v>785</v>
      </c>
    </row>
    <row r="102" spans="10:28">
      <c r="J102" s="67"/>
      <c r="K102" s="2" t="s">
        <v>76</v>
      </c>
      <c r="L102" s="4">
        <v>10</v>
      </c>
      <c r="M102" s="2"/>
      <c r="N102" s="2"/>
      <c r="O102" s="2"/>
      <c r="P102" s="2"/>
      <c r="Q102" s="4">
        <v>0</v>
      </c>
      <c r="X102" s="4" t="s">
        <v>75</v>
      </c>
      <c r="Y102" s="4" t="s">
        <v>77</v>
      </c>
      <c r="Z102" s="126" t="s">
        <v>590</v>
      </c>
    </row>
    <row r="103" spans="10:28">
      <c r="J103" s="67"/>
      <c r="K103" s="2" t="s">
        <v>76</v>
      </c>
      <c r="L103" s="4">
        <v>5</v>
      </c>
      <c r="M103" s="2"/>
      <c r="N103" s="2"/>
      <c r="O103" s="2"/>
      <c r="P103" s="2"/>
      <c r="Q103" s="4">
        <f>SUM(M103:P103)</f>
        <v>0</v>
      </c>
      <c r="V103" s="2" t="s">
        <v>588</v>
      </c>
      <c r="W103" s="2" t="s">
        <v>9</v>
      </c>
      <c r="X103" s="142">
        <f>+Q94</f>
        <v>1515</v>
      </c>
      <c r="Y103" s="142">
        <f>+Q94*'cash IX'!$O$22</f>
        <v>38419.234615384616</v>
      </c>
      <c r="Z103" s="235">
        <f>+Y103/'cash IX'!$O$22</f>
        <v>1515</v>
      </c>
    </row>
    <row r="104" spans="10:28">
      <c r="J104" s="67"/>
      <c r="K104" s="2" t="s">
        <v>76</v>
      </c>
      <c r="L104" s="4">
        <v>2</v>
      </c>
      <c r="M104" s="2"/>
      <c r="N104" s="2"/>
      <c r="O104" s="2"/>
      <c r="P104" s="2"/>
      <c r="Q104" s="4">
        <f>SUM(M104:P104)</f>
        <v>0</v>
      </c>
      <c r="V104" s="2" t="s">
        <v>588</v>
      </c>
      <c r="W104" s="2" t="s">
        <v>135</v>
      </c>
      <c r="X104" s="142">
        <f>+Q105/'cash IX'!$O$22</f>
        <v>968.48363515030178</v>
      </c>
      <c r="Y104" s="142">
        <f>+Q105</f>
        <v>24560</v>
      </c>
      <c r="Z104" s="235">
        <f>+Y104/'cash IX'!$O$22</f>
        <v>968.48363515030178</v>
      </c>
    </row>
    <row r="105" spans="10:28">
      <c r="J105" s="67"/>
      <c r="K105" s="4" t="s">
        <v>77</v>
      </c>
      <c r="M105" s="2">
        <f>SUMPRODUCT($L96:$L104,M96:M104)</f>
        <v>10000</v>
      </c>
      <c r="N105" s="2">
        <f>SUMPRODUCT($L96:$L104,N96:N104)</f>
        <v>10000</v>
      </c>
      <c r="O105" s="2">
        <f>SUMPRODUCT($L96:$L104,O96:O104)</f>
        <v>0</v>
      </c>
      <c r="P105" s="2">
        <f>SUMPRODUCT($L96:$L104,P96:P104)</f>
        <v>4560</v>
      </c>
      <c r="Q105" s="4">
        <f>SUM(M105:P105)</f>
        <v>24560</v>
      </c>
      <c r="V105" s="2" t="s">
        <v>589</v>
      </c>
      <c r="W105" s="2" t="s">
        <v>135</v>
      </c>
      <c r="X105" s="142">
        <f>-X89</f>
        <v>975.22176673233685</v>
      </c>
      <c r="Y105" s="142">
        <f>+Q107</f>
        <v>24609</v>
      </c>
      <c r="Z105" s="235">
        <f>+Y105/'cash IX'!$O$22</f>
        <v>970.41587041587036</v>
      </c>
    </row>
    <row r="106" spans="10:28">
      <c r="J106" s="67"/>
      <c r="Q106" s="311">
        <f>Q105/'cash IX'!$O$22</f>
        <v>968.48363515030178</v>
      </c>
      <c r="V106" s="2" t="s">
        <v>780</v>
      </c>
      <c r="X106" s="142">
        <f>SUM(X103:X105)</f>
        <v>3458.7054018826384</v>
      </c>
      <c r="Y106" s="142">
        <f>SUM(Y103:Y105)</f>
        <v>87588.234615384616</v>
      </c>
      <c r="Z106" s="235">
        <f>SUM(Z103:Z105)</f>
        <v>3453.8995055661721</v>
      </c>
    </row>
    <row r="107" spans="10:28">
      <c r="J107" s="67"/>
      <c r="N107" t="s">
        <v>563</v>
      </c>
      <c r="P107" s="4" t="str">
        <f>IF(Q107=Z90,"OK","attention")</f>
        <v>attention</v>
      </c>
      <c r="Q107" s="352">
        <f>Z93</f>
        <v>24609</v>
      </c>
      <c r="R107" s="296" t="str">
        <f>+J87</f>
        <v>au 12/6/2023</v>
      </c>
      <c r="X107" s="142"/>
      <c r="Y107" s="142">
        <f>+Y106/'cash IX'!$O$22</f>
        <v>3453.8995055661721</v>
      </c>
      <c r="Z107" s="302"/>
    </row>
    <row r="108" spans="10:28" ht="15" thickBot="1">
      <c r="J108" s="67"/>
      <c r="Q108" s="417">
        <f>Q107/'cash IX'!$O$22</f>
        <v>970.41587041587036</v>
      </c>
      <c r="Y108" s="142"/>
      <c r="Z108" s="302"/>
    </row>
    <row r="109" spans="10:28" ht="15" thickBot="1">
      <c r="J109" s="67"/>
      <c r="N109" s="9" t="s">
        <v>778</v>
      </c>
      <c r="Q109" s="322">
        <f>+Q105+Q107</f>
        <v>49169</v>
      </c>
      <c r="S109" s="349">
        <f>+Q109-T97</f>
        <v>-281.5</v>
      </c>
      <c r="V109" s="2" t="s">
        <v>608</v>
      </c>
      <c r="W109" s="27">
        <f>Q94*'cash IX'!$O$22+'cash IX'!Q105</f>
        <v>62979.234615384616</v>
      </c>
      <c r="X109" s="6">
        <f>+W109/'cash IX'!$O$22</f>
        <v>2483.4836351503018</v>
      </c>
      <c r="Y109" s="142">
        <f>X109-X80</f>
        <v>1222.6195892862561</v>
      </c>
      <c r="Z109" s="302"/>
    </row>
    <row r="110" spans="10:28">
      <c r="J110" s="67"/>
      <c r="M110" s="2"/>
      <c r="Q110" s="417">
        <f>Q109/'cash IX'!$O$22</f>
        <v>1938.8995055661721</v>
      </c>
      <c r="S110" s="289">
        <f>+S109/'cash IX'!$O$22</f>
        <v>-11.100494433827766</v>
      </c>
      <c r="V110" s="2" t="s">
        <v>609</v>
      </c>
      <c r="W110" s="27">
        <f>Q107</f>
        <v>24609</v>
      </c>
      <c r="X110" s="6">
        <f>+W110/'cash IX'!$O$22</f>
        <v>970.41587041587036</v>
      </c>
      <c r="Y110" s="142">
        <f>X110-X81</f>
        <v>-1198.2339132876768</v>
      </c>
      <c r="Z110" s="302"/>
      <c r="AA110" s="2"/>
    </row>
    <row r="111" spans="10:28">
      <c r="J111" s="67"/>
      <c r="N111" s="9" t="s">
        <v>779</v>
      </c>
      <c r="O111" s="9"/>
      <c r="Q111" s="28">
        <f>Q94+(Q109/'cash IX'!$O$22)</f>
        <v>3453.8995055661721</v>
      </c>
      <c r="S111"/>
      <c r="T111"/>
      <c r="V111" s="2" t="s">
        <v>14</v>
      </c>
      <c r="W111" s="233">
        <f>SUM(W109:W110)</f>
        <v>87588.234615384616</v>
      </c>
      <c r="X111" s="6">
        <f>SUM(X109:X110)</f>
        <v>3453.8995055661721</v>
      </c>
      <c r="Y111" s="142">
        <f>X111-X82</f>
        <v>24.385675998579245</v>
      </c>
      <c r="Z111" s="302"/>
      <c r="AA111" s="2"/>
      <c r="AB111" s="28">
        <f>Q111-Q82</f>
        <v>24.385675998579245</v>
      </c>
    </row>
    <row r="112" spans="10:28">
      <c r="J112" s="67"/>
      <c r="Q112" s="417">
        <f>Q94+Q106+Q108</f>
        <v>3453.8995055661721</v>
      </c>
      <c r="S112"/>
      <c r="T112"/>
      <c r="Z112" s="302"/>
      <c r="AB112" s="27">
        <f>+AB111*'cash IX'!$O$22</f>
        <v>618.40198511166307</v>
      </c>
    </row>
    <row r="113" spans="10:28">
      <c r="J113" s="92"/>
      <c r="K113" s="87"/>
      <c r="L113" s="87"/>
      <c r="M113" s="87"/>
      <c r="N113" s="87"/>
      <c r="O113" s="87"/>
      <c r="P113" s="87"/>
      <c r="Q113" s="87"/>
      <c r="R113" s="87"/>
      <c r="S113" s="297"/>
      <c r="T113" s="297"/>
      <c r="U113" s="297"/>
      <c r="V113" s="297"/>
      <c r="W113" s="297"/>
      <c r="X113" s="87"/>
      <c r="Y113" s="87"/>
      <c r="Z113" s="88"/>
    </row>
    <row r="116" spans="10:28">
      <c r="J116" s="332" t="s">
        <v>1081</v>
      </c>
      <c r="K116" s="188"/>
      <c r="L116" s="188"/>
      <c r="M116" s="188"/>
      <c r="N116" s="188"/>
      <c r="O116" s="188"/>
      <c r="P116" s="188"/>
      <c r="Q116" s="188"/>
      <c r="R116" s="188" t="s">
        <v>578</v>
      </c>
      <c r="S116" s="293"/>
      <c r="T116" s="293"/>
      <c r="U116" s="293"/>
      <c r="V116" s="293"/>
      <c r="W116" s="293"/>
      <c r="X116" s="188" t="s">
        <v>75</v>
      </c>
      <c r="Y116" s="188"/>
      <c r="Z116" s="189"/>
    </row>
    <row r="117" spans="10:28">
      <c r="J117" s="67"/>
      <c r="K117" t="s">
        <v>565</v>
      </c>
      <c r="L117" s="2"/>
      <c r="M117" s="2"/>
      <c r="N117" s="2"/>
      <c r="O117" s="2"/>
      <c r="P117" s="2"/>
      <c r="S117" s="2" t="s">
        <v>762</v>
      </c>
      <c r="T117" s="161">
        <f>Q123+T121</f>
        <v>3465</v>
      </c>
      <c r="U117" s="215">
        <f>T117-X117</f>
        <v>0</v>
      </c>
      <c r="W117" s="2" t="s">
        <v>565</v>
      </c>
      <c r="X117" s="215">
        <f>W$5+$M$22+L$22</f>
        <v>3465</v>
      </c>
      <c r="Y117" s="4" t="str">
        <f>IF(X118=Z118,"OK","attention")</f>
        <v>attention</v>
      </c>
      <c r="Z117" s="68"/>
      <c r="AB117">
        <v>0</v>
      </c>
    </row>
    <row r="118" spans="10:28">
      <c r="J118" s="67"/>
      <c r="K118" s="2" t="s">
        <v>76</v>
      </c>
      <c r="L118" s="4">
        <v>200</v>
      </c>
      <c r="M118" s="2"/>
      <c r="N118" s="2"/>
      <c r="O118" s="2"/>
      <c r="P118" s="2"/>
      <c r="W118" s="2" t="s">
        <v>563</v>
      </c>
      <c r="X118" s="353">
        <f>Z121</f>
        <v>-1397.1992750043487</v>
      </c>
      <c r="Y118" s="142">
        <f>+X118-X89</f>
        <v>-421.97750827201185</v>
      </c>
      <c r="Z118" s="350">
        <f>-VietnamIX!$BE$40</f>
        <v>-3206.3269963609514</v>
      </c>
    </row>
    <row r="119" spans="10:28">
      <c r="J119" s="67"/>
      <c r="K119" s="2" t="s">
        <v>76</v>
      </c>
      <c r="L119" s="4">
        <v>100</v>
      </c>
      <c r="M119" s="2"/>
      <c r="N119" s="2"/>
      <c r="O119" s="2"/>
      <c r="P119" s="2"/>
      <c r="W119" s="4" t="s">
        <v>839</v>
      </c>
      <c r="X119" s="142">
        <f>SUM(X117:X118)</f>
        <v>2067.8007249956513</v>
      </c>
      <c r="Z119" s="350">
        <f>VietnamIX!$BD$40</f>
        <v>80909.290322580637</v>
      </c>
      <c r="AB119">
        <f>26*25</f>
        <v>650</v>
      </c>
    </row>
    <row r="120" spans="10:28" ht="15.6">
      <c r="J120" s="67"/>
      <c r="K120" s="2" t="s">
        <v>76</v>
      </c>
      <c r="L120" s="4">
        <v>50</v>
      </c>
      <c r="M120" s="2"/>
      <c r="N120" s="365">
        <v>26</v>
      </c>
      <c r="O120" s="489">
        <v>1</v>
      </c>
      <c r="P120" s="2"/>
      <c r="Q120" s="4">
        <f>SUM(M120:P120)</f>
        <v>27</v>
      </c>
      <c r="X120" s="2"/>
      <c r="Z120" s="68"/>
      <c r="AB120">
        <v>-430</v>
      </c>
    </row>
    <row r="121" spans="10:28">
      <c r="J121" s="67"/>
      <c r="K121" s="2" t="s">
        <v>76</v>
      </c>
      <c r="L121" s="4">
        <v>20</v>
      </c>
      <c r="M121" s="2"/>
      <c r="N121" s="365">
        <v>4</v>
      </c>
      <c r="O121" s="2"/>
      <c r="P121" s="2">
        <v>3</v>
      </c>
      <c r="Q121" s="4">
        <f>SUM(M121:P121)</f>
        <v>7</v>
      </c>
      <c r="S121" s="350">
        <f>+$N$22</f>
        <v>3250</v>
      </c>
      <c r="T121" s="353">
        <v>1950</v>
      </c>
      <c r="X121" s="2"/>
      <c r="Z121" s="351">
        <v>-1397.1992750043487</v>
      </c>
    </row>
    <row r="122" spans="10:28">
      <c r="J122" s="67"/>
      <c r="K122" s="2" t="s">
        <v>76</v>
      </c>
      <c r="L122" s="4">
        <v>10</v>
      </c>
      <c r="M122" s="2"/>
      <c r="N122" s="365">
        <v>2</v>
      </c>
      <c r="O122" s="2"/>
      <c r="P122" s="2">
        <v>0.5</v>
      </c>
      <c r="Q122" s="4">
        <f>SUM(M122:P122)</f>
        <v>2.5</v>
      </c>
      <c r="W122" s="2" t="s">
        <v>75</v>
      </c>
      <c r="X122" s="2">
        <f>Q123</f>
        <v>1515</v>
      </c>
      <c r="Z122" s="351">
        <v>35257.290322580644</v>
      </c>
    </row>
    <row r="123" spans="10:28">
      <c r="J123" s="67"/>
      <c r="K123" s="4" t="s">
        <v>75</v>
      </c>
      <c r="M123" s="2">
        <f>SUMPRODUCT($L118:$L122,M118:M122)</f>
        <v>0</v>
      </c>
      <c r="N123" s="2">
        <f>SUMPRODUCT($L118:$L122,N118:N122)</f>
        <v>1400</v>
      </c>
      <c r="O123" s="191">
        <f>SUMPRODUCT($L118:$L122,O118:O122)</f>
        <v>50</v>
      </c>
      <c r="P123" s="2">
        <f>SUMPRODUCT($L118:$L122,P118:P122)</f>
        <v>65</v>
      </c>
      <c r="Q123" s="4">
        <f>SUM(M123:P123)</f>
        <v>1515</v>
      </c>
      <c r="W123" s="2" t="s">
        <v>77</v>
      </c>
      <c r="X123" s="14">
        <f>+Q134/$O$22</f>
        <v>543.78621045287707</v>
      </c>
      <c r="Z123" s="68"/>
      <c r="AA123" s="121" t="s">
        <v>11</v>
      </c>
      <c r="AB123" s="240">
        <f>Q94-Q123</f>
        <v>0</v>
      </c>
    </row>
    <row r="124" spans="10:28">
      <c r="J124" s="67"/>
      <c r="M124" s="2"/>
      <c r="N124" s="2"/>
      <c r="O124" s="2"/>
      <c r="P124" s="2"/>
      <c r="W124" s="4" t="s">
        <v>838</v>
      </c>
      <c r="X124" s="14">
        <f>SUM(X122:X123)</f>
        <v>2058.7862104528772</v>
      </c>
      <c r="Z124" s="68"/>
      <c r="AA124" s="299" t="s">
        <v>587</v>
      </c>
      <c r="AB124" s="4">
        <f>AB95</f>
        <v>950</v>
      </c>
    </row>
    <row r="125" spans="10:28">
      <c r="J125" s="67"/>
      <c r="K125" s="2" t="s">
        <v>76</v>
      </c>
      <c r="L125" s="4">
        <v>500</v>
      </c>
      <c r="M125" s="2"/>
      <c r="N125" s="2"/>
      <c r="O125" s="2"/>
      <c r="P125" s="2"/>
      <c r="Q125" s="4">
        <f t="shared" ref="Q125:Q130" si="5">SUM(M125:P125)</f>
        <v>0</v>
      </c>
      <c r="S125" s="2" t="s">
        <v>571</v>
      </c>
      <c r="T125" s="4">
        <f>SUM(T119:T124)</f>
        <v>1950</v>
      </c>
      <c r="U125" s="4" t="s">
        <v>17</v>
      </c>
      <c r="X125" s="2"/>
      <c r="Z125" s="68"/>
      <c r="AA125" s="92"/>
      <c r="AB125" s="297">
        <f>+AB124+Q123</f>
        <v>2465</v>
      </c>
    </row>
    <row r="126" spans="10:28">
      <c r="J126" s="67"/>
      <c r="K126" s="2" t="s">
        <v>76</v>
      </c>
      <c r="L126" s="4">
        <v>500</v>
      </c>
      <c r="M126" s="2">
        <v>25</v>
      </c>
      <c r="N126" s="2">
        <v>0</v>
      </c>
      <c r="O126" s="2"/>
      <c r="P126" s="2">
        <v>2</v>
      </c>
      <c r="Q126" s="4">
        <f t="shared" si="5"/>
        <v>27</v>
      </c>
      <c r="T126" s="4">
        <f>+T125*'cash IX'!$O$22</f>
        <v>49450.5</v>
      </c>
      <c r="U126" s="4" t="s">
        <v>135</v>
      </c>
      <c r="X126" s="2"/>
      <c r="Z126" s="68"/>
    </row>
    <row r="127" spans="10:28">
      <c r="J127" s="67"/>
      <c r="K127" s="2" t="s">
        <v>76</v>
      </c>
      <c r="L127" s="4">
        <v>200</v>
      </c>
      <c r="M127" s="2"/>
      <c r="N127" s="2"/>
      <c r="O127" s="2"/>
      <c r="P127" s="2">
        <v>1</v>
      </c>
      <c r="Q127" s="4">
        <f t="shared" si="5"/>
        <v>1</v>
      </c>
      <c r="W127" s="2" t="s">
        <v>584</v>
      </c>
      <c r="X127" s="203">
        <f>+X124-X119</f>
        <v>-9.0145145427741227</v>
      </c>
      <c r="Z127" s="68"/>
    </row>
    <row r="128" spans="10:28">
      <c r="J128" s="67"/>
      <c r="K128" s="2" t="s">
        <v>76</v>
      </c>
      <c r="L128" s="4">
        <v>100</v>
      </c>
      <c r="M128" s="2"/>
      <c r="N128" s="2"/>
      <c r="O128" s="2"/>
      <c r="P128" s="2">
        <v>0</v>
      </c>
      <c r="Q128" s="4">
        <f t="shared" si="5"/>
        <v>0</v>
      </c>
      <c r="S128" s="2" t="s">
        <v>842</v>
      </c>
      <c r="T128" s="28">
        <f>T117-T121</f>
        <v>1515</v>
      </c>
      <c r="Z128" s="68"/>
    </row>
    <row r="129" spans="10:28">
      <c r="J129" s="67"/>
      <c r="K129" s="2" t="s">
        <v>76</v>
      </c>
      <c r="L129" s="4">
        <v>50</v>
      </c>
      <c r="M129" s="2"/>
      <c r="N129" s="2"/>
      <c r="O129" s="2"/>
      <c r="P129" s="2">
        <v>1</v>
      </c>
      <c r="Q129" s="4">
        <f t="shared" si="5"/>
        <v>1</v>
      </c>
      <c r="Y129" s="2"/>
      <c r="Z129" s="68"/>
      <c r="AB129" t="s">
        <v>784</v>
      </c>
    </row>
    <row r="130" spans="10:28">
      <c r="J130" s="67"/>
      <c r="K130" s="2" t="s">
        <v>76</v>
      </c>
      <c r="L130" s="4">
        <v>20</v>
      </c>
      <c r="M130" s="2"/>
      <c r="N130" s="2"/>
      <c r="O130" s="2"/>
      <c r="P130" s="2">
        <v>0</v>
      </c>
      <c r="Q130" s="4">
        <f t="shared" si="5"/>
        <v>0</v>
      </c>
      <c r="X130" s="2"/>
      <c r="Y130" s="2"/>
      <c r="Z130" s="125"/>
      <c r="AB130" t="s">
        <v>785</v>
      </c>
    </row>
    <row r="131" spans="10:28">
      <c r="J131" s="67"/>
      <c r="K131" s="2" t="s">
        <v>76</v>
      </c>
      <c r="L131" s="4">
        <v>10</v>
      </c>
      <c r="M131" s="2"/>
      <c r="N131" s="2"/>
      <c r="O131" s="2"/>
      <c r="P131" s="2">
        <v>4</v>
      </c>
      <c r="Q131" s="4">
        <v>0</v>
      </c>
      <c r="X131" s="4" t="s">
        <v>75</v>
      </c>
      <c r="Y131" s="4" t="s">
        <v>77</v>
      </c>
      <c r="Z131" s="126" t="s">
        <v>590</v>
      </c>
    </row>
    <row r="132" spans="10:28">
      <c r="J132" s="67"/>
      <c r="K132" s="2" t="s">
        <v>76</v>
      </c>
      <c r="L132" s="4">
        <v>5</v>
      </c>
      <c r="M132" s="2"/>
      <c r="N132" s="2"/>
      <c r="O132" s="2"/>
      <c r="P132" s="2"/>
      <c r="Q132" s="4">
        <f>SUM(M132:P132)</f>
        <v>0</v>
      </c>
      <c r="V132" s="2" t="s">
        <v>588</v>
      </c>
      <c r="W132" s="2" t="s">
        <v>9</v>
      </c>
      <c r="X132" s="142">
        <f>+Q123</f>
        <v>1515</v>
      </c>
      <c r="Y132" s="142">
        <f>+Q123*'cash IX'!$O$22</f>
        <v>38419.234615384616</v>
      </c>
      <c r="Z132" s="235">
        <f>+Y132/'cash IX'!$O$22</f>
        <v>1515</v>
      </c>
    </row>
    <row r="133" spans="10:28">
      <c r="J133" s="67"/>
      <c r="K133" s="2" t="s">
        <v>76</v>
      </c>
      <c r="L133" s="4">
        <v>2</v>
      </c>
      <c r="M133" s="2"/>
      <c r="N133" s="2"/>
      <c r="O133" s="2"/>
      <c r="P133" s="2"/>
      <c r="Q133" s="4">
        <f>SUM(M133:P133)</f>
        <v>0</v>
      </c>
      <c r="V133" s="2" t="s">
        <v>588</v>
      </c>
      <c r="W133" s="2" t="s">
        <v>135</v>
      </c>
      <c r="X133" s="142">
        <f>+Q134/'cash IX'!$O$22</f>
        <v>543.78621045287707</v>
      </c>
      <c r="Y133" s="142">
        <f>+Q134</f>
        <v>13790</v>
      </c>
      <c r="Z133" s="235">
        <f>+Y133/'cash IX'!$O$22</f>
        <v>543.78621045287707</v>
      </c>
    </row>
    <row r="134" spans="10:28">
      <c r="J134" s="67"/>
      <c r="K134" s="4" t="s">
        <v>77</v>
      </c>
      <c r="M134" s="2">
        <f>SUMPRODUCT($L125:$L133,M125:M133)</f>
        <v>12500</v>
      </c>
      <c r="N134" s="2">
        <f>SUMPRODUCT($L125:$L133,N125:N133)</f>
        <v>0</v>
      </c>
      <c r="O134" s="2">
        <f>SUMPRODUCT($L125:$L133,O125:O133)</f>
        <v>0</v>
      </c>
      <c r="P134" s="2">
        <f>SUMPRODUCT($L125:$L133,P125:P133)</f>
        <v>1290</v>
      </c>
      <c r="Q134" s="4">
        <f>SUM(M134:P134)</f>
        <v>13790</v>
      </c>
      <c r="V134" s="2" t="s">
        <v>589</v>
      </c>
      <c r="W134" s="2" t="s">
        <v>135</v>
      </c>
      <c r="X134" s="142">
        <f>-X118</f>
        <v>1397.1992750043487</v>
      </c>
      <c r="Y134" s="142">
        <f>+Q136</f>
        <v>35257.290322580644</v>
      </c>
      <c r="Z134" s="235">
        <f>+Y134/'cash IX'!$O$22</f>
        <v>1390.313872034302</v>
      </c>
    </row>
    <row r="135" spans="10:28">
      <c r="J135" s="67"/>
      <c r="Q135" s="311">
        <f>Q134/'cash IX'!$O$22</f>
        <v>543.78621045287707</v>
      </c>
      <c r="V135" s="2" t="s">
        <v>780</v>
      </c>
      <c r="X135" s="142">
        <f>SUM(X132:X134)</f>
        <v>3455.9854854572259</v>
      </c>
      <c r="Y135" s="142">
        <f>SUM(Y132:Y134)</f>
        <v>87466.524937965267</v>
      </c>
      <c r="Z135" s="235">
        <f>SUM(Z132:Z134)</f>
        <v>3449.100082487179</v>
      </c>
    </row>
    <row r="136" spans="10:28">
      <c r="J136" s="67"/>
      <c r="N136" t="s">
        <v>563</v>
      </c>
      <c r="P136" s="4" t="str">
        <f>IF(Q136=Z119,"OK","attention")</f>
        <v>attention</v>
      </c>
      <c r="Q136" s="352">
        <f>Z122</f>
        <v>35257.290322580644</v>
      </c>
      <c r="R136" s="296" t="str">
        <f>+J116</f>
        <v>au 26/6/2023</v>
      </c>
      <c r="X136" s="142"/>
      <c r="Y136" s="142">
        <f>+Y135/'cash IX'!$O$22</f>
        <v>3449.1000824871794</v>
      </c>
      <c r="Z136" s="302"/>
    </row>
    <row r="137" spans="10:28" ht="15" thickBot="1">
      <c r="J137" s="67"/>
      <c r="Q137" s="417">
        <f>Q136/'cash IX'!$O$22</f>
        <v>1390.313872034302</v>
      </c>
      <c r="Y137" s="142"/>
      <c r="Z137" s="302"/>
    </row>
    <row r="138" spans="10:28" ht="15" thickBot="1">
      <c r="J138" s="67"/>
      <c r="N138" s="9" t="s">
        <v>778</v>
      </c>
      <c r="Q138" s="322">
        <f>+Q134+Q136</f>
        <v>49047.290322580644</v>
      </c>
      <c r="S138" s="349">
        <f>+Q138-T126</f>
        <v>-403.20967741935601</v>
      </c>
      <c r="V138" s="2" t="s">
        <v>608</v>
      </c>
      <c r="W138" s="27">
        <f>Q123*'cash IX'!$O$22+'cash IX'!Q134</f>
        <v>52209.234615384616</v>
      </c>
      <c r="X138" s="6">
        <f>+W138/'cash IX'!$O$22</f>
        <v>2058.7862104528772</v>
      </c>
      <c r="Y138" s="142">
        <f>X138-X109</f>
        <v>-424.69742469742459</v>
      </c>
      <c r="Z138" s="302"/>
    </row>
    <row r="139" spans="10:28">
      <c r="J139" s="67"/>
      <c r="M139" s="2"/>
      <c r="Q139" s="417">
        <f>Q138/'cash IX'!$O$22</f>
        <v>1934.1000824871792</v>
      </c>
      <c r="S139" s="289">
        <f>+S138/$O$23</f>
        <v>-15.899917512820785</v>
      </c>
      <c r="V139" s="2" t="s">
        <v>609</v>
      </c>
      <c r="W139" s="27">
        <f>Q136</f>
        <v>35257.290322580644</v>
      </c>
      <c r="X139" s="6">
        <f>+W139/'cash IX'!$O$22</f>
        <v>1390.313872034302</v>
      </c>
      <c r="Y139" s="142">
        <f>X139-X110</f>
        <v>419.89800161843164</v>
      </c>
      <c r="Z139" s="302"/>
      <c r="AA139" s="2"/>
    </row>
    <row r="140" spans="10:28">
      <c r="J140" s="67"/>
      <c r="N140" s="9" t="s">
        <v>779</v>
      </c>
      <c r="O140" s="9"/>
      <c r="Q140" s="28">
        <f>Q123+(Q138/'cash IX'!$O$22)</f>
        <v>3449.100082487179</v>
      </c>
      <c r="S140"/>
      <c r="T140"/>
      <c r="V140" s="2" t="s">
        <v>14</v>
      </c>
      <c r="W140" s="233">
        <f>SUM(W138:W139)</f>
        <v>87466.524937965267</v>
      </c>
      <c r="X140" s="6">
        <f>SUM(X138:X139)</f>
        <v>3449.100082487179</v>
      </c>
      <c r="Y140" s="142">
        <f>X140-X111</f>
        <v>-4.7994230789931862</v>
      </c>
      <c r="Z140" s="302"/>
      <c r="AA140" s="2"/>
      <c r="AB140" s="28">
        <f>Q140-Q111</f>
        <v>-4.7994230789931862</v>
      </c>
    </row>
    <row r="141" spans="10:28">
      <c r="J141" s="67"/>
      <c r="Q141" s="417">
        <f>Q123+Q135+Q137</f>
        <v>3449.100082487179</v>
      </c>
      <c r="S141"/>
      <c r="T141"/>
      <c r="Z141" s="302"/>
      <c r="AB141" s="27">
        <f>+AB140*'cash IX'!$O$22</f>
        <v>-121.70967741936029</v>
      </c>
    </row>
    <row r="142" spans="10:28">
      <c r="J142" s="92"/>
      <c r="K142" s="87"/>
      <c r="L142" s="87"/>
      <c r="M142" s="87"/>
      <c r="N142" s="87"/>
      <c r="O142" s="87"/>
      <c r="P142" s="87"/>
      <c r="Q142" s="87"/>
      <c r="R142" s="87"/>
      <c r="S142" s="297"/>
      <c r="T142" s="297"/>
      <c r="U142" s="297"/>
      <c r="V142" s="297"/>
      <c r="W142" s="297"/>
      <c r="X142" s="87"/>
      <c r="Y142" s="87"/>
      <c r="Z142" s="88"/>
    </row>
    <row r="145" spans="10:28">
      <c r="J145" s="332" t="s">
        <v>1108</v>
      </c>
      <c r="K145" s="188"/>
      <c r="L145" s="188"/>
      <c r="M145" s="188"/>
      <c r="N145" s="188"/>
      <c r="O145" s="188"/>
      <c r="P145" s="188"/>
      <c r="Q145" s="188"/>
      <c r="R145" s="188" t="s">
        <v>578</v>
      </c>
      <c r="S145" s="293"/>
      <c r="T145" s="293"/>
      <c r="U145" s="293"/>
      <c r="V145" s="293"/>
      <c r="W145" s="293"/>
      <c r="X145" s="188" t="s">
        <v>75</v>
      </c>
      <c r="Y145" s="188"/>
      <c r="Z145" s="189"/>
    </row>
    <row r="146" spans="10:28">
      <c r="J146" s="67"/>
      <c r="K146" t="s">
        <v>565</v>
      </c>
      <c r="L146" s="2"/>
      <c r="M146" s="2"/>
      <c r="N146" s="2"/>
      <c r="O146" s="2"/>
      <c r="P146" s="2"/>
      <c r="S146" s="2" t="s">
        <v>762</v>
      </c>
      <c r="T146" s="161">
        <f>Q152+T150</f>
        <v>3465</v>
      </c>
      <c r="U146" s="215">
        <f>T146-X146</f>
        <v>0</v>
      </c>
      <c r="W146" s="2" t="s">
        <v>565</v>
      </c>
      <c r="X146" s="215">
        <f>W$5+$M$22+L$22</f>
        <v>3465</v>
      </c>
      <c r="Y146" s="4" t="str">
        <f>IF(X147=Z147,"OK","attention")</f>
        <v>attention</v>
      </c>
      <c r="Z146" s="68"/>
      <c r="AB146">
        <v>0</v>
      </c>
    </row>
    <row r="147" spans="10:28">
      <c r="J147" s="67"/>
      <c r="K147" s="2" t="s">
        <v>76</v>
      </c>
      <c r="L147" s="4">
        <v>200</v>
      </c>
      <c r="M147" s="2"/>
      <c r="N147" s="2"/>
      <c r="O147" s="2"/>
      <c r="P147" s="2"/>
      <c r="W147" s="2" t="s">
        <v>563</v>
      </c>
      <c r="X147" s="353">
        <f>Z150</f>
        <v>-1590.7852935539634</v>
      </c>
      <c r="Y147" s="142">
        <f>+X147-X118</f>
        <v>-193.58601854961466</v>
      </c>
      <c r="Z147" s="350">
        <f>-VietnamIX!$BE$40</f>
        <v>-3206.3269963609514</v>
      </c>
    </row>
    <row r="148" spans="10:28">
      <c r="J148" s="67"/>
      <c r="K148" s="2" t="s">
        <v>76</v>
      </c>
      <c r="L148" s="4">
        <v>100</v>
      </c>
      <c r="M148" s="2"/>
      <c r="N148" s="2"/>
      <c r="O148" s="2"/>
      <c r="P148" s="2"/>
      <c r="W148" s="4" t="s">
        <v>839</v>
      </c>
      <c r="X148" s="142">
        <f>SUM(X146:X147)</f>
        <v>1874.2147064460366</v>
      </c>
      <c r="Z148" s="350">
        <f>VietnamIX!$BD$40</f>
        <v>80909.290322580637</v>
      </c>
      <c r="AB148">
        <f>26*25</f>
        <v>650</v>
      </c>
    </row>
    <row r="149" spans="10:28" ht="15.6">
      <c r="J149" s="67"/>
      <c r="K149" s="2" t="s">
        <v>76</v>
      </c>
      <c r="L149" s="4">
        <v>50</v>
      </c>
      <c r="M149" s="2"/>
      <c r="N149" s="365">
        <v>26</v>
      </c>
      <c r="O149" s="489">
        <v>1</v>
      </c>
      <c r="P149" s="2"/>
      <c r="Q149" s="4">
        <f>SUM(M149:P149)</f>
        <v>27</v>
      </c>
      <c r="X149" s="2"/>
      <c r="Z149" s="68"/>
      <c r="AB149">
        <v>-430</v>
      </c>
    </row>
    <row r="150" spans="10:28">
      <c r="J150" s="67"/>
      <c r="K150" s="2" t="s">
        <v>76</v>
      </c>
      <c r="L150" s="4">
        <v>20</v>
      </c>
      <c r="M150" s="2"/>
      <c r="N150" s="365">
        <v>4</v>
      </c>
      <c r="O150" s="2"/>
      <c r="P150" s="2">
        <v>3</v>
      </c>
      <c r="Q150" s="4">
        <f>SUM(M150:P150)</f>
        <v>7</v>
      </c>
      <c r="S150" s="350">
        <f>+$N$22</f>
        <v>3250</v>
      </c>
      <c r="T150" s="353">
        <v>1950</v>
      </c>
      <c r="X150" s="2"/>
      <c r="Z150" s="351">
        <v>-1590.7852935539634</v>
      </c>
    </row>
    <row r="151" spans="10:28">
      <c r="J151" s="67"/>
      <c r="K151" s="2" t="s">
        <v>76</v>
      </c>
      <c r="L151" s="4">
        <v>10</v>
      </c>
      <c r="M151" s="2"/>
      <c r="N151" s="365">
        <v>2</v>
      </c>
      <c r="O151" s="2"/>
      <c r="P151" s="2">
        <v>0.5</v>
      </c>
      <c r="Q151" s="4">
        <f>SUM(M151:P151)</f>
        <v>2.5</v>
      </c>
      <c r="W151" s="2" t="s">
        <v>75</v>
      </c>
      <c r="X151" s="2">
        <f>Q152</f>
        <v>1515</v>
      </c>
      <c r="Z151" s="351">
        <v>40142.290322580644</v>
      </c>
    </row>
    <row r="152" spans="10:28">
      <c r="J152" s="67"/>
      <c r="K152" s="4" t="s">
        <v>75</v>
      </c>
      <c r="M152" s="2">
        <f>SUMPRODUCT($L147:$L151,M147:M151)</f>
        <v>0</v>
      </c>
      <c r="N152" s="2">
        <f>SUMPRODUCT($L147:$L151,N147:N151)</f>
        <v>1400</v>
      </c>
      <c r="O152" s="191">
        <f>SUMPRODUCT($L147:$L151,O147:O151)</f>
        <v>50</v>
      </c>
      <c r="P152" s="2">
        <f>SUMPRODUCT($L147:$L151,P147:P151)</f>
        <v>65</v>
      </c>
      <c r="Q152" s="4">
        <f>SUM(M152:P152)</f>
        <v>1515</v>
      </c>
      <c r="W152" s="2" t="s">
        <v>77</v>
      </c>
      <c r="X152" s="14">
        <f>+Q163/$O$22</f>
        <v>315.4669821336488</v>
      </c>
      <c r="Z152" s="68"/>
      <c r="AA152" s="121" t="s">
        <v>11</v>
      </c>
      <c r="AB152" s="240">
        <f>Q123-Q152</f>
        <v>0</v>
      </c>
    </row>
    <row r="153" spans="10:28">
      <c r="J153" s="67"/>
      <c r="M153" s="2"/>
      <c r="N153" s="2"/>
      <c r="O153" s="2"/>
      <c r="P153" s="2"/>
      <c r="W153" s="4" t="s">
        <v>838</v>
      </c>
      <c r="X153" s="14">
        <f>SUM(X151:X152)</f>
        <v>1830.4669821336488</v>
      </c>
      <c r="Z153" s="68"/>
      <c r="AA153" s="299" t="s">
        <v>587</v>
      </c>
      <c r="AB153" s="4">
        <f>AB124</f>
        <v>950</v>
      </c>
    </row>
    <row r="154" spans="10:28">
      <c r="J154" s="67"/>
      <c r="K154" s="2" t="s">
        <v>76</v>
      </c>
      <c r="L154" s="4">
        <v>500</v>
      </c>
      <c r="M154" s="2"/>
      <c r="N154" s="2"/>
      <c r="O154" s="2"/>
      <c r="P154" s="2"/>
      <c r="Q154" s="4">
        <f t="shared" ref="Q154:Q159" si="6">SUM(M154:P154)</f>
        <v>0</v>
      </c>
      <c r="S154" s="2" t="s">
        <v>571</v>
      </c>
      <c r="T154" s="4">
        <f>SUM(T148:T153)</f>
        <v>1950</v>
      </c>
      <c r="U154" s="4" t="s">
        <v>17</v>
      </c>
      <c r="X154" s="2"/>
      <c r="Z154" s="68"/>
      <c r="AA154" s="92"/>
      <c r="AB154" s="297">
        <f>+AB153+Q152</f>
        <v>2465</v>
      </c>
    </row>
    <row r="155" spans="10:28">
      <c r="J155" s="67"/>
      <c r="K155" s="2" t="s">
        <v>76</v>
      </c>
      <c r="L155" s="4">
        <v>500</v>
      </c>
      <c r="M155" s="2">
        <v>10</v>
      </c>
      <c r="N155" s="2">
        <v>1</v>
      </c>
      <c r="O155" s="2"/>
      <c r="P155" s="2">
        <v>4</v>
      </c>
      <c r="Q155" s="4">
        <f t="shared" si="6"/>
        <v>15</v>
      </c>
      <c r="T155" s="4">
        <f>+T154*'cash IX'!$O$22</f>
        <v>49450.5</v>
      </c>
      <c r="U155" s="4" t="s">
        <v>135</v>
      </c>
      <c r="X155" s="2"/>
      <c r="Z155" s="68"/>
    </row>
    <row r="156" spans="10:28">
      <c r="J156" s="67"/>
      <c r="K156" s="2" t="s">
        <v>76</v>
      </c>
      <c r="L156" s="4">
        <v>200</v>
      </c>
      <c r="M156" s="2"/>
      <c r="N156" s="2"/>
      <c r="O156" s="2"/>
      <c r="P156" s="2">
        <v>1</v>
      </c>
      <c r="Q156" s="4">
        <f t="shared" si="6"/>
        <v>1</v>
      </c>
      <c r="W156" s="2" t="s">
        <v>584</v>
      </c>
      <c r="X156" s="203">
        <f>+X153-X148</f>
        <v>-43.747724312387845</v>
      </c>
      <c r="Z156" s="68"/>
    </row>
    <row r="157" spans="10:28">
      <c r="J157" s="67"/>
      <c r="K157" s="2" t="s">
        <v>76</v>
      </c>
      <c r="L157" s="4">
        <v>100</v>
      </c>
      <c r="M157" s="2"/>
      <c r="N157" s="2"/>
      <c r="O157" s="2"/>
      <c r="P157" s="2">
        <v>3</v>
      </c>
      <c r="Q157" s="4">
        <f t="shared" si="6"/>
        <v>3</v>
      </c>
      <c r="S157" s="2" t="s">
        <v>842</v>
      </c>
      <c r="T157" s="28">
        <f>T146-T150</f>
        <v>1515</v>
      </c>
      <c r="Z157" s="68"/>
    </row>
    <row r="158" spans="10:28">
      <c r="J158" s="67"/>
      <c r="K158" s="2" t="s">
        <v>76</v>
      </c>
      <c r="L158" s="4">
        <v>50</v>
      </c>
      <c r="M158" s="2"/>
      <c r="N158" s="2"/>
      <c r="O158" s="2"/>
      <c r="P158" s="2"/>
      <c r="Q158" s="4">
        <f t="shared" si="6"/>
        <v>0</v>
      </c>
      <c r="Y158" s="2"/>
      <c r="Z158" s="68"/>
      <c r="AB158" t="s">
        <v>784</v>
      </c>
    </row>
    <row r="159" spans="10:28">
      <c r="J159" s="67"/>
      <c r="K159" s="2" t="s">
        <v>76</v>
      </c>
      <c r="L159" s="4">
        <v>20</v>
      </c>
      <c r="M159" s="2"/>
      <c r="N159" s="2"/>
      <c r="O159" s="2"/>
      <c r="P159" s="2"/>
      <c r="Q159" s="4">
        <f t="shared" si="6"/>
        <v>0</v>
      </c>
      <c r="X159" s="2"/>
      <c r="Y159" s="2"/>
      <c r="Z159" s="125"/>
      <c r="AB159" t="s">
        <v>785</v>
      </c>
    </row>
    <row r="160" spans="10:28">
      <c r="J160" s="67"/>
      <c r="K160" s="2" t="s">
        <v>76</v>
      </c>
      <c r="L160" s="4">
        <v>10</v>
      </c>
      <c r="M160" s="2"/>
      <c r="N160" s="2"/>
      <c r="O160" s="2"/>
      <c r="P160" s="2"/>
      <c r="Q160" s="4">
        <v>0</v>
      </c>
      <c r="X160" s="4" t="s">
        <v>75</v>
      </c>
      <c r="Y160" s="4" t="s">
        <v>77</v>
      </c>
      <c r="Z160" s="126" t="s">
        <v>590</v>
      </c>
    </row>
    <row r="161" spans="10:28">
      <c r="J161" s="67"/>
      <c r="K161" s="2" t="s">
        <v>76</v>
      </c>
      <c r="L161" s="4">
        <v>5</v>
      </c>
      <c r="M161" s="2"/>
      <c r="N161" s="2"/>
      <c r="O161" s="2"/>
      <c r="P161" s="2"/>
      <c r="Q161" s="4">
        <f>SUM(M161:P161)</f>
        <v>0</v>
      </c>
      <c r="V161" s="2" t="s">
        <v>588</v>
      </c>
      <c r="W161" s="2" t="s">
        <v>9</v>
      </c>
      <c r="X161" s="142">
        <f>+Q152</f>
        <v>1515</v>
      </c>
      <c r="Y161" s="142">
        <f>+Q152*'cash IX'!$O$22</f>
        <v>38419.234615384616</v>
      </c>
      <c r="Z161" s="235">
        <f>+Y161/'cash IX'!$O$22</f>
        <v>1515</v>
      </c>
    </row>
    <row r="162" spans="10:28">
      <c r="J162" s="67"/>
      <c r="K162" s="2" t="s">
        <v>76</v>
      </c>
      <c r="L162" s="4">
        <v>2</v>
      </c>
      <c r="M162" s="2"/>
      <c r="N162" s="2"/>
      <c r="O162" s="2"/>
      <c r="P162" s="2"/>
      <c r="Q162" s="4">
        <f>SUM(M162:P162)</f>
        <v>0</v>
      </c>
      <c r="V162" s="2" t="s">
        <v>588</v>
      </c>
      <c r="W162" s="2" t="s">
        <v>135</v>
      </c>
      <c r="X162" s="142">
        <f>+Q163/'cash IX'!$O$22</f>
        <v>315.4669821336488</v>
      </c>
      <c r="Y162" s="142">
        <f>+Q163</f>
        <v>8000</v>
      </c>
      <c r="Z162" s="235">
        <f>+Y162/'cash IX'!$O$22</f>
        <v>315.4669821336488</v>
      </c>
    </row>
    <row r="163" spans="10:28">
      <c r="J163" s="67"/>
      <c r="K163" s="4" t="s">
        <v>77</v>
      </c>
      <c r="M163" s="2">
        <f>SUMPRODUCT($L154:$L162,M154:M162)</f>
        <v>5000</v>
      </c>
      <c r="N163" s="2">
        <f>SUMPRODUCT($L154:$L162,N154:N162)</f>
        <v>500</v>
      </c>
      <c r="O163" s="2">
        <f>SUMPRODUCT($L154:$L162,O154:O162)</f>
        <v>0</v>
      </c>
      <c r="P163" s="2">
        <f>SUMPRODUCT($L154:$L162,P154:P162)</f>
        <v>2500</v>
      </c>
      <c r="Q163" s="4">
        <f>SUM(M163:P163)</f>
        <v>8000</v>
      </c>
      <c r="V163" s="2" t="s">
        <v>589</v>
      </c>
      <c r="W163" s="2" t="s">
        <v>135</v>
      </c>
      <c r="X163" s="142">
        <f>-X147</f>
        <v>1590.7852935539634</v>
      </c>
      <c r="Y163" s="142">
        <f>+Q165</f>
        <v>40142.290322580644</v>
      </c>
      <c r="Z163" s="235">
        <f>+Y163/'cash IX'!$O$22</f>
        <v>1582.9458979996614</v>
      </c>
    </row>
    <row r="164" spans="10:28">
      <c r="J164" s="67"/>
      <c r="Q164" s="311">
        <f>Q163/'cash IX'!$O$22</f>
        <v>315.4669821336488</v>
      </c>
      <c r="V164" s="2" t="s">
        <v>780</v>
      </c>
      <c r="X164" s="142">
        <f>SUM(X161:X163)</f>
        <v>3421.2522756876124</v>
      </c>
      <c r="Y164" s="142">
        <f>SUM(Y161:Y163)</f>
        <v>86561.524937965267</v>
      </c>
      <c r="Z164" s="235">
        <f>SUM(Z161:Z163)</f>
        <v>3413.41288013331</v>
      </c>
    </row>
    <row r="165" spans="10:28">
      <c r="J165" s="67"/>
      <c r="N165" t="s">
        <v>563</v>
      </c>
      <c r="P165" s="4" t="str">
        <f>IF(Q165=Z148,"OK","attention")</f>
        <v>attention</v>
      </c>
      <c r="Q165" s="352">
        <f>Z151</f>
        <v>40142.290322580644</v>
      </c>
      <c r="R165" s="296" t="str">
        <f>+J145</f>
        <v>au 30/6/2023</v>
      </c>
      <c r="X165" s="142"/>
      <c r="Y165" s="142">
        <f>+Y164/'cash IX'!$O$22</f>
        <v>3413.4128801333104</v>
      </c>
      <c r="Z165" s="302"/>
    </row>
    <row r="166" spans="10:28" ht="15" thickBot="1">
      <c r="J166" s="67"/>
      <c r="Q166" s="417">
        <f>Q165/'cash IX'!$O$22</f>
        <v>1582.9458979996614</v>
      </c>
      <c r="Y166" s="142"/>
      <c r="Z166" s="302"/>
    </row>
    <row r="167" spans="10:28" ht="15" thickBot="1">
      <c r="J167" s="67"/>
      <c r="N167" s="9" t="s">
        <v>778</v>
      </c>
      <c r="Q167" s="322">
        <f>+Q163+Q165</f>
        <v>48142.290322580644</v>
      </c>
      <c r="S167" s="349">
        <f>+Q167-T155</f>
        <v>-1308.209677419356</v>
      </c>
      <c r="V167" s="2" t="s">
        <v>608</v>
      </c>
      <c r="W167" s="27">
        <f>Q152*'cash IX'!$O$22+'cash IX'!Q163</f>
        <v>46419.234615384616</v>
      </c>
      <c r="X167" s="6">
        <f>+W167/'cash IX'!$O$22</f>
        <v>1830.4669821336488</v>
      </c>
      <c r="Y167" s="142">
        <f>X167-X138</f>
        <v>-228.31922831922839</v>
      </c>
      <c r="Z167" s="302"/>
    </row>
    <row r="168" spans="10:28">
      <c r="J168" s="67"/>
      <c r="M168" s="2"/>
      <c r="Q168" s="417">
        <f>Q167/'cash IX'!$O$22</f>
        <v>1898.4128801333102</v>
      </c>
      <c r="S168" s="289">
        <f>+S167/'cash IX'!$O$22</f>
        <v>-51.587119866689804</v>
      </c>
      <c r="V168" s="2" t="s">
        <v>609</v>
      </c>
      <c r="W168" s="27">
        <f>Q165</f>
        <v>40142.290322580644</v>
      </c>
      <c r="X168" s="6">
        <f>+W168/'cash IX'!$O$22</f>
        <v>1582.9458979996614</v>
      </c>
      <c r="Y168" s="142">
        <f>X168-X139</f>
        <v>192.63202596535939</v>
      </c>
      <c r="Z168" s="302"/>
      <c r="AA168" s="2"/>
    </row>
    <row r="169" spans="10:28">
      <c r="J169" s="67"/>
      <c r="N169" s="9" t="s">
        <v>779</v>
      </c>
      <c r="O169" s="9"/>
      <c r="Q169" s="28">
        <f>Q152+(Q167/'cash IX'!$O$22)</f>
        <v>3413.41288013331</v>
      </c>
      <c r="S169"/>
      <c r="T169"/>
      <c r="V169" s="2" t="s">
        <v>14</v>
      </c>
      <c r="W169" s="233">
        <f>SUM(W167:W168)</f>
        <v>86561.524937965267</v>
      </c>
      <c r="X169" s="6">
        <f>SUM(X167:X168)</f>
        <v>3413.41288013331</v>
      </c>
      <c r="Y169" s="142">
        <f>X169-X140</f>
        <v>-35.687202353868997</v>
      </c>
      <c r="Z169" s="302"/>
      <c r="AA169" s="2"/>
      <c r="AB169" s="28">
        <f>Q169-Q140</f>
        <v>-35.687202353868997</v>
      </c>
    </row>
    <row r="170" spans="10:28">
      <c r="J170" s="67"/>
      <c r="Q170" s="417">
        <f>Q152+Q164+Q166</f>
        <v>3413.41288013331</v>
      </c>
      <c r="S170"/>
      <c r="T170"/>
      <c r="Z170" s="302"/>
      <c r="AB170" s="27">
        <f>+AB169*'cash IX'!$O$22</f>
        <v>-904.99999999999943</v>
      </c>
    </row>
    <row r="171" spans="10:28">
      <c r="J171" s="92"/>
      <c r="K171" s="87"/>
      <c r="L171" s="87"/>
      <c r="M171" s="87"/>
      <c r="N171" s="87"/>
      <c r="O171" s="87"/>
      <c r="P171" s="87"/>
      <c r="Q171" s="87"/>
      <c r="R171" s="87"/>
      <c r="S171" s="297"/>
      <c r="T171" s="297"/>
      <c r="U171" s="297"/>
      <c r="V171" s="297"/>
      <c r="W171" s="297"/>
      <c r="X171" s="87"/>
      <c r="Y171" s="87"/>
      <c r="Z171" s="88"/>
    </row>
    <row r="174" spans="10:28">
      <c r="J174" s="332" t="s">
        <v>1145</v>
      </c>
      <c r="K174" s="188"/>
      <c r="L174" s="188"/>
      <c r="M174" s="188"/>
      <c r="N174" s="188"/>
      <c r="O174" s="188"/>
      <c r="P174" s="188"/>
      <c r="Q174" s="188"/>
      <c r="R174" s="188" t="s">
        <v>578</v>
      </c>
      <c r="S174" s="293"/>
      <c r="T174" s="293"/>
      <c r="U174" s="293"/>
      <c r="V174" s="293"/>
      <c r="W174" s="293"/>
      <c r="X174" s="188" t="s">
        <v>75</v>
      </c>
      <c r="Y174" s="188"/>
      <c r="Z174" s="189"/>
    </row>
    <row r="175" spans="10:28">
      <c r="J175" s="67"/>
      <c r="K175" t="s">
        <v>565</v>
      </c>
      <c r="L175" s="2"/>
      <c r="M175" s="2"/>
      <c r="N175" s="2"/>
      <c r="O175" s="2"/>
      <c r="P175" s="2"/>
      <c r="S175" s="2" t="s">
        <v>762</v>
      </c>
      <c r="T175" s="161">
        <f>Q181+T179</f>
        <v>3465</v>
      </c>
      <c r="U175" s="215">
        <f>T175-X175</f>
        <v>0</v>
      </c>
      <c r="W175" s="2" t="s">
        <v>565</v>
      </c>
      <c r="X175" s="215">
        <f>W$5+$M$22+L$22</f>
        <v>3465</v>
      </c>
      <c r="Y175" s="4" t="str">
        <f>IF(X176=Z176,"OK","attention")</f>
        <v>attention</v>
      </c>
      <c r="Z175" s="68"/>
      <c r="AB175">
        <v>0</v>
      </c>
    </row>
    <row r="176" spans="10:28">
      <c r="J176" s="67"/>
      <c r="K176" s="2" t="s">
        <v>76</v>
      </c>
      <c r="L176" s="4">
        <v>200</v>
      </c>
      <c r="M176" s="2"/>
      <c r="N176" s="2"/>
      <c r="O176" s="2"/>
      <c r="P176" s="2"/>
      <c r="W176" s="2" t="s">
        <v>563</v>
      </c>
      <c r="X176" s="353">
        <f>Z179</f>
        <v>-2179.3898244684824</v>
      </c>
      <c r="Y176" s="142">
        <f>+X176-X147</f>
        <v>-588.60453091451905</v>
      </c>
      <c r="Z176" s="350">
        <f>-VietnamIX!$BE$40</f>
        <v>-3206.3269963609514</v>
      </c>
    </row>
    <row r="177" spans="10:28">
      <c r="J177" s="67"/>
      <c r="K177" s="2" t="s">
        <v>76</v>
      </c>
      <c r="L177" s="4">
        <v>100</v>
      </c>
      <c r="M177" s="2"/>
      <c r="N177" s="2"/>
      <c r="O177" s="2"/>
      <c r="P177" s="2"/>
      <c r="W177" s="4" t="s">
        <v>839</v>
      </c>
      <c r="X177" s="142">
        <f>SUM(X175:X176)</f>
        <v>1285.6101755315176</v>
      </c>
      <c r="Z177" s="350">
        <f>VietnamIX!$BD$40</f>
        <v>80909.290322580637</v>
      </c>
      <c r="AB177">
        <f>26*25</f>
        <v>650</v>
      </c>
    </row>
    <row r="178" spans="10:28" ht="15.6">
      <c r="J178" s="67"/>
      <c r="K178" s="2" t="s">
        <v>76</v>
      </c>
      <c r="L178" s="4">
        <v>50</v>
      </c>
      <c r="M178" s="2">
        <v>19</v>
      </c>
      <c r="N178" s="2"/>
      <c r="O178" s="489"/>
      <c r="P178" s="2"/>
      <c r="Q178" s="4">
        <f>SUM(M178:P178)</f>
        <v>19</v>
      </c>
      <c r="X178" s="2"/>
      <c r="Z178" s="68"/>
      <c r="AB178">
        <v>-430</v>
      </c>
    </row>
    <row r="179" spans="10:28">
      <c r="J179" s="67"/>
      <c r="K179" s="2" t="s">
        <v>76</v>
      </c>
      <c r="L179" s="4">
        <v>20</v>
      </c>
      <c r="M179" s="2">
        <v>4</v>
      </c>
      <c r="N179" s="2"/>
      <c r="O179" s="2"/>
      <c r="P179" s="2">
        <v>3</v>
      </c>
      <c r="Q179" s="4">
        <f>SUM(M179:P179)</f>
        <v>7</v>
      </c>
      <c r="S179" s="350">
        <f>+$N$22</f>
        <v>3250</v>
      </c>
      <c r="T179" s="353">
        <v>2350</v>
      </c>
      <c r="X179" s="2"/>
      <c r="Z179" s="351">
        <v>-2179.3898244684824</v>
      </c>
    </row>
    <row r="180" spans="10:28">
      <c r="J180" s="67"/>
      <c r="K180" s="2" t="s">
        <v>76</v>
      </c>
      <c r="L180" s="4">
        <v>10</v>
      </c>
      <c r="M180" s="2">
        <v>2</v>
      </c>
      <c r="N180" s="2"/>
      <c r="O180" s="2"/>
      <c r="P180" s="2">
        <v>0.5</v>
      </c>
      <c r="Q180" s="4">
        <f>SUM(M180:P180)</f>
        <v>2.5</v>
      </c>
      <c r="W180" s="2" t="s">
        <v>75</v>
      </c>
      <c r="X180" s="2">
        <f>Q181</f>
        <v>1115</v>
      </c>
      <c r="Z180" s="351">
        <v>54995.290322580644</v>
      </c>
    </row>
    <row r="181" spans="10:28">
      <c r="J181" s="67"/>
      <c r="K181" s="4" t="s">
        <v>75</v>
      </c>
      <c r="M181" s="2">
        <f>SUMPRODUCT($L176:$L180,M176:M180)</f>
        <v>1050</v>
      </c>
      <c r="N181" s="2"/>
      <c r="O181" s="191">
        <f>SUMPRODUCT($L176:$L180,O176:O180)</f>
        <v>0</v>
      </c>
      <c r="P181" s="2">
        <f>SUMPRODUCT($L176:$L180,P176:P180)</f>
        <v>65</v>
      </c>
      <c r="Q181" s="4">
        <f>SUM(M181:P181)</f>
        <v>1115</v>
      </c>
      <c r="W181" s="2" t="s">
        <v>77</v>
      </c>
      <c r="X181" s="14">
        <f>+Q192/$O$22</f>
        <v>145.86404586404586</v>
      </c>
      <c r="Z181" s="68"/>
      <c r="AA181" s="121" t="s">
        <v>11</v>
      </c>
      <c r="AB181" s="240">
        <f>Q152-Q181</f>
        <v>400</v>
      </c>
    </row>
    <row r="182" spans="10:28">
      <c r="J182" s="67"/>
      <c r="M182" s="2"/>
      <c r="N182" s="2"/>
      <c r="O182" s="2"/>
      <c r="P182" s="2"/>
      <c r="W182" s="4" t="s">
        <v>838</v>
      </c>
      <c r="X182" s="14">
        <f>SUM(X180:X181)</f>
        <v>1260.8640458640459</v>
      </c>
      <c r="Z182" s="68"/>
      <c r="AA182" s="299" t="s">
        <v>587</v>
      </c>
      <c r="AB182" s="4">
        <f>AB153</f>
        <v>950</v>
      </c>
    </row>
    <row r="183" spans="10:28">
      <c r="J183" s="67"/>
      <c r="K183" s="2" t="s">
        <v>76</v>
      </c>
      <c r="L183" s="4">
        <v>500</v>
      </c>
      <c r="M183" s="2"/>
      <c r="N183" s="2"/>
      <c r="O183" s="2"/>
      <c r="P183" s="2"/>
      <c r="Q183" s="4">
        <f t="shared" ref="Q183:Q188" si="7">SUM(M183:P183)</f>
        <v>0</v>
      </c>
      <c r="S183" s="2" t="s">
        <v>571</v>
      </c>
      <c r="T183" s="4">
        <f>SUM(T177:T182)</f>
        <v>2350</v>
      </c>
      <c r="U183" s="4" t="s">
        <v>17</v>
      </c>
      <c r="X183" s="2"/>
      <c r="Z183" s="68"/>
      <c r="AA183" s="92"/>
      <c r="AB183" s="297">
        <f>+AB182+Q181</f>
        <v>2065</v>
      </c>
    </row>
    <row r="184" spans="10:28">
      <c r="J184" s="67"/>
      <c r="K184" s="2" t="s">
        <v>76</v>
      </c>
      <c r="L184" s="4">
        <v>500</v>
      </c>
      <c r="M184" s="2">
        <v>5</v>
      </c>
      <c r="N184" s="2"/>
      <c r="O184" s="2"/>
      <c r="P184" s="2">
        <v>2</v>
      </c>
      <c r="Q184" s="4">
        <f t="shared" si="7"/>
        <v>7</v>
      </c>
      <c r="T184" s="4">
        <f>+T183*'cash IX'!$O$22</f>
        <v>59594.192307692312</v>
      </c>
      <c r="U184" s="4" t="s">
        <v>135</v>
      </c>
      <c r="X184" s="2"/>
      <c r="Z184" s="68"/>
    </row>
    <row r="185" spans="10:28">
      <c r="J185" s="67"/>
      <c r="K185" s="2" t="s">
        <v>76</v>
      </c>
      <c r="L185" s="4">
        <v>200</v>
      </c>
      <c r="M185" s="2"/>
      <c r="N185" s="2"/>
      <c r="O185" s="2"/>
      <c r="P185" s="2"/>
      <c r="Q185" s="4">
        <f t="shared" si="7"/>
        <v>0</v>
      </c>
      <c r="W185" s="2" t="s">
        <v>584</v>
      </c>
      <c r="X185" s="203">
        <f>+X182-X177</f>
        <v>-24.746129667471678</v>
      </c>
      <c r="Z185" s="68"/>
    </row>
    <row r="186" spans="10:28">
      <c r="J186" s="67"/>
      <c r="K186" s="2" t="s">
        <v>76</v>
      </c>
      <c r="L186" s="4">
        <v>100</v>
      </c>
      <c r="M186" s="2"/>
      <c r="N186" s="2"/>
      <c r="O186" s="2"/>
      <c r="P186" s="2">
        <v>1</v>
      </c>
      <c r="Q186" s="4">
        <f t="shared" si="7"/>
        <v>1</v>
      </c>
      <c r="S186" s="2" t="s">
        <v>842</v>
      </c>
      <c r="T186" s="28">
        <f>T175-T179</f>
        <v>1115</v>
      </c>
      <c r="Z186" s="68"/>
    </row>
    <row r="187" spans="10:28">
      <c r="J187" s="67"/>
      <c r="K187" s="2" t="s">
        <v>76</v>
      </c>
      <c r="L187" s="4">
        <v>50</v>
      </c>
      <c r="M187" s="2"/>
      <c r="N187" s="2"/>
      <c r="O187" s="2"/>
      <c r="P187" s="2"/>
      <c r="Q187" s="4">
        <f t="shared" si="7"/>
        <v>0</v>
      </c>
      <c r="Y187" s="2"/>
      <c r="Z187" s="68"/>
      <c r="AB187" t="s">
        <v>784</v>
      </c>
    </row>
    <row r="188" spans="10:28">
      <c r="J188" s="67"/>
      <c r="K188" s="2" t="s">
        <v>76</v>
      </c>
      <c r="L188" s="4">
        <v>20</v>
      </c>
      <c r="M188" s="2"/>
      <c r="N188" s="2"/>
      <c r="O188" s="2"/>
      <c r="P188" s="2">
        <v>2</v>
      </c>
      <c r="Q188" s="4">
        <f t="shared" si="7"/>
        <v>2</v>
      </c>
      <c r="X188" s="2"/>
      <c r="Y188" s="2"/>
      <c r="Z188" s="125"/>
      <c r="AB188" t="s">
        <v>785</v>
      </c>
    </row>
    <row r="189" spans="10:28">
      <c r="J189" s="67"/>
      <c r="K189" s="2" t="s">
        <v>76</v>
      </c>
      <c r="L189" s="4">
        <v>10</v>
      </c>
      <c r="M189" s="2"/>
      <c r="N189" s="2"/>
      <c r="O189" s="2"/>
      <c r="P189" s="2">
        <v>5</v>
      </c>
      <c r="Q189" s="4">
        <v>0</v>
      </c>
      <c r="X189" s="4" t="s">
        <v>75</v>
      </c>
      <c r="Y189" s="4" t="s">
        <v>77</v>
      </c>
      <c r="Z189" s="126" t="s">
        <v>590</v>
      </c>
    </row>
    <row r="190" spans="10:28">
      <c r="J190" s="67"/>
      <c r="K190" s="2" t="s">
        <v>76</v>
      </c>
      <c r="L190" s="4">
        <v>5</v>
      </c>
      <c r="M190" s="2"/>
      <c r="N190" s="2"/>
      <c r="O190" s="2"/>
      <c r="P190" s="2">
        <v>1</v>
      </c>
      <c r="Q190" s="4">
        <f>SUM(M190:P190)</f>
        <v>1</v>
      </c>
      <c r="V190" s="2" t="s">
        <v>588</v>
      </c>
      <c r="W190" s="2" t="s">
        <v>9</v>
      </c>
      <c r="X190" s="142">
        <f>+Q181</f>
        <v>1115</v>
      </c>
      <c r="Y190" s="142">
        <f>+Q181*'cash IX'!$O$22</f>
        <v>28275.542307692307</v>
      </c>
      <c r="Z190" s="235">
        <f>+Y190/'cash IX'!$O$22</f>
        <v>1115</v>
      </c>
    </row>
    <row r="191" spans="10:28">
      <c r="J191" s="67"/>
      <c r="K191" s="2" t="s">
        <v>76</v>
      </c>
      <c r="L191" s="4">
        <v>2</v>
      </c>
      <c r="M191" s="2"/>
      <c r="N191" s="2"/>
      <c r="O191" s="2"/>
      <c r="P191" s="2">
        <v>2</v>
      </c>
      <c r="Q191" s="4">
        <f>SUM(M191:P191)</f>
        <v>2</v>
      </c>
      <c r="V191" s="2" t="s">
        <v>588</v>
      </c>
      <c r="W191" s="2" t="s">
        <v>135</v>
      </c>
      <c r="X191" s="142">
        <f>+Q192/'cash IX'!$O$22</f>
        <v>145.86404586404586</v>
      </c>
      <c r="Y191" s="142">
        <f>+Q192</f>
        <v>3699</v>
      </c>
      <c r="Z191" s="235">
        <f>+Y191/'cash IX'!$O$22</f>
        <v>145.86404586404586</v>
      </c>
    </row>
    <row r="192" spans="10:28">
      <c r="J192" s="67"/>
      <c r="K192" s="4" t="s">
        <v>77</v>
      </c>
      <c r="M192" s="2">
        <f>SUMPRODUCT($L183:$L191,M183:M191)</f>
        <v>2500</v>
      </c>
      <c r="N192" s="2">
        <f>SUMPRODUCT($L183:$L191,N183:N191)</f>
        <v>0</v>
      </c>
      <c r="O192" s="2">
        <f>SUMPRODUCT($L183:$L191,O183:O191)</f>
        <v>0</v>
      </c>
      <c r="P192" s="2">
        <f>SUMPRODUCT($L183:$L191,P183:P191)</f>
        <v>1199</v>
      </c>
      <c r="Q192" s="4">
        <f>SUM(M192:P192)</f>
        <v>3699</v>
      </c>
      <c r="V192" s="2" t="s">
        <v>589</v>
      </c>
      <c r="W192" s="2" t="s">
        <v>135</v>
      </c>
      <c r="X192" s="142">
        <f>-X176</f>
        <v>2179.3898244684824</v>
      </c>
      <c r="Y192" s="142">
        <f>+Q194</f>
        <v>54995.290322580644</v>
      </c>
      <c r="Z192" s="235">
        <f>+Y192/'cash IX'!$O$22</f>
        <v>2168.6497837035472</v>
      </c>
    </row>
    <row r="193" spans="10:28">
      <c r="J193" s="67"/>
      <c r="Q193" s="311">
        <f>Q192/'cash IX'!$O$22</f>
        <v>145.86404586404586</v>
      </c>
      <c r="V193" s="2" t="s">
        <v>780</v>
      </c>
      <c r="X193" s="142">
        <f>SUM(X190:X192)</f>
        <v>3440.2538703325281</v>
      </c>
      <c r="Y193" s="142">
        <f>SUM(Y190:Y192)</f>
        <v>86969.832630272955</v>
      </c>
      <c r="Z193" s="235">
        <f>SUM(Z190:Z192)</f>
        <v>3429.5138295675933</v>
      </c>
    </row>
    <row r="194" spans="10:28">
      <c r="J194" s="67"/>
      <c r="N194" t="s">
        <v>563</v>
      </c>
      <c r="P194" s="4" t="str">
        <f>IF(Q194=Z177,"OK","attention")</f>
        <v>attention</v>
      </c>
      <c r="Q194" s="352">
        <f>Z180</f>
        <v>54995.290322580644</v>
      </c>
      <c r="R194" s="296" t="str">
        <f>+J174</f>
        <v>au 7/07/2023</v>
      </c>
      <c r="X194" s="142"/>
      <c r="Y194" s="142">
        <f>+Y193/'cash IX'!$O$22</f>
        <v>3429.5138295675929</v>
      </c>
      <c r="Z194" s="302"/>
    </row>
    <row r="195" spans="10:28" ht="15" thickBot="1">
      <c r="J195" s="67"/>
      <c r="Q195" s="417">
        <f>Q194/'cash IX'!$O$22</f>
        <v>2168.6497837035472</v>
      </c>
      <c r="Y195" s="142"/>
      <c r="Z195" s="302"/>
    </row>
    <row r="196" spans="10:28" ht="15" thickBot="1">
      <c r="J196" s="67"/>
      <c r="N196" s="9" t="s">
        <v>778</v>
      </c>
      <c r="Q196" s="322">
        <f>+Q192+Q194</f>
        <v>58694.290322580644</v>
      </c>
      <c r="S196" s="349">
        <f>+Q196-T184</f>
        <v>-899.90198511166818</v>
      </c>
      <c r="V196" s="2" t="s">
        <v>608</v>
      </c>
      <c r="W196" s="27">
        <f>Q181*'cash IX'!$O$22+'cash IX'!Q192</f>
        <v>31974.542307692307</v>
      </c>
      <c r="X196" s="6">
        <f>+W196/'cash IX'!$O$22</f>
        <v>1260.8640458640457</v>
      </c>
      <c r="Y196" s="142">
        <f>X196-X167</f>
        <v>-569.60293626960311</v>
      </c>
      <c r="Z196" s="302"/>
    </row>
    <row r="197" spans="10:28">
      <c r="J197" s="67"/>
      <c r="M197" s="2"/>
      <c r="Q197" s="417">
        <f>Q196/'cash IX'!$O$22</f>
        <v>2314.5138295675929</v>
      </c>
      <c r="S197" s="289">
        <f>+S196/'cash IX'!$O$22</f>
        <v>-35.486170432407214</v>
      </c>
      <c r="V197" s="2" t="s">
        <v>609</v>
      </c>
      <c r="W197" s="27">
        <f>Q194</f>
        <v>54995.290322580644</v>
      </c>
      <c r="X197" s="6">
        <f>+W197/'cash IX'!$O$22</f>
        <v>2168.6497837035472</v>
      </c>
      <c r="Y197" s="142">
        <f>X197-X168</f>
        <v>585.70388570388582</v>
      </c>
      <c r="Z197" s="302"/>
      <c r="AA197" s="2"/>
    </row>
    <row r="198" spans="10:28">
      <c r="J198" s="67"/>
      <c r="N198" s="9" t="s">
        <v>779</v>
      </c>
      <c r="O198" s="9"/>
      <c r="Q198" s="28">
        <f>Q181+(Q196/'cash IX'!$O$22)</f>
        <v>3429.5138295675929</v>
      </c>
      <c r="S198"/>
      <c r="T198"/>
      <c r="V198" s="2" t="s">
        <v>14</v>
      </c>
      <c r="W198" s="233">
        <f>SUM(W196:W197)</f>
        <v>86969.832630272955</v>
      </c>
      <c r="X198" s="6">
        <f>SUM(X196:X197)</f>
        <v>3429.5138295675929</v>
      </c>
      <c r="Y198" s="142">
        <f>X198-X169</f>
        <v>16.100949434282938</v>
      </c>
      <c r="Z198" s="302"/>
      <c r="AA198" s="2"/>
      <c r="AB198" s="28">
        <f>Q198-Q169</f>
        <v>16.100949434282938</v>
      </c>
    </row>
    <row r="199" spans="10:28">
      <c r="J199" s="67"/>
      <c r="Q199" s="417">
        <f>Q181+Q193+Q195</f>
        <v>3429.5138295675933</v>
      </c>
      <c r="S199"/>
      <c r="T199"/>
      <c r="Z199" s="302"/>
      <c r="AB199" s="27">
        <f>+AB198*'cash IX'!$O$22</f>
        <v>408.30769230769664</v>
      </c>
    </row>
    <row r="200" spans="10:28">
      <c r="J200" s="92"/>
      <c r="K200" s="87"/>
      <c r="L200" s="87"/>
      <c r="M200" s="87"/>
      <c r="N200" s="87"/>
      <c r="O200" s="87"/>
      <c r="P200" s="87"/>
      <c r="Q200" s="87"/>
      <c r="R200" s="87"/>
      <c r="S200" s="297"/>
      <c r="T200" s="297"/>
      <c r="U200" s="297"/>
      <c r="V200" s="297"/>
      <c r="W200" s="297"/>
      <c r="X200" s="87"/>
      <c r="Y200" s="87"/>
      <c r="Z200" s="88"/>
    </row>
    <row r="203" spans="10:28">
      <c r="J203" s="332" t="s">
        <v>1150</v>
      </c>
      <c r="K203" s="188"/>
      <c r="L203" s="188"/>
      <c r="M203" s="188"/>
      <c r="N203" s="188"/>
      <c r="O203" s="188"/>
      <c r="P203" s="188"/>
      <c r="Q203" s="188"/>
      <c r="R203" s="188" t="s">
        <v>578</v>
      </c>
      <c r="S203" s="293"/>
      <c r="T203" s="293"/>
      <c r="U203" s="293"/>
      <c r="V203" s="293"/>
      <c r="W203" s="293"/>
      <c r="X203" s="188" t="s">
        <v>75</v>
      </c>
      <c r="Y203" s="188"/>
      <c r="Z203" s="189"/>
    </row>
    <row r="204" spans="10:28">
      <c r="J204" s="67"/>
      <c r="K204" t="s">
        <v>565</v>
      </c>
      <c r="L204" s="2"/>
      <c r="M204" s="2"/>
      <c r="N204" s="2"/>
      <c r="O204" s="2"/>
      <c r="P204" s="2"/>
      <c r="S204" s="2" t="s">
        <v>762</v>
      </c>
      <c r="T204" s="161">
        <f>Q210+T208</f>
        <v>3465</v>
      </c>
      <c r="U204" s="215">
        <f>T204-X204</f>
        <v>0</v>
      </c>
      <c r="W204" s="2" t="s">
        <v>565</v>
      </c>
      <c r="X204" s="215">
        <f>W$5+$M$22+L$22</f>
        <v>3465</v>
      </c>
      <c r="Y204" s="4" t="str">
        <f>IF(X205=Z205,"OK","attention")</f>
        <v>attention</v>
      </c>
      <c r="Z204" s="68"/>
      <c r="AB204">
        <v>0</v>
      </c>
    </row>
    <row r="205" spans="10:28">
      <c r="J205" s="67"/>
      <c r="K205" s="2" t="s">
        <v>76</v>
      </c>
      <c r="L205" s="4">
        <v>200</v>
      </c>
      <c r="M205" s="2"/>
      <c r="N205" s="2"/>
      <c r="O205" s="2"/>
      <c r="P205" s="2"/>
      <c r="W205" s="2" t="s">
        <v>563</v>
      </c>
      <c r="X205" s="353">
        <f>Z208</f>
        <v>-2475.8914807199085</v>
      </c>
      <c r="Y205" s="142">
        <f>+X205-X176</f>
        <v>-296.50165625142608</v>
      </c>
      <c r="Z205" s="350">
        <f>-VietnamIX!$BE$40</f>
        <v>-3206.3269963609514</v>
      </c>
    </row>
    <row r="206" spans="10:28">
      <c r="J206" s="67"/>
      <c r="K206" s="2" t="s">
        <v>76</v>
      </c>
      <c r="L206" s="4">
        <v>100</v>
      </c>
      <c r="M206" s="2"/>
      <c r="N206" s="2"/>
      <c r="O206" s="2"/>
      <c r="P206" s="2"/>
      <c r="W206" s="4" t="s">
        <v>839</v>
      </c>
      <c r="X206" s="142">
        <f>SUM(X204:X205)</f>
        <v>989.10851928009151</v>
      </c>
      <c r="Z206" s="350">
        <f>VietnamIX!$BD$40</f>
        <v>80909.290322580637</v>
      </c>
      <c r="AB206">
        <f>26*25</f>
        <v>650</v>
      </c>
    </row>
    <row r="207" spans="10:28" ht="15.6">
      <c r="J207" s="67"/>
      <c r="K207" s="2" t="s">
        <v>76</v>
      </c>
      <c r="L207" s="4">
        <v>50</v>
      </c>
      <c r="M207" s="2">
        <v>1</v>
      </c>
      <c r="N207" s="2"/>
      <c r="O207" s="489"/>
      <c r="P207" s="2"/>
      <c r="Q207" s="4">
        <f>SUM(M207:P207)</f>
        <v>1</v>
      </c>
      <c r="X207" s="2"/>
      <c r="Z207" s="68"/>
      <c r="AB207">
        <v>-430</v>
      </c>
    </row>
    <row r="208" spans="10:28">
      <c r="J208" s="67"/>
      <c r="K208" s="2" t="s">
        <v>76</v>
      </c>
      <c r="L208" s="4">
        <v>20</v>
      </c>
      <c r="M208" s="2">
        <v>4</v>
      </c>
      <c r="N208" s="2"/>
      <c r="O208" s="2"/>
      <c r="P208" s="2">
        <v>3</v>
      </c>
      <c r="Q208" s="4">
        <f>SUM(M208:P208)</f>
        <v>7</v>
      </c>
      <c r="S208" s="350">
        <f>+$N$22</f>
        <v>3250</v>
      </c>
      <c r="T208" s="353">
        <v>3250</v>
      </c>
      <c r="X208" s="2"/>
      <c r="Z208" s="351">
        <v>-2475.8914807199085</v>
      </c>
    </row>
    <row r="209" spans="10:28">
      <c r="J209" s="67"/>
      <c r="K209" s="2" t="s">
        <v>76</v>
      </c>
      <c r="L209" s="4">
        <v>10</v>
      </c>
      <c r="M209" s="2">
        <v>2</v>
      </c>
      <c r="N209" s="2"/>
      <c r="O209" s="2"/>
      <c r="P209" s="2">
        <v>0.5</v>
      </c>
      <c r="Q209" s="4">
        <f>SUM(M209:P209)</f>
        <v>2.5</v>
      </c>
      <c r="W209" s="2" t="s">
        <v>75</v>
      </c>
      <c r="X209" s="2">
        <f>Q210</f>
        <v>215</v>
      </c>
      <c r="Z209" s="351">
        <v>62477.290322580644</v>
      </c>
    </row>
    <row r="210" spans="10:28">
      <c r="J210" s="67"/>
      <c r="K210" s="4" t="s">
        <v>75</v>
      </c>
      <c r="M210" s="2">
        <f>SUMPRODUCT($L205:$L209,M205:M209)</f>
        <v>150</v>
      </c>
      <c r="N210" s="2"/>
      <c r="O210" s="191">
        <f>SUMPRODUCT($L205:$L209,O205:O209)</f>
        <v>0</v>
      </c>
      <c r="P210" s="2">
        <f>SUMPRODUCT($L205:$L209,P205:P209)</f>
        <v>65</v>
      </c>
      <c r="Q210" s="4">
        <f>SUM(M210:P210)</f>
        <v>215</v>
      </c>
      <c r="W210" s="2" t="s">
        <v>77</v>
      </c>
      <c r="X210" s="14">
        <f>+Q221/$O$22</f>
        <v>725.96839263505933</v>
      </c>
      <c r="Z210" s="68"/>
      <c r="AA210" s="121" t="s">
        <v>11</v>
      </c>
      <c r="AB210" s="240">
        <f>Q181-Q210</f>
        <v>900</v>
      </c>
    </row>
    <row r="211" spans="10:28">
      <c r="J211" s="67"/>
      <c r="M211" s="2"/>
      <c r="N211" s="2"/>
      <c r="O211" s="2"/>
      <c r="P211" s="2"/>
      <c r="W211" s="4" t="s">
        <v>838</v>
      </c>
      <c r="X211" s="14">
        <f>SUM(X209:X210)</f>
        <v>940.96839263505933</v>
      </c>
      <c r="Z211" s="68"/>
      <c r="AA211" s="299" t="s">
        <v>587</v>
      </c>
      <c r="AB211" s="4">
        <f>AB182</f>
        <v>950</v>
      </c>
    </row>
    <row r="212" spans="10:28">
      <c r="J212" s="67"/>
      <c r="K212" s="2" t="s">
        <v>76</v>
      </c>
      <c r="L212" s="4">
        <v>500</v>
      </c>
      <c r="M212" s="2"/>
      <c r="N212" s="2"/>
      <c r="O212" s="2"/>
      <c r="P212" s="2"/>
      <c r="Q212" s="4">
        <f t="shared" ref="Q212:Q217" si="8">SUM(M212:P212)</f>
        <v>0</v>
      </c>
      <c r="S212" s="2" t="s">
        <v>571</v>
      </c>
      <c r="T212" s="4">
        <f>SUM(T206:T211)</f>
        <v>3250</v>
      </c>
      <c r="U212" s="4" t="s">
        <v>17</v>
      </c>
      <c r="X212" s="2"/>
      <c r="Z212" s="68"/>
      <c r="AA212" s="92"/>
      <c r="AB212" s="297">
        <f>+AB211+Q210</f>
        <v>1165</v>
      </c>
    </row>
    <row r="213" spans="10:28">
      <c r="J213" s="67"/>
      <c r="K213" s="2" t="s">
        <v>76</v>
      </c>
      <c r="L213" s="4">
        <v>500</v>
      </c>
      <c r="M213" s="2">
        <v>20</v>
      </c>
      <c r="N213" s="2"/>
      <c r="O213" s="2">
        <v>8</v>
      </c>
      <c r="P213" s="2">
        <v>8</v>
      </c>
      <c r="Q213" s="4">
        <f t="shared" si="8"/>
        <v>36</v>
      </c>
      <c r="T213" s="4">
        <f>+T212*'cash IX'!$O$22</f>
        <v>82417.5</v>
      </c>
      <c r="U213" s="4" t="s">
        <v>135</v>
      </c>
      <c r="X213" s="2"/>
      <c r="Z213" s="68"/>
    </row>
    <row r="214" spans="10:28">
      <c r="J214" s="67"/>
      <c r="K214" s="2" t="s">
        <v>76</v>
      </c>
      <c r="L214" s="4">
        <v>200</v>
      </c>
      <c r="M214" s="2"/>
      <c r="N214" s="2"/>
      <c r="O214" s="2"/>
      <c r="P214" s="2">
        <v>1</v>
      </c>
      <c r="Q214" s="4">
        <f t="shared" si="8"/>
        <v>1</v>
      </c>
      <c r="W214" s="2" t="s">
        <v>584</v>
      </c>
      <c r="X214" s="203">
        <f>+X211-X206</f>
        <v>-48.140126645032183</v>
      </c>
      <c r="Z214" s="68"/>
    </row>
    <row r="215" spans="10:28">
      <c r="J215" s="67"/>
      <c r="K215" s="2" t="s">
        <v>76</v>
      </c>
      <c r="L215" s="4">
        <v>100</v>
      </c>
      <c r="M215" s="2"/>
      <c r="N215" s="2"/>
      <c r="O215" s="2"/>
      <c r="P215" s="2">
        <v>1</v>
      </c>
      <c r="Q215" s="4">
        <f t="shared" si="8"/>
        <v>1</v>
      </c>
      <c r="S215" s="2" t="s">
        <v>842</v>
      </c>
      <c r="T215" s="28">
        <f>T204-T208</f>
        <v>215</v>
      </c>
      <c r="Z215" s="68"/>
    </row>
    <row r="216" spans="10:28">
      <c r="J216" s="67"/>
      <c r="K216" s="2" t="s">
        <v>76</v>
      </c>
      <c r="L216" s="4">
        <v>50</v>
      </c>
      <c r="M216" s="2"/>
      <c r="N216" s="2"/>
      <c r="O216" s="2"/>
      <c r="P216" s="2">
        <v>1</v>
      </c>
      <c r="Q216" s="4">
        <f t="shared" si="8"/>
        <v>1</v>
      </c>
      <c r="Y216" s="2"/>
      <c r="Z216" s="68"/>
      <c r="AB216" t="s">
        <v>784</v>
      </c>
    </row>
    <row r="217" spans="10:28">
      <c r="J217" s="67"/>
      <c r="K217" s="2" t="s">
        <v>76</v>
      </c>
      <c r="L217" s="4">
        <v>20</v>
      </c>
      <c r="M217" s="2"/>
      <c r="N217" s="2"/>
      <c r="O217" s="2"/>
      <c r="P217" s="2">
        <v>2</v>
      </c>
      <c r="Q217" s="4">
        <f t="shared" si="8"/>
        <v>2</v>
      </c>
      <c r="X217" s="2"/>
      <c r="Y217" s="2"/>
      <c r="Z217" s="125"/>
      <c r="AB217" t="s">
        <v>785</v>
      </c>
    </row>
    <row r="218" spans="10:28">
      <c r="J218" s="67"/>
      <c r="K218" s="2" t="s">
        <v>76</v>
      </c>
      <c r="L218" s="4">
        <v>10</v>
      </c>
      <c r="M218" s="2"/>
      <c r="N218" s="2"/>
      <c r="O218" s="2"/>
      <c r="P218" s="2">
        <v>2</v>
      </c>
      <c r="Q218" s="4">
        <v>0</v>
      </c>
      <c r="X218" s="4" t="s">
        <v>75</v>
      </c>
      <c r="Y218" s="4" t="s">
        <v>77</v>
      </c>
      <c r="Z218" s="126" t="s">
        <v>590</v>
      </c>
    </row>
    <row r="219" spans="10:28">
      <c r="J219" s="67"/>
      <c r="K219" s="2" t="s">
        <v>76</v>
      </c>
      <c r="L219" s="4">
        <v>5</v>
      </c>
      <c r="M219" s="2"/>
      <c r="N219" s="2"/>
      <c r="O219" s="2"/>
      <c r="P219" s="2"/>
      <c r="Q219" s="4">
        <f>SUM(M219:P219)</f>
        <v>0</v>
      </c>
      <c r="V219" s="2" t="s">
        <v>588</v>
      </c>
      <c r="W219" s="2" t="s">
        <v>9</v>
      </c>
      <c r="X219" s="142">
        <f>+Q210</f>
        <v>215</v>
      </c>
      <c r="Y219" s="142">
        <f>+Q210*'cash IX'!$O$22</f>
        <v>5452.2346153846156</v>
      </c>
      <c r="Z219" s="235">
        <f>+Y219/'cash IX'!$O$22</f>
        <v>215</v>
      </c>
    </row>
    <row r="220" spans="10:28">
      <c r="J220" s="67"/>
      <c r="K220" s="2" t="s">
        <v>76</v>
      </c>
      <c r="L220" s="4">
        <v>2</v>
      </c>
      <c r="M220" s="2"/>
      <c r="N220" s="2"/>
      <c r="O220" s="2"/>
      <c r="P220" s="2"/>
      <c r="Q220" s="4">
        <f>SUM(M220:P220)</f>
        <v>0</v>
      </c>
      <c r="V220" s="2" t="s">
        <v>588</v>
      </c>
      <c r="W220" s="2" t="s">
        <v>135</v>
      </c>
      <c r="X220" s="142">
        <f>+Q221/'cash IX'!$O$22</f>
        <v>725.96839263505933</v>
      </c>
      <c r="Y220" s="142">
        <f>+Q221</f>
        <v>18410</v>
      </c>
      <c r="Z220" s="235">
        <f>+Y220/'cash IX'!$O$22</f>
        <v>725.96839263505933</v>
      </c>
    </row>
    <row r="221" spans="10:28">
      <c r="J221" s="67"/>
      <c r="K221" s="4" t="s">
        <v>77</v>
      </c>
      <c r="M221" s="2">
        <f>SUMPRODUCT($L212:$L220,M212:M220)</f>
        <v>10000</v>
      </c>
      <c r="N221" s="2">
        <f>SUMPRODUCT($L212:$L220,N212:N220)</f>
        <v>0</v>
      </c>
      <c r="O221" s="2">
        <f>SUMPRODUCT($L212:$L220,O212:O220)</f>
        <v>4000</v>
      </c>
      <c r="P221" s="2">
        <f>SUMPRODUCT($L212:$L220,P212:P220)</f>
        <v>4410</v>
      </c>
      <c r="Q221" s="4">
        <f>SUM(M221:P221)</f>
        <v>18410</v>
      </c>
      <c r="V221" s="2" t="s">
        <v>589</v>
      </c>
      <c r="W221" s="2" t="s">
        <v>135</v>
      </c>
      <c r="X221" s="142">
        <f>-X205</f>
        <v>2475.8914807199085</v>
      </c>
      <c r="Y221" s="142">
        <f>+Q223</f>
        <v>62477.290322580644</v>
      </c>
      <c r="Z221" s="235">
        <f>+Y221/'cash IX'!$O$22</f>
        <v>2463.6902787440422</v>
      </c>
    </row>
    <row r="222" spans="10:28">
      <c r="J222" s="67"/>
      <c r="Q222" s="311">
        <f>Q221/'cash IX'!$O$22</f>
        <v>725.96839263505933</v>
      </c>
      <c r="V222" s="2" t="s">
        <v>780</v>
      </c>
      <c r="X222" s="142">
        <f>SUM(X219:X221)</f>
        <v>3416.8598733549679</v>
      </c>
      <c r="Y222" s="142">
        <f>SUM(Y219:Y221)</f>
        <v>86339.524937965267</v>
      </c>
      <c r="Z222" s="235">
        <f>SUM(Z219:Z221)</f>
        <v>3404.6586713791016</v>
      </c>
    </row>
    <row r="223" spans="10:28">
      <c r="J223" s="67"/>
      <c r="N223" t="s">
        <v>563</v>
      </c>
      <c r="P223" s="4" t="str">
        <f>IF(Q223=Z206,"OK","attention")</f>
        <v>attention</v>
      </c>
      <c r="Q223" s="352">
        <f>Z209</f>
        <v>62477.290322580644</v>
      </c>
      <c r="R223" s="296" t="str">
        <f>+J203</f>
        <v>au 13/07/2023</v>
      </c>
      <c r="X223" s="142"/>
      <c r="Y223" s="142">
        <f>+Y222/'cash IX'!$O$22</f>
        <v>3404.6586713791016</v>
      </c>
      <c r="Z223" s="302"/>
    </row>
    <row r="224" spans="10:28" ht="15" thickBot="1">
      <c r="J224" s="67"/>
      <c r="Q224" s="417">
        <f>Q223/'cash IX'!$O$22</f>
        <v>2463.6902787440422</v>
      </c>
      <c r="Y224" s="142"/>
      <c r="Z224" s="302"/>
    </row>
    <row r="225" spans="10:28" ht="15" thickBot="1">
      <c r="J225" s="67"/>
      <c r="N225" s="9" t="s">
        <v>778</v>
      </c>
      <c r="Q225" s="322">
        <f>+Q221+Q223</f>
        <v>80887.290322580637</v>
      </c>
      <c r="S225" s="349">
        <f>+Q225-T213</f>
        <v>-1530.2096774193633</v>
      </c>
      <c r="V225" s="2" t="s">
        <v>608</v>
      </c>
      <c r="W225" s="27">
        <f>Q210*'cash IX'!$O$22+'cash IX'!Q221</f>
        <v>23862.234615384616</v>
      </c>
      <c r="X225" s="6">
        <f>+W225/'cash IX'!$O$22</f>
        <v>940.96839263505933</v>
      </c>
      <c r="Y225" s="142">
        <f>X225-X196</f>
        <v>-319.89565322898636</v>
      </c>
      <c r="Z225" s="302"/>
    </row>
    <row r="226" spans="10:28">
      <c r="J226" s="67"/>
      <c r="M226" s="2"/>
      <c r="Q226" s="417">
        <f>Q225/'cash IX'!$O$22</f>
        <v>3189.6586713791012</v>
      </c>
      <c r="S226" s="289">
        <f>+S225/'cash IX'!$O$22</f>
        <v>-60.341328620898842</v>
      </c>
      <c r="V226" s="2" t="s">
        <v>609</v>
      </c>
      <c r="W226" s="27">
        <f>Q223</f>
        <v>62477.290322580644</v>
      </c>
      <c r="X226" s="6">
        <f>+W226/'cash IX'!$O$22</f>
        <v>2463.6902787440422</v>
      </c>
      <c r="Y226" s="142">
        <f>X226-X197</f>
        <v>295.04049504049499</v>
      </c>
      <c r="Z226" s="302"/>
      <c r="AA226" s="2"/>
    </row>
    <row r="227" spans="10:28">
      <c r="J227" s="67"/>
      <c r="N227" s="9" t="s">
        <v>779</v>
      </c>
      <c r="O227" s="9"/>
      <c r="Q227" s="28">
        <f>Q210+(Q225/'cash IX'!$O$22)</f>
        <v>3404.6586713791012</v>
      </c>
      <c r="S227"/>
      <c r="T227"/>
      <c r="V227" s="2" t="s">
        <v>14</v>
      </c>
      <c r="W227" s="233">
        <f>SUM(W225:W226)</f>
        <v>86339.524937965267</v>
      </c>
      <c r="X227" s="6">
        <f>SUM(X225:X226)</f>
        <v>3404.6586713791016</v>
      </c>
      <c r="Y227" s="142">
        <f>X227-X198</f>
        <v>-24.855158188491259</v>
      </c>
      <c r="Z227" s="302"/>
      <c r="AA227" s="2"/>
      <c r="AB227" s="28">
        <f>Q227-Q198</f>
        <v>-24.855158188491714</v>
      </c>
    </row>
    <row r="228" spans="10:28">
      <c r="J228" s="67"/>
      <c r="Q228" s="417">
        <f>Q210+Q222+Q224</f>
        <v>3404.6586713791016</v>
      </c>
      <c r="S228"/>
      <c r="T228"/>
      <c r="Z228" s="302"/>
      <c r="AB228" s="27">
        <f>+AB227*'cash IX'!$O$22</f>
        <v>-630.30769230769715</v>
      </c>
    </row>
    <row r="229" spans="10:28">
      <c r="J229" s="92"/>
      <c r="K229" s="87"/>
      <c r="L229" s="87"/>
      <c r="M229" s="87"/>
      <c r="N229" s="87"/>
      <c r="O229" s="87"/>
      <c r="P229" s="87"/>
      <c r="Q229" s="87"/>
      <c r="R229" s="87"/>
      <c r="S229" s="297"/>
      <c r="T229" s="297"/>
      <c r="U229" s="297"/>
      <c r="V229" s="297"/>
      <c r="W229" s="297"/>
      <c r="X229" s="87"/>
      <c r="Y229" s="87"/>
      <c r="Z229" s="88"/>
    </row>
    <row r="232" spans="10:28">
      <c r="J232" s="332" t="s">
        <v>1185</v>
      </c>
      <c r="K232" s="188"/>
      <c r="L232" s="188"/>
      <c r="M232" s="188"/>
      <c r="N232" s="188"/>
      <c r="O232" s="188"/>
      <c r="P232" s="188"/>
      <c r="Q232" s="188"/>
      <c r="R232" s="188" t="s">
        <v>578</v>
      </c>
      <c r="S232" s="293"/>
      <c r="T232" s="293"/>
      <c r="U232" s="293"/>
      <c r="V232" s="293"/>
      <c r="W232" s="293"/>
      <c r="X232" s="188" t="s">
        <v>75</v>
      </c>
      <c r="Y232" s="188"/>
      <c r="Z232" s="189"/>
    </row>
    <row r="233" spans="10:28">
      <c r="J233" s="67"/>
      <c r="K233" t="s">
        <v>565</v>
      </c>
      <c r="L233" s="2"/>
      <c r="M233" s="2"/>
      <c r="N233" s="2"/>
      <c r="O233" s="2"/>
      <c r="P233" s="2"/>
      <c r="S233" s="2" t="s">
        <v>762</v>
      </c>
      <c r="T233" s="161">
        <f>Q239+T237</f>
        <v>3465</v>
      </c>
      <c r="U233" s="215">
        <f>T233-X233</f>
        <v>0</v>
      </c>
      <c r="W233" s="2" t="s">
        <v>565</v>
      </c>
      <c r="X233" s="215">
        <f>W$5+$M$22+L$22</f>
        <v>3465</v>
      </c>
      <c r="Y233" s="4" t="str">
        <f>IF(X234=Z234,"OK","attention")</f>
        <v>attention</v>
      </c>
      <c r="Z233" s="68"/>
      <c r="AB233">
        <v>0</v>
      </c>
    </row>
    <row r="234" spans="10:28">
      <c r="J234" s="67"/>
      <c r="K234" s="2" t="s">
        <v>76</v>
      </c>
      <c r="L234" s="4">
        <v>200</v>
      </c>
      <c r="M234" s="2"/>
      <c r="N234" s="2"/>
      <c r="O234" s="2"/>
      <c r="P234" s="2"/>
      <c r="W234" s="2" t="s">
        <v>563</v>
      </c>
      <c r="X234" s="353">
        <f>Z237</f>
        <v>-2803.1053507637503</v>
      </c>
      <c r="Y234" s="142">
        <f>+X234-X205</f>
        <v>-327.21387004384178</v>
      </c>
      <c r="Z234" s="350">
        <f>-VietnamIX!$BE$40</f>
        <v>-3206.3269963609514</v>
      </c>
    </row>
    <row r="235" spans="10:28">
      <c r="J235" s="67"/>
      <c r="K235" s="2" t="s">
        <v>76</v>
      </c>
      <c r="L235" s="4">
        <v>100</v>
      </c>
      <c r="M235" s="2"/>
      <c r="N235" s="2"/>
      <c r="O235" s="2"/>
      <c r="P235" s="2"/>
      <c r="W235" s="4" t="s">
        <v>839</v>
      </c>
      <c r="X235" s="142">
        <f>SUM(X233:X234)</f>
        <v>661.89464923624973</v>
      </c>
      <c r="Z235" s="350">
        <f>VietnamIX!$BD$40</f>
        <v>80909.290322580637</v>
      </c>
      <c r="AB235">
        <f>26*25</f>
        <v>650</v>
      </c>
    </row>
    <row r="236" spans="10:28" ht="15.6">
      <c r="J236" s="67"/>
      <c r="K236" s="2" t="s">
        <v>76</v>
      </c>
      <c r="L236" s="4">
        <v>50</v>
      </c>
      <c r="M236" s="2">
        <v>1</v>
      </c>
      <c r="N236" s="2"/>
      <c r="O236" s="489"/>
      <c r="P236" s="2"/>
      <c r="Q236" s="4">
        <f>SUM(M236:P236)</f>
        <v>1</v>
      </c>
      <c r="X236" s="2"/>
      <c r="Z236" s="68"/>
      <c r="AB236">
        <v>-430</v>
      </c>
    </row>
    <row r="237" spans="10:28">
      <c r="J237" s="67"/>
      <c r="K237" s="2" t="s">
        <v>76</v>
      </c>
      <c r="L237" s="4">
        <v>20</v>
      </c>
      <c r="M237" s="2">
        <v>5</v>
      </c>
      <c r="N237" s="2"/>
      <c r="O237" s="2"/>
      <c r="P237" s="2">
        <v>2</v>
      </c>
      <c r="Q237" s="4">
        <f>SUM(M237:P237)</f>
        <v>7</v>
      </c>
      <c r="S237" s="350">
        <f>+$N$22</f>
        <v>3250</v>
      </c>
      <c r="T237" s="353">
        <v>3250</v>
      </c>
      <c r="X237" s="2"/>
      <c r="Z237" s="351">
        <v>-2803.1053507637503</v>
      </c>
    </row>
    <row r="238" spans="10:28">
      <c r="J238" s="67"/>
      <c r="K238" s="2" t="s">
        <v>76</v>
      </c>
      <c r="L238" s="4">
        <v>10</v>
      </c>
      <c r="M238" s="2">
        <v>0</v>
      </c>
      <c r="N238" s="2"/>
      <c r="O238" s="2"/>
      <c r="P238" s="2">
        <v>2.5</v>
      </c>
      <c r="Q238" s="4">
        <f>SUM(M238:P238)</f>
        <v>2.5</v>
      </c>
      <c r="W238" s="2" t="s">
        <v>75</v>
      </c>
      <c r="X238" s="2">
        <f>Q239</f>
        <v>215</v>
      </c>
      <c r="Z238" s="351">
        <v>70734.290322580637</v>
      </c>
    </row>
    <row r="239" spans="10:28">
      <c r="J239" s="67"/>
      <c r="K239" s="4" t="s">
        <v>75</v>
      </c>
      <c r="M239" s="2">
        <f>SUMPRODUCT($L234:$L238,M234:M238)</f>
        <v>150</v>
      </c>
      <c r="N239" s="2"/>
      <c r="O239" s="191">
        <f>SUMPRODUCT($L234:$L238,O234:O238)</f>
        <v>0</v>
      </c>
      <c r="P239" s="2">
        <f>SUMPRODUCT($L234:$L238,P234:P238)</f>
        <v>65</v>
      </c>
      <c r="Q239" s="4">
        <f>SUM(M239:P239)</f>
        <v>215</v>
      </c>
      <c r="W239" s="2" t="s">
        <v>77</v>
      </c>
      <c r="X239" s="14">
        <f>+Q250/$O$22</f>
        <v>181.98501531834864</v>
      </c>
      <c r="Z239" s="68"/>
      <c r="AA239" s="121" t="s">
        <v>11</v>
      </c>
      <c r="AB239" s="240">
        <f>Q210-Q239</f>
        <v>0</v>
      </c>
    </row>
    <row r="240" spans="10:28">
      <c r="J240" s="67"/>
      <c r="M240" s="2"/>
      <c r="N240" s="2"/>
      <c r="O240" s="2"/>
      <c r="P240" s="2"/>
      <c r="W240" s="4" t="s">
        <v>838</v>
      </c>
      <c r="X240" s="14">
        <f>SUM(X238:X239)</f>
        <v>396.98501531834864</v>
      </c>
      <c r="Z240" s="68"/>
      <c r="AA240" s="299" t="s">
        <v>587</v>
      </c>
      <c r="AB240" s="4">
        <f>AB211</f>
        <v>950</v>
      </c>
    </row>
    <row r="241" spans="10:28">
      <c r="J241" s="67"/>
      <c r="K241" s="2" t="s">
        <v>76</v>
      </c>
      <c r="L241" s="4">
        <v>500</v>
      </c>
      <c r="M241" s="2"/>
      <c r="N241" s="2"/>
      <c r="O241" s="2"/>
      <c r="P241" s="2"/>
      <c r="Q241" s="4">
        <f t="shared" ref="Q241:Q246" si="9">SUM(M241:P241)</f>
        <v>0</v>
      </c>
      <c r="S241" s="2" t="s">
        <v>571</v>
      </c>
      <c r="T241" s="4">
        <f>SUM(T235:T240)</f>
        <v>3250</v>
      </c>
      <c r="U241" s="4" t="s">
        <v>17</v>
      </c>
      <c r="X241" s="2"/>
      <c r="Z241" s="68"/>
      <c r="AA241" s="92"/>
      <c r="AB241" s="297">
        <f>+AB240+Q239</f>
        <v>1165</v>
      </c>
    </row>
    <row r="242" spans="10:28">
      <c r="J242" s="67"/>
      <c r="K242" s="2" t="s">
        <v>76</v>
      </c>
      <c r="L242" s="4">
        <v>500</v>
      </c>
      <c r="M242" s="2"/>
      <c r="N242" s="2"/>
      <c r="O242" s="2"/>
      <c r="P242" s="2">
        <v>8</v>
      </c>
      <c r="Q242" s="4">
        <f t="shared" si="9"/>
        <v>8</v>
      </c>
      <c r="T242" s="4">
        <f>+T241*'cash IX'!$O$22</f>
        <v>82417.5</v>
      </c>
      <c r="U242" s="4" t="s">
        <v>135</v>
      </c>
      <c r="X242" s="2"/>
      <c r="Z242" s="68"/>
    </row>
    <row r="243" spans="10:28">
      <c r="J243" s="67"/>
      <c r="K243" s="2" t="s">
        <v>76</v>
      </c>
      <c r="L243" s="4">
        <v>200</v>
      </c>
      <c r="M243" s="2"/>
      <c r="N243" s="2"/>
      <c r="O243" s="2"/>
      <c r="P243" s="2">
        <v>2</v>
      </c>
      <c r="Q243" s="4">
        <f t="shared" si="9"/>
        <v>2</v>
      </c>
      <c r="W243" s="2" t="s">
        <v>584</v>
      </c>
      <c r="X243" s="203">
        <f>+X240-X235</f>
        <v>-264.90963391790109</v>
      </c>
      <c r="Z243" s="68"/>
    </row>
    <row r="244" spans="10:28">
      <c r="J244" s="67"/>
      <c r="K244" s="2" t="s">
        <v>76</v>
      </c>
      <c r="L244" s="4">
        <v>100</v>
      </c>
      <c r="M244" s="2"/>
      <c r="N244" s="2"/>
      <c r="O244" s="2"/>
      <c r="P244" s="2">
        <v>1</v>
      </c>
      <c r="Q244" s="4">
        <f t="shared" si="9"/>
        <v>1</v>
      </c>
      <c r="S244" s="2" t="s">
        <v>842</v>
      </c>
      <c r="T244" s="28">
        <f>T233-T237</f>
        <v>215</v>
      </c>
      <c r="Z244" s="68"/>
    </row>
    <row r="245" spans="10:28">
      <c r="J245" s="67"/>
      <c r="K245" s="2" t="s">
        <v>76</v>
      </c>
      <c r="L245" s="4">
        <v>50</v>
      </c>
      <c r="M245" s="2"/>
      <c r="N245" s="2"/>
      <c r="O245" s="2"/>
      <c r="P245" s="2"/>
      <c r="Q245" s="4">
        <f t="shared" si="9"/>
        <v>0</v>
      </c>
      <c r="Y245" s="2"/>
      <c r="Z245" s="68"/>
      <c r="AB245" t="s">
        <v>784</v>
      </c>
    </row>
    <row r="246" spans="10:28">
      <c r="J246" s="67"/>
      <c r="K246" s="2" t="s">
        <v>76</v>
      </c>
      <c r="L246" s="4">
        <v>20</v>
      </c>
      <c r="M246" s="2"/>
      <c r="N246" s="2"/>
      <c r="O246" s="2"/>
      <c r="P246" s="2">
        <v>3</v>
      </c>
      <c r="Q246" s="4">
        <f t="shared" si="9"/>
        <v>3</v>
      </c>
      <c r="X246" s="2"/>
      <c r="Y246" s="2"/>
      <c r="Z246" s="125"/>
      <c r="AB246" t="s">
        <v>785</v>
      </c>
    </row>
    <row r="247" spans="10:28">
      <c r="J247" s="67"/>
      <c r="K247" s="2" t="s">
        <v>76</v>
      </c>
      <c r="L247" s="4">
        <v>10</v>
      </c>
      <c r="M247" s="2"/>
      <c r="N247" s="2"/>
      <c r="O247" s="2"/>
      <c r="P247" s="2">
        <v>4</v>
      </c>
      <c r="Q247" s="4">
        <v>0</v>
      </c>
      <c r="X247" s="4" t="s">
        <v>75</v>
      </c>
      <c r="Y247" s="4" t="s">
        <v>77</v>
      </c>
      <c r="Z247" s="126" t="s">
        <v>590</v>
      </c>
    </row>
    <row r="248" spans="10:28">
      <c r="J248" s="67"/>
      <c r="K248" s="2" t="s">
        <v>76</v>
      </c>
      <c r="L248" s="4">
        <v>5</v>
      </c>
      <c r="M248" s="2"/>
      <c r="N248" s="2"/>
      <c r="O248" s="2"/>
      <c r="P248" s="2">
        <v>3</v>
      </c>
      <c r="Q248" s="4">
        <f>SUM(M248:P248)</f>
        <v>3</v>
      </c>
      <c r="V248" s="2" t="s">
        <v>588</v>
      </c>
      <c r="W248" s="2" t="s">
        <v>9</v>
      </c>
      <c r="X248" s="142">
        <f>+Q239</f>
        <v>215</v>
      </c>
      <c r="Y248" s="142">
        <f>+Q239*'cash IX'!$O$22</f>
        <v>5452.2346153846156</v>
      </c>
      <c r="Z248" s="235">
        <f>+Y248/'cash IX'!$O$22</f>
        <v>215</v>
      </c>
    </row>
    <row r="249" spans="10:28">
      <c r="J249" s="67"/>
      <c r="K249" s="2" t="s">
        <v>76</v>
      </c>
      <c r="L249" s="4">
        <v>2</v>
      </c>
      <c r="M249" s="2"/>
      <c r="N249" s="2"/>
      <c r="O249" s="2"/>
      <c r="P249" s="2"/>
      <c r="Q249" s="4">
        <f>SUM(M249:P249)</f>
        <v>0</v>
      </c>
      <c r="V249" s="2" t="s">
        <v>588</v>
      </c>
      <c r="W249" s="2" t="s">
        <v>135</v>
      </c>
      <c r="X249" s="142">
        <f>+Q250/'cash IX'!$O$22</f>
        <v>181.98501531834864</v>
      </c>
      <c r="Y249" s="142">
        <f>+Q250</f>
        <v>4615</v>
      </c>
      <c r="Z249" s="235">
        <f>+Y249/'cash IX'!$O$22</f>
        <v>181.98501531834864</v>
      </c>
    </row>
    <row r="250" spans="10:28">
      <c r="J250" s="67"/>
      <c r="K250" s="4" t="s">
        <v>77</v>
      </c>
      <c r="M250" s="2">
        <f>SUMPRODUCT($L241:$L249,M241:M249)</f>
        <v>0</v>
      </c>
      <c r="N250" s="2">
        <f>SUMPRODUCT($L241:$L249,N241:N249)</f>
        <v>0</v>
      </c>
      <c r="O250" s="2">
        <f>SUMPRODUCT($L241:$L249,O241:O249)</f>
        <v>0</v>
      </c>
      <c r="P250" s="2">
        <f>SUMPRODUCT($L241:$L249,P241:P249)</f>
        <v>4615</v>
      </c>
      <c r="Q250" s="4">
        <f>SUM(M250:P250)</f>
        <v>4615</v>
      </c>
      <c r="V250" s="2" t="s">
        <v>589</v>
      </c>
      <c r="W250" s="2" t="s">
        <v>135</v>
      </c>
      <c r="X250" s="142">
        <f>-X234</f>
        <v>2803.1053507637503</v>
      </c>
      <c r="Y250" s="142">
        <f>+Q252</f>
        <v>70734.290322580637</v>
      </c>
      <c r="Z250" s="235">
        <f>+Y250/'cash IX'!$O$22</f>
        <v>2789.2916376787339</v>
      </c>
    </row>
    <row r="251" spans="10:28">
      <c r="J251" s="67"/>
      <c r="Q251" s="311">
        <f>Q250/'cash IX'!$O$22</f>
        <v>181.98501531834864</v>
      </c>
      <c r="V251" s="2" t="s">
        <v>780</v>
      </c>
      <c r="X251" s="142">
        <f>SUM(X248:X250)</f>
        <v>3200.0903660820991</v>
      </c>
      <c r="Y251" s="142">
        <f>SUM(Y248:Y250)</f>
        <v>80801.524937965252</v>
      </c>
      <c r="Z251" s="235">
        <f>SUM(Z248:Z250)</f>
        <v>3186.2766529970827</v>
      </c>
    </row>
    <row r="252" spans="10:28">
      <c r="J252" s="67"/>
      <c r="N252" t="s">
        <v>563</v>
      </c>
      <c r="P252" s="4" t="str">
        <f>IF(Q252=Z235,"OK","attention")</f>
        <v>attention</v>
      </c>
      <c r="Q252" s="352">
        <f>Z238</f>
        <v>70734.290322580637</v>
      </c>
      <c r="R252" s="296" t="str">
        <f>+J232</f>
        <v>au 18/07/2023</v>
      </c>
      <c r="X252" s="142"/>
      <c r="Y252" s="142">
        <f>+Y251/'cash IX'!$O$22</f>
        <v>3186.2766529970827</v>
      </c>
      <c r="Z252" s="302"/>
    </row>
    <row r="253" spans="10:28" ht="15" thickBot="1">
      <c r="J253" s="67"/>
      <c r="Q253" s="417">
        <f>Q252/'cash IX'!$O$22</f>
        <v>2789.2916376787339</v>
      </c>
      <c r="Y253" s="142"/>
      <c r="Z253" s="302"/>
    </row>
    <row r="254" spans="10:28" ht="15" thickBot="1">
      <c r="J254" s="67"/>
      <c r="N254" s="9" t="s">
        <v>778</v>
      </c>
      <c r="Q254" s="322">
        <f>+Q250+Q252</f>
        <v>75349.290322580637</v>
      </c>
      <c r="S254" s="349">
        <f>+Q254-T242</f>
        <v>-7068.2096774193633</v>
      </c>
      <c r="V254" s="2" t="s">
        <v>608</v>
      </c>
      <c r="W254" s="27">
        <f>Q239*'cash IX'!$O$22+'cash IX'!Q250</f>
        <v>10067.234615384616</v>
      </c>
      <c r="X254" s="6">
        <f>+W254/'cash IX'!$O$22</f>
        <v>396.98501531834864</v>
      </c>
      <c r="Y254" s="142">
        <f>X254-X225</f>
        <v>-543.98337731671063</v>
      </c>
      <c r="Z254" s="302"/>
    </row>
    <row r="255" spans="10:28">
      <c r="J255" s="67"/>
      <c r="M255" s="2"/>
      <c r="Q255" s="417">
        <f>Q254/'cash IX'!$O$22</f>
        <v>2971.2766529970827</v>
      </c>
      <c r="S255" s="289">
        <f>+S254/'cash IX'!$O$22</f>
        <v>-278.72334700291719</v>
      </c>
      <c r="V255" s="2" t="s">
        <v>609</v>
      </c>
      <c r="W255" s="27">
        <f>Q252</f>
        <v>70734.290322580637</v>
      </c>
      <c r="X255" s="6">
        <f>+W255/'cash IX'!$O$22</f>
        <v>2789.2916376787339</v>
      </c>
      <c r="Y255" s="142">
        <f>X255-X226</f>
        <v>325.60135893469169</v>
      </c>
      <c r="Z255" s="302"/>
      <c r="AA255" s="2"/>
    </row>
    <row r="256" spans="10:28">
      <c r="J256" s="67"/>
      <c r="N256" s="9" t="s">
        <v>779</v>
      </c>
      <c r="O256" s="9"/>
      <c r="Q256" s="28">
        <f>Q239+(Q254/'cash IX'!$O$22)</f>
        <v>3186.2766529970827</v>
      </c>
      <c r="S256"/>
      <c r="T256"/>
      <c r="V256" s="2" t="s">
        <v>14</v>
      </c>
      <c r="W256" s="233">
        <f>SUM(W254:W255)</f>
        <v>80801.524937965252</v>
      </c>
      <c r="X256" s="6">
        <f>SUM(X254:X255)</f>
        <v>3186.2766529970827</v>
      </c>
      <c r="Y256" s="142">
        <f>X256-X227</f>
        <v>-218.38201838201894</v>
      </c>
      <c r="Z256" s="302"/>
      <c r="AA256" s="2"/>
      <c r="AB256" s="28">
        <f>Q256-Q227</f>
        <v>-218.38201838201849</v>
      </c>
    </row>
    <row r="257" spans="10:28">
      <c r="J257" s="67"/>
      <c r="Q257" s="417">
        <f>Q239+Q251+Q253</f>
        <v>3186.2766529970827</v>
      </c>
      <c r="S257"/>
      <c r="T257"/>
      <c r="Z257" s="302"/>
      <c r="AB257" s="27">
        <f>+AB256*'cash IX'!$O$22</f>
        <v>-5538.0000000000027</v>
      </c>
    </row>
    <row r="258" spans="10:28">
      <c r="J258" s="92"/>
      <c r="K258" s="87"/>
      <c r="L258" s="87"/>
      <c r="M258" s="87"/>
      <c r="N258" s="87"/>
      <c r="O258" s="87"/>
      <c r="P258" s="87"/>
      <c r="Q258" s="87"/>
      <c r="R258" s="87"/>
      <c r="S258" s="297"/>
      <c r="T258" s="297"/>
      <c r="U258" s="297"/>
      <c r="V258" s="297"/>
      <c r="W258" s="297"/>
      <c r="X258" s="87"/>
      <c r="Y258" s="87"/>
      <c r="Z258" s="88"/>
    </row>
    <row r="261" spans="10:28">
      <c r="J261" s="332" t="s">
        <v>1329</v>
      </c>
      <c r="K261" s="188"/>
      <c r="L261" s="188"/>
      <c r="M261" s="188"/>
      <c r="N261" s="188"/>
      <c r="O261" s="188"/>
      <c r="P261" s="188"/>
      <c r="Q261" s="188"/>
      <c r="R261" s="188" t="s">
        <v>578</v>
      </c>
      <c r="S261" s="293"/>
      <c r="T261" s="293"/>
      <c r="U261" s="293"/>
      <c r="V261" s="293"/>
      <c r="W261" s="293"/>
      <c r="X261" s="188" t="s">
        <v>75</v>
      </c>
      <c r="Y261" s="188"/>
      <c r="Z261" s="189"/>
    </row>
    <row r="262" spans="10:28">
      <c r="J262" s="67"/>
      <c r="K262" t="s">
        <v>565</v>
      </c>
      <c r="L262" s="2"/>
      <c r="M262" s="2"/>
      <c r="N262" s="2"/>
      <c r="O262" s="2"/>
      <c r="P262" s="2"/>
      <c r="S262" s="2" t="s">
        <v>762</v>
      </c>
      <c r="T262" s="161">
        <f>Q268+T266</f>
        <v>3465</v>
      </c>
      <c r="U262" s="215">
        <f>T262-X262</f>
        <v>0</v>
      </c>
      <c r="W262" s="2" t="s">
        <v>565</v>
      </c>
      <c r="X262" s="215">
        <f>W$5+$M$22+L$22</f>
        <v>3465</v>
      </c>
      <c r="Y262" s="4" t="str">
        <f>IF(X263=Z263,"OK","attention")</f>
        <v>OK</v>
      </c>
      <c r="Z262" s="68"/>
      <c r="AB262">
        <v>0</v>
      </c>
    </row>
    <row r="263" spans="10:28">
      <c r="J263" s="67"/>
      <c r="K263" s="2" t="s">
        <v>76</v>
      </c>
      <c r="L263" s="4">
        <v>200</v>
      </c>
      <c r="M263" s="2"/>
      <c r="N263" s="2"/>
      <c r="O263" s="2"/>
      <c r="P263" s="2"/>
      <c r="W263" s="2" t="s">
        <v>563</v>
      </c>
      <c r="X263" s="353">
        <f>Z266</f>
        <v>-3206.3269963609514</v>
      </c>
      <c r="Y263" s="142">
        <f>+X263-X234</f>
        <v>-403.22164559720113</v>
      </c>
      <c r="Z263" s="350">
        <f>-VietnamIX!$BE$40</f>
        <v>-3206.3269963609514</v>
      </c>
    </row>
    <row r="264" spans="10:28">
      <c r="J264" s="67"/>
      <c r="K264" s="2" t="s">
        <v>76</v>
      </c>
      <c r="L264" s="4">
        <v>100</v>
      </c>
      <c r="M264" s="2"/>
      <c r="N264" s="2"/>
      <c r="O264" s="2"/>
      <c r="P264" s="2"/>
      <c r="W264" s="4" t="s">
        <v>839</v>
      </c>
      <c r="X264" s="142">
        <f>SUM(X262:X263)</f>
        <v>258.6730036390486</v>
      </c>
      <c r="Z264" s="350">
        <f>VietnamIX!$BD$40</f>
        <v>80909.290322580637</v>
      </c>
      <c r="AB264">
        <f>26*25</f>
        <v>650</v>
      </c>
    </row>
    <row r="265" spans="10:28" ht="15.6">
      <c r="J265" s="67"/>
      <c r="K265" s="2" t="s">
        <v>76</v>
      </c>
      <c r="L265" s="4">
        <v>50</v>
      </c>
      <c r="M265" s="2">
        <v>1</v>
      </c>
      <c r="N265" s="2"/>
      <c r="O265" s="489"/>
      <c r="P265" s="2"/>
      <c r="Q265" s="4">
        <f>SUM(M265:P265)</f>
        <v>1</v>
      </c>
      <c r="X265" s="2"/>
      <c r="Z265" s="68"/>
      <c r="AB265">
        <v>-430</v>
      </c>
    </row>
    <row r="266" spans="10:28">
      <c r="J266" s="67"/>
      <c r="K266" s="2" t="s">
        <v>76</v>
      </c>
      <c r="L266" s="4">
        <v>20</v>
      </c>
      <c r="M266" s="2">
        <v>4</v>
      </c>
      <c r="N266" s="2"/>
      <c r="O266" s="2"/>
      <c r="P266" s="2">
        <v>3</v>
      </c>
      <c r="Q266" s="4">
        <f>SUM(M266:P266)</f>
        <v>7</v>
      </c>
      <c r="S266" s="350">
        <f>+$N$22</f>
        <v>3250</v>
      </c>
      <c r="T266" s="353">
        <v>3250</v>
      </c>
      <c r="X266" s="2"/>
      <c r="Z266" s="351">
        <v>-3206.3269963609514</v>
      </c>
    </row>
    <row r="267" spans="10:28">
      <c r="J267" s="67"/>
      <c r="K267" s="2" t="s">
        <v>76</v>
      </c>
      <c r="L267" s="4">
        <v>10</v>
      </c>
      <c r="M267" s="2">
        <v>2</v>
      </c>
      <c r="N267" s="2"/>
      <c r="O267" s="2"/>
      <c r="P267" s="2">
        <v>0.5</v>
      </c>
      <c r="Q267" s="4">
        <f>SUM(M267:P267)</f>
        <v>2.5</v>
      </c>
      <c r="W267" s="2" t="s">
        <v>75</v>
      </c>
      <c r="X267" s="2">
        <f>Q268</f>
        <v>215</v>
      </c>
      <c r="Z267" s="351">
        <v>80909.290322580637</v>
      </c>
    </row>
    <row r="268" spans="10:28">
      <c r="J268" s="67"/>
      <c r="K268" s="4" t="s">
        <v>75</v>
      </c>
      <c r="M268" s="2">
        <f>SUMPRODUCT($L263:$L267,M263:M267)</f>
        <v>150</v>
      </c>
      <c r="N268" s="2"/>
      <c r="O268" s="191">
        <f>SUMPRODUCT($L263:$L267,O263:O267)</f>
        <v>0</v>
      </c>
      <c r="P268" s="2">
        <f>SUMPRODUCT($L263:$L267,P263:P267)</f>
        <v>65</v>
      </c>
      <c r="Q268" s="4">
        <f>SUM(M268:P268)</f>
        <v>215</v>
      </c>
      <c r="W268" s="2" t="s">
        <v>77</v>
      </c>
      <c r="X268" s="14">
        <f>+Q279/$O$22</f>
        <v>27.209027209027209</v>
      </c>
      <c r="Z268" s="68"/>
      <c r="AA268" s="121" t="s">
        <v>11</v>
      </c>
      <c r="AB268" s="240">
        <f>Q239-Q268</f>
        <v>0</v>
      </c>
    </row>
    <row r="269" spans="10:28">
      <c r="J269" s="67"/>
      <c r="M269" s="2"/>
      <c r="N269" s="2"/>
      <c r="O269" s="2"/>
      <c r="P269" s="2"/>
      <c r="W269" s="4" t="s">
        <v>838</v>
      </c>
      <c r="X269" s="14">
        <f>SUM(X267:X268)</f>
        <v>242.2090272090272</v>
      </c>
      <c r="Z269" s="68"/>
      <c r="AA269" s="299" t="s">
        <v>587</v>
      </c>
      <c r="AB269" s="4">
        <f>AB240</f>
        <v>950</v>
      </c>
    </row>
    <row r="270" spans="10:28">
      <c r="J270" s="67"/>
      <c r="K270" s="2" t="s">
        <v>76</v>
      </c>
      <c r="L270" s="4">
        <v>500</v>
      </c>
      <c r="M270" s="2"/>
      <c r="N270" s="2"/>
      <c r="O270" s="2"/>
      <c r="P270" s="2"/>
      <c r="Q270" s="4">
        <f t="shared" ref="Q270:Q275" si="10">SUM(M270:P270)</f>
        <v>0</v>
      </c>
      <c r="S270" s="2" t="s">
        <v>571</v>
      </c>
      <c r="T270" s="4">
        <f>SUM(T264:T269)</f>
        <v>3250</v>
      </c>
      <c r="U270" s="4" t="s">
        <v>17</v>
      </c>
      <c r="X270" s="2"/>
      <c r="Z270" s="68"/>
      <c r="AA270" s="92"/>
      <c r="AB270" s="297">
        <f>+AB269+Q268</f>
        <v>1165</v>
      </c>
    </row>
    <row r="271" spans="10:28">
      <c r="J271" s="67"/>
      <c r="K271" s="2" t="s">
        <v>76</v>
      </c>
      <c r="L271" s="4">
        <v>500</v>
      </c>
      <c r="M271" s="2"/>
      <c r="N271" s="2"/>
      <c r="O271" s="2"/>
      <c r="P271" s="2">
        <v>1</v>
      </c>
      <c r="Q271" s="4">
        <f t="shared" si="10"/>
        <v>1</v>
      </c>
      <c r="T271" s="4">
        <f>+T270*'cash IX'!$O$22</f>
        <v>82417.5</v>
      </c>
      <c r="U271" s="4" t="s">
        <v>135</v>
      </c>
      <c r="X271" s="2"/>
      <c r="Z271" s="68"/>
    </row>
    <row r="272" spans="10:28">
      <c r="J272" s="67"/>
      <c r="K272" s="2" t="s">
        <v>76</v>
      </c>
      <c r="L272" s="4">
        <v>200</v>
      </c>
      <c r="M272" s="2"/>
      <c r="N272" s="2"/>
      <c r="O272" s="2"/>
      <c r="P272" s="2"/>
      <c r="Q272" s="4">
        <f t="shared" si="10"/>
        <v>0</v>
      </c>
      <c r="W272" s="2" t="s">
        <v>584</v>
      </c>
      <c r="X272" s="203">
        <f>+X269-X264</f>
        <v>-16.463976430021404</v>
      </c>
      <c r="Z272" s="68"/>
    </row>
    <row r="273" spans="10:28">
      <c r="J273" s="67"/>
      <c r="K273" s="2" t="s">
        <v>76</v>
      </c>
      <c r="L273" s="4">
        <v>100</v>
      </c>
      <c r="M273" s="2"/>
      <c r="N273" s="2"/>
      <c r="O273" s="2"/>
      <c r="P273" s="2">
        <v>1</v>
      </c>
      <c r="Q273" s="4">
        <f t="shared" si="10"/>
        <v>1</v>
      </c>
      <c r="S273" s="2" t="s">
        <v>842</v>
      </c>
      <c r="T273" s="28">
        <f>T262-T266</f>
        <v>215</v>
      </c>
      <c r="Z273" s="68"/>
    </row>
    <row r="274" spans="10:28">
      <c r="J274" s="67"/>
      <c r="K274" s="2" t="s">
        <v>76</v>
      </c>
      <c r="L274" s="4">
        <v>50</v>
      </c>
      <c r="M274" s="2"/>
      <c r="N274" s="2"/>
      <c r="O274" s="2"/>
      <c r="P274" s="2"/>
      <c r="Q274" s="4">
        <f t="shared" si="10"/>
        <v>0</v>
      </c>
      <c r="Y274" s="2"/>
      <c r="Z274" s="68"/>
      <c r="AB274" t="s">
        <v>784</v>
      </c>
    </row>
    <row r="275" spans="10:28">
      <c r="J275" s="67"/>
      <c r="K275" s="2" t="s">
        <v>76</v>
      </c>
      <c r="L275" s="4">
        <v>20</v>
      </c>
      <c r="M275" s="2"/>
      <c r="N275" s="2"/>
      <c r="O275" s="2"/>
      <c r="P275" s="2">
        <v>3</v>
      </c>
      <c r="Q275" s="4">
        <f t="shared" si="10"/>
        <v>3</v>
      </c>
      <c r="X275" s="2"/>
      <c r="Y275" s="2"/>
      <c r="Z275" s="125"/>
      <c r="AB275" t="s">
        <v>785</v>
      </c>
    </row>
    <row r="276" spans="10:28">
      <c r="J276" s="67"/>
      <c r="K276" s="2" t="s">
        <v>76</v>
      </c>
      <c r="L276" s="4">
        <v>10</v>
      </c>
      <c r="M276" s="2"/>
      <c r="N276" s="2"/>
      <c r="O276" s="2"/>
      <c r="P276" s="2">
        <v>3</v>
      </c>
      <c r="Q276" s="4">
        <v>0</v>
      </c>
      <c r="X276" s="4" t="s">
        <v>75</v>
      </c>
      <c r="Y276" s="4" t="s">
        <v>77</v>
      </c>
      <c r="Z276" s="126" t="s">
        <v>590</v>
      </c>
    </row>
    <row r="277" spans="10:28">
      <c r="J277" s="67"/>
      <c r="K277" s="2" t="s">
        <v>76</v>
      </c>
      <c r="L277" s="4">
        <v>5</v>
      </c>
      <c r="M277" s="2"/>
      <c r="N277" s="2"/>
      <c r="O277" s="2"/>
      <c r="P277" s="2"/>
      <c r="Q277" s="4">
        <f>SUM(M277:P277)</f>
        <v>0</v>
      </c>
      <c r="V277" s="2" t="s">
        <v>588</v>
      </c>
      <c r="W277" s="2" t="s">
        <v>9</v>
      </c>
      <c r="X277" s="142">
        <f>+Q268</f>
        <v>215</v>
      </c>
      <c r="Y277" s="142">
        <f>+Q268*'cash IX'!$O$22</f>
        <v>5452.2346153846156</v>
      </c>
      <c r="Z277" s="235">
        <f>+Y277/'cash IX'!$O$22</f>
        <v>215</v>
      </c>
    </row>
    <row r="278" spans="10:28">
      <c r="J278" s="67"/>
      <c r="K278" s="2" t="s">
        <v>76</v>
      </c>
      <c r="L278" s="4">
        <v>2</v>
      </c>
      <c r="M278" s="2"/>
      <c r="N278" s="2"/>
      <c r="O278" s="2"/>
      <c r="P278" s="2"/>
      <c r="Q278" s="4">
        <f>SUM(M278:P278)</f>
        <v>0</v>
      </c>
      <c r="V278" s="2" t="s">
        <v>588</v>
      </c>
      <c r="W278" s="2" t="s">
        <v>135</v>
      </c>
      <c r="X278" s="142">
        <f>+Q279/'cash IX'!$O$22</f>
        <v>27.209027209027209</v>
      </c>
      <c r="Y278" s="142">
        <f>+Q279</f>
        <v>690</v>
      </c>
      <c r="Z278" s="235">
        <f>+Y278/'cash IX'!$O$22</f>
        <v>27.209027209027209</v>
      </c>
    </row>
    <row r="279" spans="10:28">
      <c r="J279" s="67"/>
      <c r="K279" s="4" t="s">
        <v>77</v>
      </c>
      <c r="M279" s="2">
        <f>SUMPRODUCT($L270:$L278,M270:M278)</f>
        <v>0</v>
      </c>
      <c r="N279" s="2">
        <f>SUMPRODUCT($L270:$L278,N270:N278)</f>
        <v>0</v>
      </c>
      <c r="O279" s="2">
        <f>SUMPRODUCT($L270:$L278,O270:O278)</f>
        <v>0</v>
      </c>
      <c r="P279" s="2">
        <f>SUMPRODUCT($L270:$L278,P270:P278)</f>
        <v>690</v>
      </c>
      <c r="Q279" s="4">
        <f>SUM(M279:P279)</f>
        <v>690</v>
      </c>
      <c r="V279" s="2" t="s">
        <v>589</v>
      </c>
      <c r="W279" s="2" t="s">
        <v>135</v>
      </c>
      <c r="X279" s="142">
        <f>-X263</f>
        <v>3206.3269963609514</v>
      </c>
      <c r="Y279" s="142">
        <f>+Q281</f>
        <v>80909.290322580637</v>
      </c>
      <c r="Z279" s="235">
        <f>+Y279/'cash IX'!$O$22</f>
        <v>3190.5262055799685</v>
      </c>
    </row>
    <row r="280" spans="10:28">
      <c r="J280" s="67"/>
      <c r="Q280" s="311">
        <f>Q279/'cash IX'!$O$22</f>
        <v>27.209027209027209</v>
      </c>
      <c r="V280" s="2" t="s">
        <v>780</v>
      </c>
      <c r="X280" s="142">
        <f>SUM(X277:X279)</f>
        <v>3448.5360235699786</v>
      </c>
      <c r="Y280" s="142">
        <f>SUM(Y277:Y279)</f>
        <v>87051.524937965252</v>
      </c>
      <c r="Z280" s="235">
        <f>SUM(Z277:Z279)</f>
        <v>3432.7352327889957</v>
      </c>
    </row>
    <row r="281" spans="10:28">
      <c r="J281" s="67"/>
      <c r="N281" t="s">
        <v>563</v>
      </c>
      <c r="P281" s="4" t="str">
        <f>IF(Q281=Z264,"OK","attention")</f>
        <v>OK</v>
      </c>
      <c r="Q281" s="352">
        <f>Z267</f>
        <v>80909.290322580637</v>
      </c>
      <c r="R281" s="296" t="str">
        <f>+J261</f>
        <v>au 23/07/2023</v>
      </c>
      <c r="X281" s="142"/>
      <c r="Y281" s="142">
        <f>+Y280/'cash IX'!$O$22</f>
        <v>3432.7352327889957</v>
      </c>
      <c r="Z281" s="302"/>
    </row>
    <row r="282" spans="10:28" ht="15" thickBot="1">
      <c r="J282" s="67"/>
      <c r="Q282" s="417">
        <f>Q281/'cash IX'!$O$22</f>
        <v>3190.5262055799685</v>
      </c>
      <c r="Y282" s="142"/>
      <c r="Z282" s="302"/>
    </row>
    <row r="283" spans="10:28" ht="15" thickBot="1">
      <c r="J283" s="67"/>
      <c r="N283" s="9" t="s">
        <v>778</v>
      </c>
      <c r="Q283" s="322">
        <f>+Q279+Q281</f>
        <v>81599.290322580637</v>
      </c>
      <c r="S283" s="349">
        <f>+Q283-T271</f>
        <v>-818.20967741936329</v>
      </c>
      <c r="V283" s="2" t="s">
        <v>608</v>
      </c>
      <c r="W283" s="27">
        <f>Q268*'cash IX'!$O$22+'cash IX'!Q279</f>
        <v>6142.2346153846156</v>
      </c>
      <c r="X283" s="6">
        <f>+W283/'cash IX'!$O$22</f>
        <v>242.2090272090272</v>
      </c>
      <c r="Y283" s="142">
        <f>X283-X254</f>
        <v>-154.77598810932145</v>
      </c>
      <c r="Z283" s="302"/>
    </row>
    <row r="284" spans="10:28">
      <c r="J284" s="67"/>
      <c r="M284" s="2"/>
      <c r="Q284" s="417">
        <f>Q283/'cash IX'!$O$22</f>
        <v>3217.7352327889957</v>
      </c>
      <c r="S284" s="289">
        <f>+S283/'cash IX'!$O$22</f>
        <v>-32.264767211004106</v>
      </c>
      <c r="V284" s="2" t="s">
        <v>609</v>
      </c>
      <c r="W284" s="27">
        <f>Q281</f>
        <v>80909.290322580637</v>
      </c>
      <c r="X284" s="6">
        <f>+W284/'cash IX'!$O$22</f>
        <v>3190.5262055799685</v>
      </c>
      <c r="Y284" s="142">
        <f>X284-X255</f>
        <v>401.23456790123464</v>
      </c>
      <c r="Z284" s="302"/>
      <c r="AA284" s="2"/>
    </row>
    <row r="285" spans="10:28">
      <c r="J285" s="67"/>
      <c r="N285" s="9" t="s">
        <v>779</v>
      </c>
      <c r="O285" s="9"/>
      <c r="Q285" s="28">
        <f>Q268+(Q283/'cash IX'!$O$22)</f>
        <v>3432.7352327889957</v>
      </c>
      <c r="S285"/>
      <c r="T285"/>
      <c r="V285" s="2" t="s">
        <v>14</v>
      </c>
      <c r="W285" s="233">
        <f>SUM(W283:W284)</f>
        <v>87051.524937965252</v>
      </c>
      <c r="X285" s="6">
        <f>SUM(X283:X284)</f>
        <v>3432.7352327889957</v>
      </c>
      <c r="Y285" s="142">
        <f>X285-X256</f>
        <v>246.45857979191305</v>
      </c>
      <c r="Z285" s="302"/>
      <c r="AA285" s="2"/>
      <c r="AB285" s="28">
        <f>Q285-Q256</f>
        <v>246.45857979191305</v>
      </c>
    </row>
    <row r="286" spans="10:28">
      <c r="J286" s="67"/>
      <c r="Q286" s="417">
        <f>Q268+Q280+Q282</f>
        <v>3432.7352327889957</v>
      </c>
      <c r="S286"/>
      <c r="T286"/>
      <c r="Z286" s="302"/>
      <c r="AB286" s="27">
        <f>+AB285*'cash IX'!$O$22</f>
        <v>6249.9999999999982</v>
      </c>
    </row>
    <row r="287" spans="10:28">
      <c r="J287" s="92"/>
      <c r="K287" s="87"/>
      <c r="L287" s="87"/>
      <c r="M287" s="87"/>
      <c r="N287" s="87"/>
      <c r="O287" s="87"/>
      <c r="P287" s="87"/>
      <c r="Q287" s="87"/>
      <c r="R287" s="87"/>
      <c r="S287" s="297"/>
      <c r="T287" s="297"/>
      <c r="U287" s="297"/>
      <c r="V287" s="297"/>
      <c r="W287" s="297"/>
      <c r="X287" s="87"/>
      <c r="Y287" s="87"/>
      <c r="Z287" s="8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dimension ref="A1:DG187"/>
  <sheetViews>
    <sheetView showZeros="0" topLeftCell="A6" zoomScaleNormal="100" workbookViewId="0">
      <pane xSplit="3" ySplit="6" topLeftCell="AX93" activePane="bottomRight" state="frozen"/>
      <selection activeCell="A6" sqref="A6"/>
      <selection pane="topRight" activeCell="D6" sqref="D6"/>
      <selection pane="bottomLeft" activeCell="A12" sqref="A12"/>
      <selection pane="bottomRight" activeCell="CM110" sqref="CM110"/>
    </sheetView>
  </sheetViews>
  <sheetFormatPr baseColWidth="10" defaultRowHeight="14.4" outlineLevelRow="2" outlineLevelCol="1"/>
  <cols>
    <col min="1" max="1" width="9.109375" customWidth="1"/>
    <col min="3" max="3" width="17.6640625" bestFit="1" customWidth="1"/>
    <col min="4" max="4" width="1.5546875" customWidth="1"/>
    <col min="5" max="5" width="10.33203125" style="2" customWidth="1"/>
    <col min="6" max="18" width="8.109375" style="2" customWidth="1"/>
    <col min="19" max="19" width="9.33203125" style="2" customWidth="1" collapsed="1"/>
    <col min="20" max="21" width="9.33203125" style="2" customWidth="1"/>
    <col min="22" max="23" width="9.33203125" style="2" customWidth="1" collapsed="1"/>
    <col min="24" max="25" width="8.109375" style="2" customWidth="1"/>
    <col min="26" max="26" width="8.109375" style="2" customWidth="1" collapsed="1"/>
    <col min="27" max="28" width="8.109375" style="2" customWidth="1"/>
    <col min="29" max="29" width="8.109375" style="2" customWidth="1" collapsed="1"/>
    <col min="30" max="31" width="8.109375" style="2" customWidth="1"/>
    <col min="32" max="32" width="8.109375" style="2" customWidth="1" collapsed="1"/>
    <col min="33" max="36" width="8.109375" style="2" customWidth="1"/>
    <col min="37" max="37" width="9.33203125" style="2" customWidth="1"/>
    <col min="38" max="51" width="8.109375" style="2" customWidth="1" outlineLevel="1"/>
    <col min="52" max="52" width="8.109375" style="2" customWidth="1"/>
    <col min="53" max="53" width="8.109375" style="2" customWidth="1" collapsed="1"/>
    <col min="54" max="54" width="8.109375" style="11" customWidth="1"/>
    <col min="55" max="55" width="2.109375" style="177" customWidth="1"/>
    <col min="56" max="56" width="11.44140625" style="4"/>
    <col min="57" max="57" width="9" style="2" customWidth="1"/>
    <col min="58" max="58" width="0.33203125" customWidth="1"/>
    <col min="59" max="65" width="0.33203125" style="2" customWidth="1"/>
    <col min="66" max="66" width="0.33203125" customWidth="1"/>
    <col min="67" max="85" width="0.33203125" hidden="1" customWidth="1" outlineLevel="1"/>
    <col min="86" max="86" width="0.33203125" hidden="1" customWidth="1" collapsed="1"/>
    <col min="87" max="87" width="0.33203125" hidden="1" customWidth="1"/>
    <col min="88" max="88" width="15.6640625" customWidth="1"/>
    <col min="92" max="96" width="11.5546875" hidden="1" customWidth="1" outlineLevel="1"/>
    <col min="97" max="97" width="1.88671875" customWidth="1" collapsed="1"/>
    <col min="98" max="98" width="11.44140625" style="2"/>
    <col min="99" max="99" width="8.6640625" customWidth="1"/>
    <col min="100" max="100" width="10.33203125" customWidth="1"/>
    <col min="101" max="101" width="11.44140625" style="2"/>
    <col min="105" max="105" width="5.6640625" customWidth="1"/>
  </cols>
  <sheetData>
    <row r="1" spans="1:101" outlineLevel="1">
      <c r="F1" s="274">
        <v>1</v>
      </c>
      <c r="G1" s="253">
        <v>2</v>
      </c>
      <c r="H1" s="253">
        <v>3</v>
      </c>
      <c r="I1" s="253">
        <v>4</v>
      </c>
      <c r="J1" s="253">
        <v>5</v>
      </c>
      <c r="K1" s="253">
        <v>6</v>
      </c>
      <c r="L1" s="275">
        <v>7</v>
      </c>
      <c r="M1"/>
    </row>
    <row r="2" spans="1:101" ht="15" outlineLevel="1" thickBot="1">
      <c r="F2" s="251" t="s">
        <v>289</v>
      </c>
      <c r="G2" s="276" t="s">
        <v>85</v>
      </c>
      <c r="H2" s="276" t="s">
        <v>86</v>
      </c>
      <c r="I2" s="276" t="s">
        <v>87</v>
      </c>
      <c r="J2" s="276" t="s">
        <v>88</v>
      </c>
      <c r="K2" s="276" t="s">
        <v>89</v>
      </c>
      <c r="L2" s="277" t="s">
        <v>90</v>
      </c>
      <c r="M2"/>
    </row>
    <row r="3" spans="1:101" outlineLevel="1">
      <c r="F3" s="39">
        <f>F9</f>
        <v>45083</v>
      </c>
      <c r="G3" s="39">
        <f t="shared" ref="G3:BA3" si="0">G9</f>
        <v>45084</v>
      </c>
      <c r="H3" s="39">
        <f t="shared" si="0"/>
        <v>45085</v>
      </c>
      <c r="I3" s="39">
        <f t="shared" si="0"/>
        <v>45086</v>
      </c>
      <c r="J3" s="39">
        <f t="shared" si="0"/>
        <v>45087</v>
      </c>
      <c r="K3" s="39">
        <f t="shared" si="0"/>
        <v>45088</v>
      </c>
      <c r="L3" s="39">
        <f t="shared" si="0"/>
        <v>45089</v>
      </c>
      <c r="M3" s="39">
        <f t="shared" si="0"/>
        <v>45090</v>
      </c>
      <c r="N3" s="39">
        <f t="shared" si="0"/>
        <v>45091</v>
      </c>
      <c r="O3" s="39">
        <f t="shared" si="0"/>
        <v>45092</v>
      </c>
      <c r="P3" s="39">
        <f t="shared" si="0"/>
        <v>45093</v>
      </c>
      <c r="Q3" s="39">
        <f t="shared" si="0"/>
        <v>45094</v>
      </c>
      <c r="R3" s="39">
        <f t="shared" si="0"/>
        <v>45095</v>
      </c>
      <c r="S3" s="39">
        <f t="shared" si="0"/>
        <v>45096</v>
      </c>
      <c r="T3" s="39">
        <f t="shared" si="0"/>
        <v>45097</v>
      </c>
      <c r="U3" s="39">
        <f t="shared" si="0"/>
        <v>45098</v>
      </c>
      <c r="V3" s="39">
        <f t="shared" si="0"/>
        <v>45099</v>
      </c>
      <c r="W3" s="39">
        <f t="shared" si="0"/>
        <v>45100</v>
      </c>
      <c r="X3" s="39">
        <f t="shared" si="0"/>
        <v>45101</v>
      </c>
      <c r="Y3" s="39">
        <f t="shared" si="0"/>
        <v>45102</v>
      </c>
      <c r="Z3" s="39">
        <f t="shared" si="0"/>
        <v>45103</v>
      </c>
      <c r="AA3" s="39">
        <f t="shared" si="0"/>
        <v>45104</v>
      </c>
      <c r="AB3" s="39">
        <f t="shared" si="0"/>
        <v>45105</v>
      </c>
      <c r="AC3" s="39">
        <f t="shared" si="0"/>
        <v>45106</v>
      </c>
      <c r="AD3" s="39">
        <f t="shared" si="0"/>
        <v>45107</v>
      </c>
      <c r="AE3" s="39">
        <f t="shared" si="0"/>
        <v>45108</v>
      </c>
      <c r="AF3" s="39">
        <f t="shared" si="0"/>
        <v>45109</v>
      </c>
      <c r="AG3" s="39">
        <f t="shared" si="0"/>
        <v>45110</v>
      </c>
      <c r="AH3" s="39">
        <f t="shared" si="0"/>
        <v>45111</v>
      </c>
      <c r="AI3" s="39">
        <f t="shared" si="0"/>
        <v>45112</v>
      </c>
      <c r="AJ3" s="39">
        <f t="shared" si="0"/>
        <v>45113</v>
      </c>
      <c r="AK3" s="39">
        <f t="shared" si="0"/>
        <v>45114</v>
      </c>
      <c r="AL3" s="39">
        <f t="shared" si="0"/>
        <v>45115</v>
      </c>
      <c r="AM3" s="39">
        <f t="shared" si="0"/>
        <v>45116</v>
      </c>
      <c r="AN3" s="39">
        <f t="shared" si="0"/>
        <v>45117</v>
      </c>
      <c r="AO3" s="39">
        <f t="shared" si="0"/>
        <v>45118</v>
      </c>
      <c r="AP3" s="39">
        <f t="shared" si="0"/>
        <v>45119</v>
      </c>
      <c r="AQ3" s="39">
        <f t="shared" si="0"/>
        <v>45120</v>
      </c>
      <c r="AR3" s="39">
        <f t="shared" si="0"/>
        <v>45121</v>
      </c>
      <c r="AS3" s="39">
        <f t="shared" si="0"/>
        <v>45122</v>
      </c>
      <c r="AT3" s="39">
        <f t="shared" si="0"/>
        <v>45123</v>
      </c>
      <c r="AU3" s="39">
        <f t="shared" si="0"/>
        <v>45124</v>
      </c>
      <c r="AV3" s="39">
        <f t="shared" si="0"/>
        <v>45125</v>
      </c>
      <c r="AW3" s="39">
        <f t="shared" si="0"/>
        <v>45126</v>
      </c>
      <c r="AX3" s="39">
        <f t="shared" si="0"/>
        <v>45127</v>
      </c>
      <c r="AY3" s="39">
        <f t="shared" si="0"/>
        <v>45128</v>
      </c>
      <c r="AZ3" s="39">
        <f t="shared" si="0"/>
        <v>45129</v>
      </c>
      <c r="BA3" s="39">
        <f t="shared" si="0"/>
        <v>45130</v>
      </c>
    </row>
    <row r="4" spans="1:101" outlineLevel="1">
      <c r="E4" s="2" t="str">
        <f>+LEFT(ADDRESS(1,COLUMN(),4),INT((COLUMN()+25)/26))</f>
        <v>E</v>
      </c>
      <c r="F4" s="2" t="str">
        <f t="shared" ref="F4:AZ4" si="1">+LEFT(ADDRESS(1,COLUMN(),4),INT((COLUMN()+25)/26))</f>
        <v>F</v>
      </c>
      <c r="G4" s="2" t="str">
        <f t="shared" si="1"/>
        <v>G</v>
      </c>
      <c r="H4" s="2" t="str">
        <f t="shared" si="1"/>
        <v>H</v>
      </c>
      <c r="I4" s="2" t="str">
        <f t="shared" si="1"/>
        <v>I</v>
      </c>
      <c r="J4" s="2" t="str">
        <f t="shared" si="1"/>
        <v>J</v>
      </c>
      <c r="K4" s="2" t="str">
        <f t="shared" si="1"/>
        <v>K</v>
      </c>
      <c r="L4" s="2" t="str">
        <f t="shared" si="1"/>
        <v>L</v>
      </c>
      <c r="M4" s="2" t="str">
        <f t="shared" si="1"/>
        <v>M</v>
      </c>
      <c r="N4" s="2" t="str">
        <f t="shared" si="1"/>
        <v>N</v>
      </c>
      <c r="O4" s="2" t="str">
        <f t="shared" si="1"/>
        <v>O</v>
      </c>
      <c r="P4" s="2" t="str">
        <f t="shared" si="1"/>
        <v>P</v>
      </c>
      <c r="Q4" s="2" t="str">
        <f t="shared" si="1"/>
        <v>Q</v>
      </c>
      <c r="R4" s="2" t="str">
        <f t="shared" si="1"/>
        <v>R</v>
      </c>
      <c r="S4" s="2" t="str">
        <f t="shared" si="1"/>
        <v>S</v>
      </c>
      <c r="T4" s="2" t="str">
        <f t="shared" si="1"/>
        <v>T</v>
      </c>
      <c r="U4" s="2" t="str">
        <f t="shared" si="1"/>
        <v>U</v>
      </c>
      <c r="V4" s="2" t="str">
        <f t="shared" si="1"/>
        <v>V</v>
      </c>
      <c r="W4" s="2" t="str">
        <f t="shared" si="1"/>
        <v>W</v>
      </c>
      <c r="X4" s="2" t="str">
        <f t="shared" si="1"/>
        <v>X</v>
      </c>
      <c r="Y4" s="2" t="str">
        <f t="shared" si="1"/>
        <v>Y</v>
      </c>
      <c r="Z4" s="2" t="str">
        <f t="shared" si="1"/>
        <v>Z</v>
      </c>
      <c r="AA4" s="2" t="str">
        <f t="shared" si="1"/>
        <v>AA</v>
      </c>
      <c r="AB4" s="2" t="str">
        <f t="shared" si="1"/>
        <v>AB</v>
      </c>
      <c r="AC4" s="2" t="str">
        <f t="shared" si="1"/>
        <v>AC</v>
      </c>
      <c r="AD4" s="2" t="str">
        <f t="shared" si="1"/>
        <v>AD</v>
      </c>
      <c r="AE4" s="2" t="str">
        <f t="shared" si="1"/>
        <v>AE</v>
      </c>
      <c r="AF4" s="2" t="str">
        <f t="shared" si="1"/>
        <v>AF</v>
      </c>
      <c r="AG4" s="2" t="str">
        <f t="shared" si="1"/>
        <v>AG</v>
      </c>
      <c r="AH4" s="2" t="str">
        <f t="shared" si="1"/>
        <v>AH</v>
      </c>
      <c r="AI4" s="2" t="str">
        <f t="shared" si="1"/>
        <v>AI</v>
      </c>
      <c r="AJ4" s="2" t="str">
        <f t="shared" si="1"/>
        <v>AJ</v>
      </c>
      <c r="AK4" s="2" t="str">
        <f t="shared" si="1"/>
        <v>AK</v>
      </c>
      <c r="AL4" s="2" t="str">
        <f t="shared" si="1"/>
        <v>AL</v>
      </c>
      <c r="AM4" s="2" t="str">
        <f t="shared" si="1"/>
        <v>AM</v>
      </c>
      <c r="AN4" s="2" t="str">
        <f t="shared" si="1"/>
        <v>AN</v>
      </c>
      <c r="AO4" s="2" t="str">
        <f t="shared" si="1"/>
        <v>AO</v>
      </c>
      <c r="AP4" s="2" t="str">
        <f t="shared" si="1"/>
        <v>AP</v>
      </c>
      <c r="AQ4" s="2" t="str">
        <f t="shared" si="1"/>
        <v>AQ</v>
      </c>
      <c r="AR4" s="2" t="str">
        <f t="shared" si="1"/>
        <v>AR</v>
      </c>
      <c r="AS4" s="2" t="str">
        <f t="shared" si="1"/>
        <v>AS</v>
      </c>
      <c r="AT4" s="2" t="str">
        <f t="shared" si="1"/>
        <v>AT</v>
      </c>
      <c r="AU4" s="2" t="str">
        <f t="shared" si="1"/>
        <v>AU</v>
      </c>
      <c r="AV4" s="2" t="str">
        <f t="shared" si="1"/>
        <v>AV</v>
      </c>
      <c r="AW4" s="2" t="str">
        <f t="shared" si="1"/>
        <v>AW</v>
      </c>
      <c r="AX4" s="2" t="str">
        <f t="shared" si="1"/>
        <v>AX</v>
      </c>
      <c r="AY4" s="2" t="str">
        <f t="shared" si="1"/>
        <v>AY</v>
      </c>
      <c r="AZ4" s="2" t="str">
        <f t="shared" si="1"/>
        <v>AZ</v>
      </c>
      <c r="BA4" s="2" t="str">
        <f>+LEFT(LEFT(ADDRESS(1,COLUMN(),4),INT((COLUMN()+25)/26)),2)</f>
        <v>BA</v>
      </c>
    </row>
    <row r="5" spans="1:101" outlineLevel="1">
      <c r="F5" s="2">
        <f>F7</f>
        <v>1</v>
      </c>
      <c r="G5" s="2">
        <f t="shared" ref="G5:BA5" si="2">G7</f>
        <v>2</v>
      </c>
      <c r="H5" s="2">
        <f t="shared" si="2"/>
        <v>3</v>
      </c>
      <c r="I5" s="2">
        <f t="shared" si="2"/>
        <v>4</v>
      </c>
      <c r="J5" s="2">
        <f t="shared" si="2"/>
        <v>5</v>
      </c>
      <c r="K5" s="2">
        <f t="shared" si="2"/>
        <v>6</v>
      </c>
      <c r="L5" s="2">
        <f t="shared" si="2"/>
        <v>7</v>
      </c>
      <c r="M5" s="2">
        <f t="shared" si="2"/>
        <v>8</v>
      </c>
      <c r="N5" s="2">
        <f t="shared" si="2"/>
        <v>9</v>
      </c>
      <c r="O5" s="2">
        <f t="shared" si="2"/>
        <v>10</v>
      </c>
      <c r="P5" s="2">
        <f t="shared" si="2"/>
        <v>11</v>
      </c>
      <c r="Q5" s="2">
        <f t="shared" si="2"/>
        <v>12</v>
      </c>
      <c r="R5" s="2">
        <f t="shared" si="2"/>
        <v>13</v>
      </c>
      <c r="S5" s="2">
        <f t="shared" si="2"/>
        <v>14</v>
      </c>
      <c r="T5" s="2">
        <f t="shared" si="2"/>
        <v>15</v>
      </c>
      <c r="U5" s="2">
        <f t="shared" si="2"/>
        <v>16</v>
      </c>
      <c r="V5" s="2">
        <f t="shared" si="2"/>
        <v>17</v>
      </c>
      <c r="W5" s="2">
        <f t="shared" si="2"/>
        <v>18</v>
      </c>
      <c r="X5" s="2">
        <f t="shared" si="2"/>
        <v>19</v>
      </c>
      <c r="Y5" s="2">
        <f t="shared" si="2"/>
        <v>20</v>
      </c>
      <c r="Z5" s="2">
        <f t="shared" si="2"/>
        <v>21</v>
      </c>
      <c r="AA5" s="2">
        <f t="shared" si="2"/>
        <v>22</v>
      </c>
      <c r="AB5" s="2">
        <f t="shared" si="2"/>
        <v>23</v>
      </c>
      <c r="AC5" s="2">
        <f t="shared" si="2"/>
        <v>24</v>
      </c>
      <c r="AD5" s="2">
        <f t="shared" si="2"/>
        <v>25</v>
      </c>
      <c r="AE5" s="2">
        <f t="shared" si="2"/>
        <v>26</v>
      </c>
      <c r="AF5" s="2">
        <f t="shared" si="2"/>
        <v>27</v>
      </c>
      <c r="AG5" s="2">
        <f t="shared" si="2"/>
        <v>28</v>
      </c>
      <c r="AH5" s="2">
        <f t="shared" si="2"/>
        <v>29</v>
      </c>
      <c r="AI5" s="2">
        <f t="shared" si="2"/>
        <v>30</v>
      </c>
      <c r="AJ5" s="2">
        <f t="shared" si="2"/>
        <v>31</v>
      </c>
      <c r="AK5" s="2">
        <f t="shared" si="2"/>
        <v>32</v>
      </c>
      <c r="AL5" s="2">
        <f t="shared" si="2"/>
        <v>33</v>
      </c>
      <c r="AM5" s="2">
        <f t="shared" si="2"/>
        <v>34</v>
      </c>
      <c r="AN5" s="2">
        <f t="shared" si="2"/>
        <v>35</v>
      </c>
      <c r="AO5" s="2">
        <f t="shared" si="2"/>
        <v>36</v>
      </c>
      <c r="AP5" s="2">
        <f t="shared" si="2"/>
        <v>37</v>
      </c>
      <c r="AQ5" s="2">
        <f t="shared" si="2"/>
        <v>38</v>
      </c>
      <c r="AR5" s="2">
        <f t="shared" si="2"/>
        <v>39</v>
      </c>
      <c r="AS5" s="2">
        <f t="shared" si="2"/>
        <v>40</v>
      </c>
      <c r="AT5" s="2">
        <f t="shared" si="2"/>
        <v>41</v>
      </c>
      <c r="AU5" s="2">
        <f t="shared" si="2"/>
        <v>42</v>
      </c>
      <c r="AV5" s="2">
        <f t="shared" si="2"/>
        <v>43</v>
      </c>
      <c r="AW5" s="2">
        <f t="shared" si="2"/>
        <v>44</v>
      </c>
      <c r="AX5" s="2">
        <f t="shared" si="2"/>
        <v>45</v>
      </c>
      <c r="AY5" s="2">
        <f t="shared" si="2"/>
        <v>46</v>
      </c>
      <c r="AZ5" s="2">
        <f t="shared" si="2"/>
        <v>47</v>
      </c>
      <c r="BA5" s="2">
        <f t="shared" si="2"/>
        <v>48</v>
      </c>
    </row>
    <row r="6" spans="1:101">
      <c r="C6" s="2" t="s">
        <v>566</v>
      </c>
      <c r="E6" s="512">
        <v>25.05</v>
      </c>
      <c r="F6" s="512">
        <f>E6</f>
        <v>25.05</v>
      </c>
      <c r="G6" s="512">
        <f>F6</f>
        <v>25.05</v>
      </c>
      <c r="H6" s="512">
        <f t="shared" ref="H6:AK6" si="3">G6</f>
        <v>25.05</v>
      </c>
      <c r="I6" s="512">
        <f t="shared" si="3"/>
        <v>25.05</v>
      </c>
      <c r="J6" s="512">
        <f t="shared" si="3"/>
        <v>25.05</v>
      </c>
      <c r="K6" s="512">
        <f t="shared" si="3"/>
        <v>25.05</v>
      </c>
      <c r="L6" s="512">
        <f t="shared" si="3"/>
        <v>25.05</v>
      </c>
      <c r="M6" s="512">
        <f t="shared" si="3"/>
        <v>25.05</v>
      </c>
      <c r="N6" s="512">
        <f t="shared" si="3"/>
        <v>25.05</v>
      </c>
      <c r="O6" s="512">
        <f t="shared" si="3"/>
        <v>25.05</v>
      </c>
      <c r="P6" s="512">
        <f t="shared" si="3"/>
        <v>25.05</v>
      </c>
      <c r="Q6" s="512">
        <f t="shared" si="3"/>
        <v>25.05</v>
      </c>
      <c r="R6" s="512">
        <f t="shared" si="3"/>
        <v>25.05</v>
      </c>
      <c r="S6" s="512">
        <f t="shared" si="3"/>
        <v>25.05</v>
      </c>
      <c r="T6" s="512">
        <f t="shared" si="3"/>
        <v>25.05</v>
      </c>
      <c r="U6" s="512">
        <f t="shared" si="3"/>
        <v>25.05</v>
      </c>
      <c r="V6" s="512">
        <f t="shared" si="3"/>
        <v>25.05</v>
      </c>
      <c r="W6" s="512">
        <f t="shared" si="3"/>
        <v>25.05</v>
      </c>
      <c r="X6" s="11">
        <v>25.25</v>
      </c>
      <c r="Y6" s="11">
        <f t="shared" si="3"/>
        <v>25.25</v>
      </c>
      <c r="Z6" s="11">
        <f t="shared" si="3"/>
        <v>25.25</v>
      </c>
      <c r="AA6" s="11">
        <f t="shared" si="3"/>
        <v>25.25</v>
      </c>
      <c r="AB6" s="11">
        <f t="shared" si="3"/>
        <v>25.25</v>
      </c>
      <c r="AC6" s="11">
        <f t="shared" si="3"/>
        <v>25.25</v>
      </c>
      <c r="AD6" s="11">
        <f t="shared" si="3"/>
        <v>25.25</v>
      </c>
      <c r="AE6" s="11">
        <f t="shared" si="3"/>
        <v>25.25</v>
      </c>
      <c r="AF6" s="11">
        <f t="shared" si="3"/>
        <v>25.25</v>
      </c>
      <c r="AG6" s="11">
        <f t="shared" si="3"/>
        <v>25.25</v>
      </c>
      <c r="AH6" s="11">
        <f t="shared" si="3"/>
        <v>25.25</v>
      </c>
      <c r="AI6" s="11">
        <f t="shared" si="3"/>
        <v>25.25</v>
      </c>
      <c r="AJ6" s="11">
        <f t="shared" si="3"/>
        <v>25.25</v>
      </c>
      <c r="AK6" s="11">
        <f t="shared" si="3"/>
        <v>25.25</v>
      </c>
      <c r="AL6" s="11">
        <f t="shared" ref="AL6" si="4">AK6</f>
        <v>25.25</v>
      </c>
      <c r="AM6" s="513">
        <v>25.6</v>
      </c>
      <c r="AN6" s="513">
        <f>AM6</f>
        <v>25.6</v>
      </c>
      <c r="AO6" s="513">
        <f t="shared" ref="AO6:BA6" si="5">AN6</f>
        <v>25.6</v>
      </c>
      <c r="AP6" s="513">
        <f t="shared" si="5"/>
        <v>25.6</v>
      </c>
      <c r="AQ6" s="513">
        <f t="shared" si="5"/>
        <v>25.6</v>
      </c>
      <c r="AR6" s="513">
        <f t="shared" si="5"/>
        <v>25.6</v>
      </c>
      <c r="AS6" s="513">
        <f t="shared" si="5"/>
        <v>25.6</v>
      </c>
      <c r="AT6" s="513">
        <f t="shared" si="5"/>
        <v>25.6</v>
      </c>
      <c r="AU6" s="513">
        <f t="shared" si="5"/>
        <v>25.6</v>
      </c>
      <c r="AV6" s="513">
        <f t="shared" si="5"/>
        <v>25.6</v>
      </c>
      <c r="AW6" s="513">
        <f t="shared" si="5"/>
        <v>25.6</v>
      </c>
      <c r="AX6" s="513">
        <f t="shared" si="5"/>
        <v>25.6</v>
      </c>
      <c r="AY6" s="513">
        <f t="shared" si="5"/>
        <v>25.6</v>
      </c>
      <c r="AZ6" s="513">
        <f t="shared" si="5"/>
        <v>25.6</v>
      </c>
      <c r="BA6" s="513">
        <f t="shared" si="5"/>
        <v>25.6</v>
      </c>
      <c r="CL6" s="5">
        <v>45083</v>
      </c>
      <c r="CM6" s="5">
        <f>CL7+1</f>
        <v>45108</v>
      </c>
      <c r="CN6" s="5">
        <f>CM7+1</f>
        <v>45130</v>
      </c>
      <c r="CO6" s="5">
        <f>CN7+1</f>
        <v>44958</v>
      </c>
      <c r="CP6" s="5">
        <f>CO7+1</f>
        <v>44986</v>
      </c>
      <c r="CQ6" s="2"/>
    </row>
    <row r="7" spans="1:101">
      <c r="B7" s="296">
        <v>45082</v>
      </c>
      <c r="E7" s="2" t="s">
        <v>253</v>
      </c>
      <c r="F7" s="2">
        <v>1</v>
      </c>
      <c r="G7" s="2">
        <v>2</v>
      </c>
      <c r="H7" s="2">
        <v>3</v>
      </c>
      <c r="I7" s="2">
        <v>4</v>
      </c>
      <c r="J7" s="2">
        <v>5</v>
      </c>
      <c r="K7" s="2">
        <v>6</v>
      </c>
      <c r="L7" s="2">
        <v>7</v>
      </c>
      <c r="M7" s="2">
        <v>8</v>
      </c>
      <c r="N7" s="2">
        <v>9</v>
      </c>
      <c r="O7" s="2">
        <v>10</v>
      </c>
      <c r="P7" s="2">
        <v>11</v>
      </c>
      <c r="Q7" s="2">
        <v>12</v>
      </c>
      <c r="R7" s="2">
        <v>13</v>
      </c>
      <c r="S7" s="2">
        <v>14</v>
      </c>
      <c r="T7" s="2">
        <v>15</v>
      </c>
      <c r="U7" s="2">
        <v>16</v>
      </c>
      <c r="V7" s="2">
        <v>17</v>
      </c>
      <c r="W7" s="2">
        <v>18</v>
      </c>
      <c r="X7" s="2">
        <v>19</v>
      </c>
      <c r="Y7" s="2">
        <v>20</v>
      </c>
      <c r="Z7" s="2">
        <v>21</v>
      </c>
      <c r="AA7" s="2">
        <v>22</v>
      </c>
      <c r="AB7" s="2">
        <v>23</v>
      </c>
      <c r="AC7" s="2">
        <v>24</v>
      </c>
      <c r="AD7" s="2">
        <v>25</v>
      </c>
      <c r="AE7" s="2">
        <v>26</v>
      </c>
      <c r="AF7" s="2">
        <v>27</v>
      </c>
      <c r="AG7" s="2">
        <v>28</v>
      </c>
      <c r="AH7" s="2">
        <v>29</v>
      </c>
      <c r="AI7" s="2">
        <v>30</v>
      </c>
      <c r="AJ7" s="2">
        <v>31</v>
      </c>
      <c r="AK7" s="2">
        <v>32</v>
      </c>
      <c r="AL7" s="2">
        <v>33</v>
      </c>
      <c r="AM7" s="2">
        <v>34</v>
      </c>
      <c r="AN7" s="2">
        <v>35</v>
      </c>
      <c r="AO7" s="2">
        <v>36</v>
      </c>
      <c r="AP7" s="2">
        <v>37</v>
      </c>
      <c r="AQ7" s="2">
        <v>38</v>
      </c>
      <c r="AR7" s="2">
        <v>39</v>
      </c>
      <c r="AS7" s="2">
        <v>40</v>
      </c>
      <c r="AT7" s="2">
        <v>41</v>
      </c>
      <c r="AU7" s="2">
        <v>42</v>
      </c>
      <c r="AV7" s="2">
        <v>43</v>
      </c>
      <c r="AW7" s="2">
        <v>44</v>
      </c>
      <c r="AX7" s="2">
        <v>45</v>
      </c>
      <c r="AY7" s="2">
        <v>46</v>
      </c>
      <c r="AZ7" s="2">
        <v>47</v>
      </c>
      <c r="BA7" s="2">
        <v>48</v>
      </c>
      <c r="BD7" s="2">
        <f>2879/25</f>
        <v>115.16</v>
      </c>
      <c r="CL7" s="397">
        <v>45107</v>
      </c>
      <c r="CM7" s="397">
        <v>45129</v>
      </c>
      <c r="CN7" s="397">
        <v>44957</v>
      </c>
      <c r="CO7" s="397">
        <v>44985</v>
      </c>
      <c r="CP7" s="397">
        <v>44997</v>
      </c>
      <c r="CQ7" s="2"/>
    </row>
    <row r="8" spans="1:101">
      <c r="B8" s="296">
        <v>45110</v>
      </c>
      <c r="E8" s="2" t="str">
        <f t="shared" ref="E8:BA8" si="6">HLOOKUP(WEEKDAY(E9,2),$F$1:$M$2,2)</f>
        <v>Lundi</v>
      </c>
      <c r="F8" s="2" t="str">
        <f t="shared" si="6"/>
        <v>mardi</v>
      </c>
      <c r="G8" s="2" t="str">
        <f t="shared" si="6"/>
        <v>Mer</v>
      </c>
      <c r="H8" s="2" t="str">
        <f t="shared" si="6"/>
        <v>Jeu</v>
      </c>
      <c r="I8" s="2" t="str">
        <f t="shared" si="6"/>
        <v>Ven</v>
      </c>
      <c r="J8" s="2" t="str">
        <f t="shared" si="6"/>
        <v>Sam</v>
      </c>
      <c r="K8" s="2" t="str">
        <f t="shared" si="6"/>
        <v>Dim</v>
      </c>
      <c r="L8" s="2" t="str">
        <f t="shared" si="6"/>
        <v>Lundi</v>
      </c>
      <c r="M8" s="2" t="str">
        <f t="shared" si="6"/>
        <v>mardi</v>
      </c>
      <c r="N8" s="2" t="str">
        <f t="shared" si="6"/>
        <v>Mer</v>
      </c>
      <c r="O8" s="2" t="str">
        <f t="shared" si="6"/>
        <v>Jeu</v>
      </c>
      <c r="P8" s="2" t="str">
        <f t="shared" si="6"/>
        <v>Ven</v>
      </c>
      <c r="Q8" s="2" t="str">
        <f t="shared" si="6"/>
        <v>Sam</v>
      </c>
      <c r="R8" s="2" t="str">
        <f t="shared" si="6"/>
        <v>Dim</v>
      </c>
      <c r="S8" s="2" t="str">
        <f t="shared" si="6"/>
        <v>Lundi</v>
      </c>
      <c r="T8" s="2" t="str">
        <f t="shared" si="6"/>
        <v>mardi</v>
      </c>
      <c r="U8" s="2" t="str">
        <f t="shared" si="6"/>
        <v>Mer</v>
      </c>
      <c r="V8" s="2" t="str">
        <f t="shared" si="6"/>
        <v>Jeu</v>
      </c>
      <c r="W8" s="2" t="str">
        <f t="shared" si="6"/>
        <v>Ven</v>
      </c>
      <c r="X8" s="2" t="str">
        <f t="shared" si="6"/>
        <v>Sam</v>
      </c>
      <c r="Y8" s="2" t="str">
        <f t="shared" si="6"/>
        <v>Dim</v>
      </c>
      <c r="Z8" s="2" t="str">
        <f t="shared" si="6"/>
        <v>Lundi</v>
      </c>
      <c r="AA8" s="2" t="str">
        <f t="shared" si="6"/>
        <v>mardi</v>
      </c>
      <c r="AB8" s="2" t="str">
        <f t="shared" si="6"/>
        <v>Mer</v>
      </c>
      <c r="AC8" s="2" t="str">
        <f t="shared" si="6"/>
        <v>Jeu</v>
      </c>
      <c r="AD8" s="2" t="str">
        <f t="shared" si="6"/>
        <v>Ven</v>
      </c>
      <c r="AE8" s="2" t="str">
        <f t="shared" si="6"/>
        <v>Sam</v>
      </c>
      <c r="AF8" s="2" t="str">
        <f t="shared" si="6"/>
        <v>Dim</v>
      </c>
      <c r="AG8" s="2" t="str">
        <f t="shared" si="6"/>
        <v>Lundi</v>
      </c>
      <c r="AH8" s="2" t="str">
        <f t="shared" si="6"/>
        <v>mardi</v>
      </c>
      <c r="AI8" s="2" t="str">
        <f t="shared" si="6"/>
        <v>Mer</v>
      </c>
      <c r="AJ8" s="2" t="str">
        <f t="shared" si="6"/>
        <v>Jeu</v>
      </c>
      <c r="AK8" s="2" t="str">
        <f t="shared" si="6"/>
        <v>Ven</v>
      </c>
      <c r="AL8" s="2" t="str">
        <f t="shared" si="6"/>
        <v>Sam</v>
      </c>
      <c r="AM8" s="2" t="str">
        <f t="shared" si="6"/>
        <v>Dim</v>
      </c>
      <c r="AN8" s="2" t="str">
        <f t="shared" si="6"/>
        <v>Lundi</v>
      </c>
      <c r="AO8" s="2" t="str">
        <f t="shared" si="6"/>
        <v>mardi</v>
      </c>
      <c r="AP8" s="2" t="str">
        <f t="shared" si="6"/>
        <v>Mer</v>
      </c>
      <c r="AQ8" s="2" t="str">
        <f t="shared" si="6"/>
        <v>Jeu</v>
      </c>
      <c r="AR8" s="2" t="str">
        <f t="shared" si="6"/>
        <v>Ven</v>
      </c>
      <c r="AS8" s="2" t="str">
        <f t="shared" si="6"/>
        <v>Sam</v>
      </c>
      <c r="AT8" s="2" t="str">
        <f t="shared" si="6"/>
        <v>Dim</v>
      </c>
      <c r="AU8" s="2" t="str">
        <f t="shared" si="6"/>
        <v>Lundi</v>
      </c>
      <c r="AV8" s="2" t="str">
        <f t="shared" si="6"/>
        <v>mardi</v>
      </c>
      <c r="AW8" s="2" t="str">
        <f t="shared" si="6"/>
        <v>Mer</v>
      </c>
      <c r="AX8" s="2" t="str">
        <f t="shared" si="6"/>
        <v>Jeu</v>
      </c>
      <c r="AY8" s="2" t="str">
        <f t="shared" si="6"/>
        <v>Ven</v>
      </c>
      <c r="AZ8" s="2" t="str">
        <f t="shared" si="6"/>
        <v>Sam</v>
      </c>
      <c r="BA8" s="2" t="str">
        <f t="shared" si="6"/>
        <v>Dim</v>
      </c>
      <c r="BD8" s="2"/>
      <c r="CJ8" s="4" t="s">
        <v>753</v>
      </c>
      <c r="CK8" s="398">
        <f>SUM(CL8:CM8)</f>
        <v>47</v>
      </c>
      <c r="CL8" s="142">
        <f>HLOOKUP(CL7,$F$3:$BA$5,3,FALSE)</f>
        <v>25</v>
      </c>
      <c r="CM8" s="142">
        <f>HLOOKUP(CM7,$F$3:$BA$5,3,FALSE)-SUM($CL8:CL8)</f>
        <v>22</v>
      </c>
      <c r="CN8" s="142" t="e">
        <f>HLOOKUP(CN7,$F$3:$BA$5,3,FALSE)-SUM($CL8:CM8)</f>
        <v>#N/A</v>
      </c>
      <c r="CO8" s="142" t="e">
        <f>HLOOKUP(CO7,$F$3:$BA$5,3,FALSE)-SUM($CL8:CN8)</f>
        <v>#N/A</v>
      </c>
      <c r="CP8" s="142" t="e">
        <f>HLOOKUP(CP7,$F$3:$BA$5,3,FALSE)-SUM($CL8:CO8)</f>
        <v>#N/A</v>
      </c>
      <c r="CQ8" s="2"/>
      <c r="CR8" t="s">
        <v>305</v>
      </c>
    </row>
    <row r="9" spans="1:101" s="10" customFormat="1">
      <c r="E9" s="34">
        <v>45082</v>
      </c>
      <c r="F9" s="34">
        <f t="shared" ref="F9:BA9" si="7">E9+1</f>
        <v>45083</v>
      </c>
      <c r="G9" s="34">
        <f t="shared" si="7"/>
        <v>45084</v>
      </c>
      <c r="H9" s="34">
        <f t="shared" si="7"/>
        <v>45085</v>
      </c>
      <c r="I9" s="34">
        <f t="shared" si="7"/>
        <v>45086</v>
      </c>
      <c r="J9" s="34">
        <f t="shared" si="7"/>
        <v>45087</v>
      </c>
      <c r="K9" s="34">
        <f t="shared" si="7"/>
        <v>45088</v>
      </c>
      <c r="L9" s="34">
        <f t="shared" si="7"/>
        <v>45089</v>
      </c>
      <c r="M9" s="34">
        <f t="shared" si="7"/>
        <v>45090</v>
      </c>
      <c r="N9" s="34">
        <f t="shared" si="7"/>
        <v>45091</v>
      </c>
      <c r="O9" s="34">
        <f t="shared" si="7"/>
        <v>45092</v>
      </c>
      <c r="P9" s="34">
        <f t="shared" si="7"/>
        <v>45093</v>
      </c>
      <c r="Q9" s="34">
        <f t="shared" si="7"/>
        <v>45094</v>
      </c>
      <c r="R9" s="34">
        <f t="shared" si="7"/>
        <v>45095</v>
      </c>
      <c r="S9" s="34">
        <f t="shared" si="7"/>
        <v>45096</v>
      </c>
      <c r="T9" s="34">
        <f t="shared" si="7"/>
        <v>45097</v>
      </c>
      <c r="U9" s="34">
        <f t="shared" si="7"/>
        <v>45098</v>
      </c>
      <c r="V9" s="34">
        <f t="shared" si="7"/>
        <v>45099</v>
      </c>
      <c r="W9" s="34">
        <f t="shared" si="7"/>
        <v>45100</v>
      </c>
      <c r="X9" s="34">
        <f t="shared" si="7"/>
        <v>45101</v>
      </c>
      <c r="Y9" s="34">
        <f t="shared" si="7"/>
        <v>45102</v>
      </c>
      <c r="Z9" s="34">
        <f t="shared" si="7"/>
        <v>45103</v>
      </c>
      <c r="AA9" s="34">
        <f t="shared" si="7"/>
        <v>45104</v>
      </c>
      <c r="AB9" s="34">
        <f t="shared" si="7"/>
        <v>45105</v>
      </c>
      <c r="AC9" s="34">
        <f t="shared" si="7"/>
        <v>45106</v>
      </c>
      <c r="AD9" s="34">
        <f t="shared" si="7"/>
        <v>45107</v>
      </c>
      <c r="AE9" s="34">
        <f t="shared" si="7"/>
        <v>45108</v>
      </c>
      <c r="AF9" s="34">
        <f t="shared" si="7"/>
        <v>45109</v>
      </c>
      <c r="AG9" s="34">
        <f t="shared" si="7"/>
        <v>45110</v>
      </c>
      <c r="AH9" s="34">
        <f t="shared" si="7"/>
        <v>45111</v>
      </c>
      <c r="AI9" s="34">
        <f t="shared" si="7"/>
        <v>45112</v>
      </c>
      <c r="AJ9" s="34">
        <f t="shared" si="7"/>
        <v>45113</v>
      </c>
      <c r="AK9" s="34">
        <f t="shared" si="7"/>
        <v>45114</v>
      </c>
      <c r="AL9" s="34">
        <f t="shared" si="7"/>
        <v>45115</v>
      </c>
      <c r="AM9" s="34">
        <f t="shared" si="7"/>
        <v>45116</v>
      </c>
      <c r="AN9" s="34">
        <f t="shared" si="7"/>
        <v>45117</v>
      </c>
      <c r="AO9" s="34">
        <f t="shared" si="7"/>
        <v>45118</v>
      </c>
      <c r="AP9" s="34">
        <f t="shared" si="7"/>
        <v>45119</v>
      </c>
      <c r="AQ9" s="34">
        <f t="shared" si="7"/>
        <v>45120</v>
      </c>
      <c r="AR9" s="34">
        <f t="shared" si="7"/>
        <v>45121</v>
      </c>
      <c r="AS9" s="34">
        <f t="shared" si="7"/>
        <v>45122</v>
      </c>
      <c r="AT9" s="34">
        <f t="shared" si="7"/>
        <v>45123</v>
      </c>
      <c r="AU9" s="34">
        <f t="shared" si="7"/>
        <v>45124</v>
      </c>
      <c r="AV9" s="34">
        <f t="shared" si="7"/>
        <v>45125</v>
      </c>
      <c r="AW9" s="34">
        <f t="shared" si="7"/>
        <v>45126</v>
      </c>
      <c r="AX9" s="34">
        <f t="shared" si="7"/>
        <v>45127</v>
      </c>
      <c r="AY9" s="34">
        <f t="shared" si="7"/>
        <v>45128</v>
      </c>
      <c r="AZ9" s="34">
        <f t="shared" si="7"/>
        <v>45129</v>
      </c>
      <c r="BA9" s="34">
        <f t="shared" si="7"/>
        <v>45130</v>
      </c>
      <c r="BB9" s="192"/>
      <c r="BC9" s="178"/>
      <c r="BD9" s="12" t="s">
        <v>1206</v>
      </c>
      <c r="BE9" s="2"/>
      <c r="BG9" s="1"/>
      <c r="BH9" s="1"/>
      <c r="BI9" s="1"/>
      <c r="BJ9" s="1"/>
      <c r="BK9" s="1"/>
      <c r="BL9" s="1"/>
      <c r="BM9" s="1"/>
      <c r="BN9"/>
      <c r="BO9"/>
      <c r="BP9"/>
      <c r="BQ9"/>
      <c r="BR9"/>
      <c r="BS9"/>
      <c r="BT9"/>
      <c r="BU9"/>
      <c r="BV9"/>
      <c r="BW9"/>
      <c r="BX9"/>
      <c r="BY9"/>
      <c r="BZ9"/>
      <c r="CA9"/>
      <c r="CB9"/>
      <c r="CC9"/>
      <c r="CD9"/>
      <c r="CE9"/>
      <c r="CF9"/>
      <c r="CG9"/>
      <c r="CH9"/>
      <c r="CK9" s="118" t="s">
        <v>286</v>
      </c>
      <c r="CL9" s="118" t="str">
        <f t="shared" ref="CL9:CP10" si="8">HLOOKUP(CL6,$F$3:$BA$4,2,FALSE)</f>
        <v>F</v>
      </c>
      <c r="CM9" s="118" t="str">
        <f t="shared" si="8"/>
        <v>AE</v>
      </c>
      <c r="CN9" s="118" t="str">
        <f t="shared" si="8"/>
        <v>BA</v>
      </c>
      <c r="CO9" s="118" t="e">
        <f t="shared" si="8"/>
        <v>#N/A</v>
      </c>
      <c r="CP9" s="118" t="e">
        <f t="shared" si="8"/>
        <v>#N/A</v>
      </c>
      <c r="CQ9" s="118"/>
      <c r="CR9" s="242"/>
      <c r="CT9" s="1" t="str">
        <f>+CL9</f>
        <v>F</v>
      </c>
      <c r="CW9" s="1"/>
    </row>
    <row r="10" spans="1:101">
      <c r="C10" s="75" t="s">
        <v>158</v>
      </c>
      <c r="D10" s="2"/>
      <c r="E10" s="118" t="s">
        <v>12</v>
      </c>
      <c r="F10" s="2" t="s">
        <v>12</v>
      </c>
      <c r="G10" s="2" t="s">
        <v>52</v>
      </c>
      <c r="H10" s="2" t="s">
        <v>52</v>
      </c>
      <c r="I10" s="2" t="s">
        <v>52</v>
      </c>
      <c r="J10" s="2" t="s">
        <v>52</v>
      </c>
      <c r="K10" s="2" t="s">
        <v>52</v>
      </c>
      <c r="L10" s="2" t="s">
        <v>52</v>
      </c>
      <c r="M10" s="2" t="s">
        <v>52</v>
      </c>
      <c r="N10" s="2" t="s">
        <v>52</v>
      </c>
      <c r="O10" s="2" t="s">
        <v>52</v>
      </c>
      <c r="P10" s="2" t="s">
        <v>52</v>
      </c>
      <c r="Q10" s="2" t="s">
        <v>52</v>
      </c>
      <c r="R10" s="2" t="s">
        <v>53</v>
      </c>
      <c r="S10" s="2" t="s">
        <v>53</v>
      </c>
      <c r="T10" s="2" t="s">
        <v>52</v>
      </c>
      <c r="U10" s="2" t="s">
        <v>52</v>
      </c>
      <c r="V10" s="2" t="s">
        <v>52</v>
      </c>
      <c r="W10" s="2" t="s">
        <v>52</v>
      </c>
      <c r="X10" s="2" t="s">
        <v>52</v>
      </c>
      <c r="Y10" s="2" t="s">
        <v>1080</v>
      </c>
      <c r="Z10" s="2" t="s">
        <v>52</v>
      </c>
      <c r="AA10" s="2" t="s">
        <v>52</v>
      </c>
      <c r="AB10" s="2" t="s">
        <v>52</v>
      </c>
      <c r="AC10" s="2" t="s">
        <v>288</v>
      </c>
      <c r="AD10" s="2" t="s">
        <v>52</v>
      </c>
      <c r="AE10" s="2" t="s">
        <v>52</v>
      </c>
      <c r="AF10" s="2" t="s">
        <v>52</v>
      </c>
      <c r="AG10" s="2" t="s">
        <v>52</v>
      </c>
      <c r="AH10" s="2" t="s">
        <v>52</v>
      </c>
      <c r="AI10" s="2" t="s">
        <v>52</v>
      </c>
      <c r="AJ10" s="2" t="s">
        <v>52</v>
      </c>
      <c r="AK10" s="2" t="s">
        <v>52</v>
      </c>
      <c r="AL10" s="2" t="s">
        <v>52</v>
      </c>
      <c r="AM10" s="2" t="s">
        <v>52</v>
      </c>
      <c r="AN10" s="2" t="s">
        <v>52</v>
      </c>
      <c r="AO10" s="2" t="s">
        <v>315</v>
      </c>
      <c r="AP10" s="2" t="s">
        <v>315</v>
      </c>
      <c r="AQ10" s="2" t="s">
        <v>52</v>
      </c>
      <c r="AR10" s="2" t="s">
        <v>52</v>
      </c>
      <c r="AS10" s="2" t="s">
        <v>717</v>
      </c>
      <c r="AT10" s="2" t="s">
        <v>52</v>
      </c>
      <c r="AU10" s="2" t="s">
        <v>52</v>
      </c>
      <c r="AV10" s="2" t="s">
        <v>52</v>
      </c>
      <c r="AW10" s="2" t="s">
        <v>52</v>
      </c>
      <c r="AX10" s="2" t="s">
        <v>52</v>
      </c>
      <c r="AY10" s="2" t="s">
        <v>52</v>
      </c>
      <c r="AZ10" s="2" t="s">
        <v>52</v>
      </c>
      <c r="BA10" s="2" t="s">
        <v>207</v>
      </c>
      <c r="CK10" s="118" t="s">
        <v>286</v>
      </c>
      <c r="CL10" s="118" t="str">
        <f t="shared" si="8"/>
        <v>AD</v>
      </c>
      <c r="CM10" s="118" t="str">
        <f t="shared" si="8"/>
        <v>AZ</v>
      </c>
      <c r="CN10" s="118" t="e">
        <f t="shared" si="8"/>
        <v>#N/A</v>
      </c>
      <c r="CO10" s="118" t="e">
        <f t="shared" si="8"/>
        <v>#N/A</v>
      </c>
      <c r="CP10" s="118" t="e">
        <f t="shared" si="8"/>
        <v>#N/A</v>
      </c>
      <c r="CQ10" s="242"/>
      <c r="CR10" s="118"/>
      <c r="CT10" s="1" t="str">
        <f>+CM10</f>
        <v>AZ</v>
      </c>
    </row>
    <row r="11" spans="1:101" ht="15" outlineLevel="1" thickBot="1">
      <c r="D11" s="11" t="s">
        <v>17</v>
      </c>
      <c r="BD11" s="4" t="s">
        <v>13</v>
      </c>
      <c r="CK11" s="4" t="s">
        <v>677</v>
      </c>
      <c r="CL11" s="4" t="s">
        <v>312</v>
      </c>
      <c r="CM11" s="4" t="s">
        <v>320</v>
      </c>
      <c r="CN11" s="4" t="s">
        <v>638</v>
      </c>
      <c r="CO11" s="4" t="s">
        <v>636</v>
      </c>
      <c r="CP11" s="4" t="s">
        <v>752</v>
      </c>
      <c r="CQ11" s="4" t="s">
        <v>517</v>
      </c>
      <c r="CR11" s="4" t="s">
        <v>518</v>
      </c>
      <c r="CT11" s="4" t="s">
        <v>14</v>
      </c>
      <c r="CV11" s="4" t="s">
        <v>789</v>
      </c>
    </row>
    <row r="12" spans="1:101" outlineLevel="1">
      <c r="A12" t="s">
        <v>70</v>
      </c>
      <c r="B12" t="s">
        <v>328</v>
      </c>
      <c r="C12" s="72" t="s">
        <v>205</v>
      </c>
      <c r="D12" s="11"/>
      <c r="E12"/>
      <c r="F12"/>
      <c r="G12" s="2">
        <f>81+600</f>
        <v>681</v>
      </c>
      <c r="H12" s="2">
        <f>60+125+70</f>
        <v>255</v>
      </c>
      <c r="I12" s="2">
        <f>80+150+50</f>
        <v>280</v>
      </c>
      <c r="J12" s="2">
        <f>120+60+80+60+100+40</f>
        <v>460</v>
      </c>
      <c r="K12" s="2">
        <f>54+61</f>
        <v>115</v>
      </c>
      <c r="L12" s="2">
        <v>0</v>
      </c>
      <c r="M12">
        <f>125+355</f>
        <v>480</v>
      </c>
      <c r="N12">
        <v>0</v>
      </c>
      <c r="O12">
        <v>40</v>
      </c>
      <c r="P12" s="2">
        <v>0</v>
      </c>
      <c r="Q12" s="2">
        <v>40</v>
      </c>
      <c r="R12" s="2">
        <v>0</v>
      </c>
      <c r="S12" s="2">
        <v>0</v>
      </c>
      <c r="T12" s="2">
        <f>60+40</f>
        <v>100</v>
      </c>
      <c r="U12" s="2">
        <v>0</v>
      </c>
      <c r="V12" s="2">
        <v>300</v>
      </c>
      <c r="W12" s="2">
        <v>150</v>
      </c>
      <c r="X12" s="2">
        <v>0</v>
      </c>
      <c r="Y12" s="2">
        <v>0</v>
      </c>
      <c r="Z12" s="2">
        <v>30</v>
      </c>
      <c r="AA12" s="2">
        <v>0</v>
      </c>
      <c r="AB12" s="2">
        <v>120</v>
      </c>
      <c r="AC12" s="2">
        <v>0</v>
      </c>
      <c r="AD12" s="2">
        <v>0</v>
      </c>
      <c r="AE12" s="2">
        <v>85</v>
      </c>
      <c r="AF12" s="2">
        <v>200</v>
      </c>
      <c r="AG12" s="2">
        <v>33</v>
      </c>
      <c r="AH12" s="2" t="s">
        <v>1125</v>
      </c>
      <c r="AI12" s="2">
        <v>20</v>
      </c>
      <c r="AJ12" s="2">
        <v>70</v>
      </c>
      <c r="AK12" s="2">
        <v>100</v>
      </c>
      <c r="AL12">
        <v>110</v>
      </c>
      <c r="AM12">
        <v>0</v>
      </c>
      <c r="AN12">
        <v>30</v>
      </c>
      <c r="AO12">
        <v>237</v>
      </c>
      <c r="AP12">
        <v>240</v>
      </c>
      <c r="AQ12">
        <v>110</v>
      </c>
      <c r="AR12">
        <v>0</v>
      </c>
      <c r="AS12">
        <v>0</v>
      </c>
      <c r="AT12">
        <v>0</v>
      </c>
      <c r="AU12">
        <v>160</v>
      </c>
      <c r="AV12">
        <v>85</v>
      </c>
      <c r="AW12"/>
      <c r="AX12">
        <v>80</v>
      </c>
      <c r="AY12"/>
      <c r="AZ12">
        <f>550+100</f>
        <v>650</v>
      </c>
      <c r="BA12"/>
      <c r="BC12" s="179"/>
      <c r="BD12" s="29">
        <f t="shared" ref="BD12:BD29" si="9">SUM(E12:BC12)</f>
        <v>5261</v>
      </c>
      <c r="BE12" s="6">
        <f t="shared" ref="BE12:BE31" si="10">BD12/TAUXmoyen</f>
        <v>207.45897412564079</v>
      </c>
      <c r="BF12" s="27"/>
      <c r="BG12" s="27"/>
      <c r="CJ12" s="72" t="s">
        <v>205</v>
      </c>
      <c r="CK12" s="142">
        <f ca="1">SUM((INDIRECT(CK$9&amp;ROW()):(INDIRECT(CK$10&amp;ROW()))))</f>
        <v>0</v>
      </c>
      <c r="CL12" s="142">
        <f ca="1">SUM((INDIRECT(CL$9&amp;ROW()):(INDIRECT(CL$10&amp;ROW()))))</f>
        <v>3051</v>
      </c>
      <c r="CM12" s="142">
        <f ca="1">SUM((INDIRECT(CM$9&amp;ROW()):(INDIRECT(CM$10&amp;ROW()))))</f>
        <v>2210</v>
      </c>
      <c r="CN12" s="142" t="e">
        <f ca="1">SUM((INDIRECT(CN$9&amp;ROW()):(INDIRECT(CN$10&amp;ROW()))))</f>
        <v>#N/A</v>
      </c>
      <c r="CO12" s="142" t="e">
        <f ca="1">SUM((INDIRECT(CO$9&amp;ROW()):(INDIRECT(CO$10&amp;ROW()))))</f>
        <v>#N/A</v>
      </c>
      <c r="CP12" s="142" t="e">
        <f ca="1">SUM((INDIRECT(CP$9&amp;ROW()):(INDIRECT(CP$10&amp;ROW()))))</f>
        <v>#N/A</v>
      </c>
      <c r="CQ12" s="142" t="e">
        <f ca="1">SUM((INDIRECT(CQ$9&amp;ROW()):(INDIRECT(CQ$10&amp;ROW()))))</f>
        <v>#REF!</v>
      </c>
      <c r="CR12" s="142" t="e">
        <f ca="1">SUM((INDIRECT(CR$9&amp;ROW()):(INDIRECT(CR$10&amp;ROW()))))</f>
        <v>#REF!</v>
      </c>
      <c r="CT12" s="431">
        <f ca="1">SUM((INDIRECT(CT$9&amp;ROW()):(INDIRECT(CT$10&amp;ROW()))))</f>
        <v>5261</v>
      </c>
      <c r="CV12" s="72"/>
    </row>
    <row r="13" spans="1:101" outlineLevel="1">
      <c r="A13" t="s">
        <v>70</v>
      </c>
      <c r="B13" t="s">
        <v>328</v>
      </c>
      <c r="C13" s="73" t="s">
        <v>203</v>
      </c>
      <c r="D13" s="11"/>
      <c r="E13"/>
      <c r="F13"/>
      <c r="G13" s="2">
        <v>40</v>
      </c>
      <c r="H13" s="2">
        <v>140</v>
      </c>
      <c r="I13" s="2">
        <v>130</v>
      </c>
      <c r="J13" s="2">
        <v>0</v>
      </c>
      <c r="K13" s="2">
        <v>350</v>
      </c>
      <c r="L13" s="2">
        <v>170</v>
      </c>
      <c r="M13">
        <v>0</v>
      </c>
      <c r="N13">
        <v>160</v>
      </c>
      <c r="O13">
        <v>160</v>
      </c>
      <c r="P13" s="2">
        <v>317</v>
      </c>
      <c r="Q13" s="2" t="s">
        <v>1050</v>
      </c>
      <c r="R13" s="2">
        <v>190</v>
      </c>
      <c r="S13" s="2">
        <v>700</v>
      </c>
      <c r="T13" s="2">
        <v>200</v>
      </c>
      <c r="U13" s="2">
        <v>125</v>
      </c>
      <c r="V13" s="2">
        <v>125</v>
      </c>
      <c r="W13" s="2">
        <v>220</v>
      </c>
      <c r="X13" s="2">
        <v>300</v>
      </c>
      <c r="Y13" s="2">
        <v>0</v>
      </c>
      <c r="Z13" s="2">
        <v>265</v>
      </c>
      <c r="AA13" s="2">
        <v>210</v>
      </c>
      <c r="AB13" s="2">
        <v>85</v>
      </c>
      <c r="AC13" s="2">
        <v>0</v>
      </c>
      <c r="AD13" s="2">
        <v>0</v>
      </c>
      <c r="AE13" s="2">
        <v>500</v>
      </c>
      <c r="AF13" s="2">
        <v>555</v>
      </c>
      <c r="AG13" s="2">
        <v>200</v>
      </c>
      <c r="AH13" s="2">
        <v>0</v>
      </c>
      <c r="AI13" s="2">
        <v>0</v>
      </c>
      <c r="AJ13" s="2">
        <v>0</v>
      </c>
      <c r="AK13" s="2">
        <v>280</v>
      </c>
      <c r="AL13">
        <v>0</v>
      </c>
      <c r="AM13">
        <v>0</v>
      </c>
      <c r="AN13">
        <v>310</v>
      </c>
      <c r="AO13">
        <v>520</v>
      </c>
      <c r="AP13">
        <v>360</v>
      </c>
      <c r="AQ13">
        <v>140</v>
      </c>
      <c r="AR13">
        <v>460</v>
      </c>
      <c r="AS13">
        <v>150</v>
      </c>
      <c r="AT13">
        <v>525</v>
      </c>
      <c r="AU13">
        <v>1830</v>
      </c>
      <c r="AV13">
        <v>80</v>
      </c>
      <c r="AW13">
        <v>385</v>
      </c>
      <c r="AX13">
        <v>80</v>
      </c>
      <c r="AY13">
        <v>475</v>
      </c>
      <c r="AZ13">
        <v>150</v>
      </c>
      <c r="BA13"/>
      <c r="BD13" s="29">
        <f t="shared" si="9"/>
        <v>10887</v>
      </c>
      <c r="BE13" s="6">
        <f t="shared" si="10"/>
        <v>429.31112931112932</v>
      </c>
      <c r="BF13" s="27"/>
      <c r="BG13" s="27"/>
      <c r="CJ13" s="73" t="s">
        <v>203</v>
      </c>
      <c r="CK13" s="142">
        <f ca="1">SUM((INDIRECT(CK$9&amp;ROW()):(INDIRECT(CK$10&amp;ROW()))))</f>
        <v>0</v>
      </c>
      <c r="CL13" s="142">
        <f ca="1">SUM((INDIRECT(CL$9&amp;ROW()):(INDIRECT(CL$10&amp;ROW()))))</f>
        <v>3887</v>
      </c>
      <c r="CM13" s="142">
        <f ca="1">SUM((INDIRECT(CM$9&amp;ROW()):(INDIRECT(CM$10&amp;ROW()))))</f>
        <v>7000</v>
      </c>
      <c r="CN13" s="142" t="e">
        <f ca="1">SUM((INDIRECT(CN$9&amp;ROW()):(INDIRECT(CN$10&amp;ROW()))))</f>
        <v>#N/A</v>
      </c>
      <c r="CO13" s="142" t="e">
        <f ca="1">SUM((INDIRECT(CO$9&amp;ROW()):(INDIRECT(CO$10&amp;ROW()))))</f>
        <v>#N/A</v>
      </c>
      <c r="CP13" s="142" t="e">
        <f ca="1">SUM((INDIRECT(CP$9&amp;ROW()):(INDIRECT(CP$10&amp;ROW()))))</f>
        <v>#N/A</v>
      </c>
      <c r="CQ13" s="142" t="e">
        <f ca="1">SUM((INDIRECT(CQ$9&amp;ROW()):(INDIRECT(CQ$10&amp;ROW()))))</f>
        <v>#REF!</v>
      </c>
      <c r="CR13" s="142" t="e">
        <f ca="1">SUM((INDIRECT(CR$9&amp;ROW()):(INDIRECT(CR$10&amp;ROW()))))</f>
        <v>#REF!</v>
      </c>
      <c r="CT13" s="432">
        <f ca="1">SUM((INDIRECT(CT$9&amp;ROW()):(INDIRECT(CT$10&amp;ROW()))))</f>
        <v>10887</v>
      </c>
      <c r="CV13" s="73"/>
    </row>
    <row r="14" spans="1:101" outlineLevel="1">
      <c r="A14" t="s">
        <v>70</v>
      </c>
      <c r="B14" t="s">
        <v>328</v>
      </c>
      <c r="C14" s="73" t="s">
        <v>204</v>
      </c>
      <c r="D14" s="11"/>
      <c r="E14"/>
      <c r="F14"/>
      <c r="G14" s="2">
        <v>150</v>
      </c>
      <c r="H14" s="2">
        <v>0</v>
      </c>
      <c r="I14" s="2">
        <v>150</v>
      </c>
      <c r="J14" s="2">
        <v>100</v>
      </c>
      <c r="K14" s="2">
        <v>100</v>
      </c>
      <c r="L14" s="2">
        <v>140</v>
      </c>
      <c r="M14">
        <v>120</v>
      </c>
      <c r="N14">
        <v>0</v>
      </c>
      <c r="O14">
        <v>125</v>
      </c>
      <c r="P14" s="2">
        <v>210</v>
      </c>
      <c r="Q14" s="2">
        <v>140</v>
      </c>
      <c r="R14" s="2">
        <v>140</v>
      </c>
      <c r="S14" s="2">
        <v>160</v>
      </c>
      <c r="T14" s="2">
        <v>90</v>
      </c>
      <c r="U14" s="2">
        <v>0</v>
      </c>
      <c r="V14" s="2">
        <v>0</v>
      </c>
      <c r="W14" s="2">
        <v>320</v>
      </c>
      <c r="X14" s="2">
        <v>125</v>
      </c>
      <c r="Y14" s="2">
        <v>150</v>
      </c>
      <c r="Z14" s="2">
        <v>180</v>
      </c>
      <c r="AA14" s="2">
        <v>45</v>
      </c>
      <c r="AB14" s="2">
        <v>180</v>
      </c>
      <c r="AC14" s="2">
        <v>125</v>
      </c>
      <c r="AD14" s="2">
        <v>355</v>
      </c>
      <c r="AE14" s="2">
        <v>260</v>
      </c>
      <c r="AF14" s="2">
        <v>0</v>
      </c>
      <c r="AG14" s="2">
        <v>140</v>
      </c>
      <c r="AH14" s="2">
        <v>150</v>
      </c>
      <c r="AI14" s="2">
        <v>460</v>
      </c>
      <c r="AJ14" s="2">
        <v>355</v>
      </c>
      <c r="AK14" s="2">
        <v>310</v>
      </c>
      <c r="AL14">
        <v>600</v>
      </c>
      <c r="AM14">
        <v>0</v>
      </c>
      <c r="AN14">
        <v>0</v>
      </c>
      <c r="AO14">
        <v>500</v>
      </c>
      <c r="AP14">
        <v>0</v>
      </c>
      <c r="AQ14">
        <v>250</v>
      </c>
      <c r="AR14">
        <v>165</v>
      </c>
      <c r="AS14">
        <v>450</v>
      </c>
      <c r="AT14">
        <v>220</v>
      </c>
      <c r="AU14">
        <v>0</v>
      </c>
      <c r="AV14">
        <v>0</v>
      </c>
      <c r="AW14">
        <v>185</v>
      </c>
      <c r="AX14">
        <v>80</v>
      </c>
      <c r="AY14">
        <v>175</v>
      </c>
      <c r="AZ14">
        <v>160</v>
      </c>
      <c r="BA14"/>
      <c r="BD14" s="29">
        <f t="shared" si="9"/>
        <v>7565</v>
      </c>
      <c r="BE14" s="6">
        <f t="shared" si="10"/>
        <v>298.31346498013164</v>
      </c>
      <c r="BF14" s="27"/>
      <c r="BG14" s="27"/>
      <c r="CJ14" s="73" t="s">
        <v>204</v>
      </c>
      <c r="CK14" s="142">
        <f ca="1">SUM((INDIRECT(CK$9&amp;ROW()):(INDIRECT(CK$10&amp;ROW()))))</f>
        <v>0</v>
      </c>
      <c r="CL14" s="142">
        <f ca="1">SUM((INDIRECT(CL$9&amp;ROW()):(INDIRECT(CL$10&amp;ROW()))))</f>
        <v>3105</v>
      </c>
      <c r="CM14" s="142">
        <f ca="1">SUM((INDIRECT(CM$9&amp;ROW()):(INDIRECT(CM$10&amp;ROW()))))</f>
        <v>4460</v>
      </c>
      <c r="CN14" s="142" t="e">
        <f ca="1">SUM((INDIRECT(CN$9&amp;ROW()):(INDIRECT(CN$10&amp;ROW()))))</f>
        <v>#N/A</v>
      </c>
      <c r="CO14" s="142" t="e">
        <f ca="1">SUM((INDIRECT(CO$9&amp;ROW()):(INDIRECT(CO$10&amp;ROW()))))</f>
        <v>#N/A</v>
      </c>
      <c r="CP14" s="142" t="e">
        <f ca="1">SUM((INDIRECT(CP$9&amp;ROW()):(INDIRECT(CP$10&amp;ROW()))))</f>
        <v>#N/A</v>
      </c>
      <c r="CQ14" s="142" t="e">
        <f ca="1">SUM((INDIRECT(CQ$9&amp;ROW()):(INDIRECT(CQ$10&amp;ROW()))))</f>
        <v>#REF!</v>
      </c>
      <c r="CR14" s="142" t="e">
        <f ca="1">SUM((INDIRECT(CR$9&amp;ROW()):(INDIRECT(CR$10&amp;ROW()))))</f>
        <v>#REF!</v>
      </c>
      <c r="CT14" s="432">
        <f ca="1">SUM((INDIRECT(CT$9&amp;ROW()):(INDIRECT(CT$10&amp;ROW()))))</f>
        <v>7565</v>
      </c>
      <c r="CV14" s="340">
        <f ca="1">SUM(CM12:CM16)/$Q$6</f>
        <v>686.50698602794409</v>
      </c>
    </row>
    <row r="15" spans="1:101" outlineLevel="1">
      <c r="A15" t="s">
        <v>70</v>
      </c>
      <c r="B15" t="s">
        <v>328</v>
      </c>
      <c r="C15" s="73" t="s">
        <v>146</v>
      </c>
      <c r="D15" s="11"/>
      <c r="E15"/>
      <c r="F15"/>
      <c r="G15" s="2">
        <f>55+40+70</f>
        <v>165</v>
      </c>
      <c r="H15" s="2">
        <v>55</v>
      </c>
      <c r="I15" s="2">
        <f>30+50</f>
        <v>80</v>
      </c>
      <c r="J15" s="2">
        <f>30+50</f>
        <v>80</v>
      </c>
      <c r="K15" s="2">
        <v>55</v>
      </c>
      <c r="L15" s="2">
        <v>25</v>
      </c>
      <c r="M15">
        <v>55</v>
      </c>
      <c r="N15">
        <v>55</v>
      </c>
      <c r="O15">
        <f>55+108</f>
        <v>163</v>
      </c>
      <c r="P15" s="2">
        <v>55</v>
      </c>
      <c r="Q15" s="2">
        <v>25</v>
      </c>
      <c r="R15" s="2">
        <v>55</v>
      </c>
      <c r="S15" s="2">
        <v>55</v>
      </c>
      <c r="T15" s="2">
        <v>0</v>
      </c>
      <c r="U15" s="2">
        <v>55</v>
      </c>
      <c r="V15" s="2">
        <v>55</v>
      </c>
      <c r="W15" s="2">
        <v>0</v>
      </c>
      <c r="X15" s="2">
        <v>25</v>
      </c>
      <c r="Y15" s="2">
        <v>40</v>
      </c>
      <c r="Z15" s="2">
        <v>65</v>
      </c>
      <c r="AA15" s="2">
        <v>195</v>
      </c>
      <c r="AB15" s="2">
        <v>140</v>
      </c>
      <c r="AC15" s="2">
        <v>0</v>
      </c>
      <c r="AD15" s="2">
        <v>120</v>
      </c>
      <c r="AE15" s="2">
        <v>150</v>
      </c>
      <c r="AF15" s="2">
        <v>30</v>
      </c>
      <c r="AG15" s="2">
        <v>100</v>
      </c>
      <c r="AH15" s="2" t="s">
        <v>1126</v>
      </c>
      <c r="AI15" s="2">
        <v>80</v>
      </c>
      <c r="AJ15" s="2">
        <v>55</v>
      </c>
      <c r="AK15" s="2">
        <v>180</v>
      </c>
      <c r="AL15">
        <v>105</v>
      </c>
      <c r="AM15">
        <v>205</v>
      </c>
      <c r="AN15">
        <v>105</v>
      </c>
      <c r="AO15">
        <v>0</v>
      </c>
      <c r="AP15">
        <v>115</v>
      </c>
      <c r="AQ15">
        <v>75</v>
      </c>
      <c r="AR15">
        <v>120</v>
      </c>
      <c r="AS15">
        <v>120</v>
      </c>
      <c r="AT15">
        <v>80</v>
      </c>
      <c r="AU15">
        <v>80</v>
      </c>
      <c r="AV15">
        <v>45</v>
      </c>
      <c r="AW15">
        <v>145</v>
      </c>
      <c r="AX15">
        <v>110</v>
      </c>
      <c r="AY15">
        <v>110</v>
      </c>
      <c r="AZ15">
        <v>15</v>
      </c>
      <c r="BA15"/>
      <c r="BD15" s="29">
        <f t="shared" si="9"/>
        <v>3643</v>
      </c>
      <c r="BE15" s="6">
        <f t="shared" si="10"/>
        <v>143.65577698911031</v>
      </c>
      <c r="BF15" s="27"/>
      <c r="BG15" s="27"/>
      <c r="CJ15" s="73" t="s">
        <v>146</v>
      </c>
      <c r="CK15" s="142">
        <f ca="1">SUM((INDIRECT(CK$9&amp;ROW()):(INDIRECT(CK$10&amp;ROW()))))</f>
        <v>0</v>
      </c>
      <c r="CL15" s="142">
        <f ca="1">SUM((INDIRECT(CL$9&amp;ROW()):(INDIRECT(CL$10&amp;ROW()))))</f>
        <v>1618</v>
      </c>
      <c r="CM15" s="142">
        <f ca="1">SUM((INDIRECT(CM$9&amp;ROW()):(INDIRECT(CM$10&amp;ROW()))))</f>
        <v>2025</v>
      </c>
      <c r="CN15" s="142" t="e">
        <f ca="1">SUM((INDIRECT(CN$9&amp;ROW()):(INDIRECT(CN$10&amp;ROW()))))</f>
        <v>#N/A</v>
      </c>
      <c r="CO15" s="142" t="e">
        <f ca="1">SUM((INDIRECT(CO$9&amp;ROW()):(INDIRECT(CO$10&amp;ROW()))))</f>
        <v>#N/A</v>
      </c>
      <c r="CP15" s="142" t="e">
        <f ca="1">SUM((INDIRECT(CP$9&amp;ROW()):(INDIRECT(CP$10&amp;ROW()))))</f>
        <v>#N/A</v>
      </c>
      <c r="CQ15" s="142" t="e">
        <f ca="1">SUM((INDIRECT(CQ$9&amp;ROW()):(INDIRECT(CQ$10&amp;ROW()))))</f>
        <v>#REF!</v>
      </c>
      <c r="CR15" s="142" t="e">
        <f ca="1">SUM((INDIRECT(CR$9&amp;ROW()):(INDIRECT(CR$10&amp;ROW()))))</f>
        <v>#REF!</v>
      </c>
      <c r="CT15" s="432">
        <f ca="1">SUM((INDIRECT(CT$9&amp;ROW()):(INDIRECT(CT$10&amp;ROW()))))</f>
        <v>3643</v>
      </c>
      <c r="CV15" s="358"/>
    </row>
    <row r="16" spans="1:101" ht="15" outlineLevel="1" thickBot="1">
      <c r="A16" t="s">
        <v>70</v>
      </c>
      <c r="B16" t="s">
        <v>328</v>
      </c>
      <c r="C16" s="73" t="s">
        <v>630</v>
      </c>
      <c r="D16" s="11"/>
      <c r="E16"/>
      <c r="F16"/>
      <c r="G16" s="2">
        <v>15</v>
      </c>
      <c r="H16" s="2">
        <v>0</v>
      </c>
      <c r="I16" s="2">
        <v>90</v>
      </c>
      <c r="J16" s="2">
        <v>40</v>
      </c>
      <c r="K16" s="2">
        <v>0</v>
      </c>
      <c r="L16" s="2">
        <v>145</v>
      </c>
      <c r="M16">
        <v>0</v>
      </c>
      <c r="N16">
        <v>0</v>
      </c>
      <c r="O16">
        <v>0</v>
      </c>
      <c r="P16" s="2">
        <v>0</v>
      </c>
      <c r="Q16" s="2">
        <v>155</v>
      </c>
      <c r="R16" s="2">
        <v>165</v>
      </c>
      <c r="S16" s="2">
        <v>15</v>
      </c>
      <c r="T16" s="2">
        <f>15+200+135</f>
        <v>350</v>
      </c>
      <c r="U16" s="2">
        <v>0</v>
      </c>
      <c r="V16" s="2">
        <v>15</v>
      </c>
      <c r="W16" s="2">
        <v>15</v>
      </c>
      <c r="X16" s="2">
        <v>15</v>
      </c>
      <c r="Y16" s="2">
        <v>220</v>
      </c>
      <c r="Z16" s="2">
        <v>15</v>
      </c>
      <c r="AA16" s="2">
        <v>15</v>
      </c>
      <c r="AB16" s="2">
        <v>0</v>
      </c>
      <c r="AC16" s="2">
        <v>320</v>
      </c>
      <c r="AD16" s="2">
        <v>0</v>
      </c>
      <c r="AE16" s="2">
        <v>15</v>
      </c>
      <c r="AF16" s="2">
        <v>15</v>
      </c>
      <c r="AG16" s="2">
        <v>15</v>
      </c>
      <c r="AH16" s="2">
        <v>65</v>
      </c>
      <c r="AI16" s="2">
        <v>0</v>
      </c>
      <c r="AJ16" s="2">
        <f>15+220</f>
        <v>235</v>
      </c>
      <c r="AK16" s="2">
        <v>15</v>
      </c>
      <c r="AL16">
        <v>165</v>
      </c>
      <c r="AM16">
        <v>15</v>
      </c>
      <c r="AN16">
        <v>0</v>
      </c>
      <c r="AO16">
        <v>30</v>
      </c>
      <c r="AP16">
        <v>15</v>
      </c>
      <c r="AQ16">
        <v>225</v>
      </c>
      <c r="AR16">
        <v>0</v>
      </c>
      <c r="AS16">
        <v>0</v>
      </c>
      <c r="AT16">
        <v>12</v>
      </c>
      <c r="AU16">
        <v>135</v>
      </c>
      <c r="AV16">
        <v>0</v>
      </c>
      <c r="AW16">
        <v>15</v>
      </c>
      <c r="AX16">
        <v>515</v>
      </c>
      <c r="AY16">
        <v>15</v>
      </c>
      <c r="AZ16"/>
      <c r="BA16"/>
      <c r="BD16" s="29">
        <f t="shared" si="9"/>
        <v>3092</v>
      </c>
      <c r="BE16" s="6">
        <f t="shared" si="10"/>
        <v>121.92798859465526</v>
      </c>
      <c r="BF16" s="27"/>
      <c r="BG16" s="27"/>
      <c r="CJ16" s="73" t="s">
        <v>630</v>
      </c>
      <c r="CK16" s="142">
        <f ca="1">SUM((INDIRECT(CK$9&amp;ROW()):(INDIRECT(CK$10&amp;ROW()))))</f>
        <v>0</v>
      </c>
      <c r="CL16" s="142">
        <f ca="1">SUM((INDIRECT(CL$9&amp;ROW()):(INDIRECT(CL$10&amp;ROW()))))</f>
        <v>1590</v>
      </c>
      <c r="CM16" s="142">
        <f ca="1">SUM((INDIRECT(CM$9&amp;ROW()):(INDIRECT(CM$10&amp;ROW()))))</f>
        <v>1502</v>
      </c>
      <c r="CN16" s="142" t="e">
        <f ca="1">SUM((INDIRECT(CN$9&amp;ROW()):(INDIRECT(CN$10&amp;ROW()))))</f>
        <v>#N/A</v>
      </c>
      <c r="CO16" s="142" t="e">
        <f ca="1">SUM((INDIRECT(CO$9&amp;ROW()):(INDIRECT(CO$10&amp;ROW()))))</f>
        <v>#N/A</v>
      </c>
      <c r="CP16" s="142" t="e">
        <f ca="1">SUM((INDIRECT(CP$9&amp;ROW()):(INDIRECT(CP$10&amp;ROW()))))</f>
        <v>#N/A</v>
      </c>
      <c r="CQ16" s="142" t="e">
        <f ca="1">SUM((INDIRECT(CQ$9&amp;ROW()):(INDIRECT(CQ$10&amp;ROW()))))</f>
        <v>#REF!</v>
      </c>
      <c r="CR16" s="142" t="e">
        <f ca="1">SUM((INDIRECT(CR$9&amp;ROW()):(INDIRECT(CR$10&amp;ROW()))))</f>
        <v>#REF!</v>
      </c>
      <c r="CT16" s="433">
        <f ca="1">SUM((INDIRECT(CT$9&amp;ROW()):(INDIRECT(CT$10&amp;ROW()))))</f>
        <v>3092</v>
      </c>
      <c r="CV16" s="73"/>
    </row>
    <row r="17" spans="1:100" outlineLevel="1">
      <c r="A17" t="s">
        <v>70</v>
      </c>
      <c r="B17" t="s">
        <v>559</v>
      </c>
      <c r="C17" s="72" t="s">
        <v>149</v>
      </c>
      <c r="D17" s="11"/>
      <c r="E17"/>
      <c r="F17"/>
      <c r="G17" s="158">
        <f>1000/31+60</f>
        <v>92.258064516129025</v>
      </c>
      <c r="H17" s="14">
        <f t="shared" ref="H17:K17" si="11">1000/31</f>
        <v>32.258064516129032</v>
      </c>
      <c r="I17" s="158">
        <f>1000/31+70</f>
        <v>102.25806451612902</v>
      </c>
      <c r="J17" s="14">
        <f t="shared" si="11"/>
        <v>32.258064516129032</v>
      </c>
      <c r="K17" s="14">
        <f t="shared" si="11"/>
        <v>32.258064516129032</v>
      </c>
      <c r="L17" s="14">
        <v>0</v>
      </c>
      <c r="M17" s="14">
        <v>0</v>
      </c>
      <c r="N17" s="14">
        <v>0</v>
      </c>
      <c r="O17" s="14">
        <v>0</v>
      </c>
      <c r="P17" s="2">
        <v>0</v>
      </c>
      <c r="Q17" s="2">
        <v>10</v>
      </c>
      <c r="R17" s="2">
        <v>0</v>
      </c>
      <c r="S17" s="490">
        <v>0</v>
      </c>
      <c r="T17" s="2">
        <v>0</v>
      </c>
      <c r="U17" s="2">
        <v>60</v>
      </c>
      <c r="V17" s="2">
        <v>0</v>
      </c>
      <c r="W17" s="2">
        <v>0</v>
      </c>
      <c r="X17" s="2">
        <v>0</v>
      </c>
      <c r="Y17" s="2">
        <v>200</v>
      </c>
      <c r="Z17" s="2">
        <v>100</v>
      </c>
      <c r="AA17" s="2">
        <v>80</v>
      </c>
      <c r="AB17" s="2">
        <v>0</v>
      </c>
      <c r="AC17" s="2" t="s">
        <v>1098</v>
      </c>
      <c r="AD17" s="2">
        <v>0</v>
      </c>
      <c r="AE17" s="2">
        <v>0</v>
      </c>
      <c r="AF17" s="2">
        <v>0</v>
      </c>
      <c r="AG17" s="2">
        <v>0</v>
      </c>
      <c r="AH17" s="2">
        <v>75</v>
      </c>
      <c r="AI17" s="2">
        <v>0</v>
      </c>
      <c r="AJ17" s="2">
        <v>0</v>
      </c>
      <c r="AK17" s="2">
        <v>0</v>
      </c>
      <c r="AL17">
        <v>0</v>
      </c>
      <c r="AM17">
        <v>0</v>
      </c>
      <c r="AN17">
        <v>0</v>
      </c>
      <c r="AO17">
        <v>130</v>
      </c>
      <c r="AP17">
        <v>40</v>
      </c>
      <c r="AQ17">
        <v>0</v>
      </c>
      <c r="AR17">
        <v>0</v>
      </c>
      <c r="AS17">
        <v>60</v>
      </c>
      <c r="AT17">
        <v>0</v>
      </c>
      <c r="AU17">
        <f>20+80</f>
        <v>100</v>
      </c>
      <c r="AV17">
        <v>330</v>
      </c>
      <c r="AW17"/>
      <c r="AX17"/>
      <c r="AY17">
        <v>30</v>
      </c>
      <c r="AZ17">
        <f>500-330</f>
        <v>170</v>
      </c>
      <c r="BA17"/>
      <c r="BD17" s="29">
        <f t="shared" si="9"/>
        <v>1676.2903225806451</v>
      </c>
      <c r="BE17" s="6">
        <f t="shared" si="10"/>
        <v>66.1017811555446</v>
      </c>
      <c r="BF17" s="27"/>
      <c r="BG17" s="27"/>
      <c r="CJ17" s="72" t="s">
        <v>149</v>
      </c>
      <c r="CK17" s="142">
        <f ca="1">SUM((INDIRECT(CK$9&amp;ROW()):(INDIRECT(CK$10&amp;ROW()))))</f>
        <v>0</v>
      </c>
      <c r="CL17" s="142">
        <f ca="1">SUM((INDIRECT(CL$9&amp;ROW()):(INDIRECT(CL$10&amp;ROW()))))</f>
        <v>741.29032258064512</v>
      </c>
      <c r="CM17" s="142">
        <f ca="1">SUM((INDIRECT(CM$9&amp;ROW()):(INDIRECT(CM$10&amp;ROW()))))</f>
        <v>935</v>
      </c>
      <c r="CN17" s="142" t="e">
        <f ca="1">SUM((INDIRECT(CN$9&amp;ROW()):(INDIRECT(CN$10&amp;ROW()))))</f>
        <v>#N/A</v>
      </c>
      <c r="CO17" s="142" t="e">
        <f ca="1">SUM((INDIRECT(CO$9&amp;ROW()):(INDIRECT(CO$10&amp;ROW()))))</f>
        <v>#N/A</v>
      </c>
      <c r="CP17" s="142" t="e">
        <f ca="1">SUM((INDIRECT(CP$9&amp;ROW()):(INDIRECT(CP$10&amp;ROW()))))</f>
        <v>#N/A</v>
      </c>
      <c r="CQ17" s="142" t="e">
        <f ca="1">SUM((INDIRECT(CQ$9&amp;ROW()):(INDIRECT(CQ$10&amp;ROW()))))</f>
        <v>#REF!</v>
      </c>
      <c r="CR17" s="142" t="e">
        <f ca="1">SUM((INDIRECT(CR$9&amp;ROW()):(INDIRECT(CR$10&amp;ROW()))))</f>
        <v>#REF!</v>
      </c>
      <c r="CT17" s="431">
        <f ca="1">SUM((INDIRECT(CT$9&amp;ROW()):(INDIRECT(CT$10&amp;ROW()))))</f>
        <v>1676.2903225806451</v>
      </c>
      <c r="CV17" s="72"/>
    </row>
    <row r="18" spans="1:100" outlineLevel="1">
      <c r="A18" t="s">
        <v>70</v>
      </c>
      <c r="B18" t="s">
        <v>559</v>
      </c>
      <c r="C18" s="73" t="s">
        <v>632</v>
      </c>
      <c r="D18" s="11"/>
      <c r="E18"/>
      <c r="F18"/>
      <c r="G18" s="2">
        <f>70+100+250+10</f>
        <v>430</v>
      </c>
      <c r="H18" s="2">
        <v>50</v>
      </c>
      <c r="I18" s="2">
        <v>5</v>
      </c>
      <c r="J18" s="2">
        <v>5</v>
      </c>
      <c r="K18" s="2">
        <v>0</v>
      </c>
      <c r="L18" s="2">
        <v>10</v>
      </c>
      <c r="M18" s="2">
        <v>0</v>
      </c>
      <c r="N18" s="2">
        <v>0</v>
      </c>
      <c r="O18" s="2">
        <v>0</v>
      </c>
      <c r="P18" s="2">
        <v>0</v>
      </c>
      <c r="Q18" s="2">
        <v>0</v>
      </c>
      <c r="R18" s="2">
        <v>0</v>
      </c>
      <c r="S18" s="2">
        <v>0</v>
      </c>
      <c r="T18" s="2">
        <v>0</v>
      </c>
      <c r="U18" s="2">
        <v>100</v>
      </c>
      <c r="V18" s="2">
        <v>0</v>
      </c>
      <c r="W18" s="2">
        <v>0</v>
      </c>
      <c r="X18" s="2">
        <v>0</v>
      </c>
      <c r="Y18" s="2">
        <v>0</v>
      </c>
      <c r="Z18" s="2">
        <v>0</v>
      </c>
      <c r="AA18" s="2">
        <v>0</v>
      </c>
      <c r="AB18" s="2">
        <v>0</v>
      </c>
      <c r="AC18" s="2">
        <v>100</v>
      </c>
      <c r="AD18" s="2">
        <v>0</v>
      </c>
      <c r="AE18" s="2">
        <v>0</v>
      </c>
      <c r="AF18" s="2">
        <f>65+45</f>
        <v>110</v>
      </c>
      <c r="AG18" s="2">
        <v>0</v>
      </c>
      <c r="AH18" s="2">
        <v>0</v>
      </c>
      <c r="AI18" s="2">
        <v>0</v>
      </c>
      <c r="AJ18" s="2">
        <v>0</v>
      </c>
      <c r="AL18">
        <v>0</v>
      </c>
      <c r="AM18">
        <v>0</v>
      </c>
      <c r="AN18">
        <v>70</v>
      </c>
      <c r="AO18">
        <v>0</v>
      </c>
      <c r="AP18">
        <v>100</v>
      </c>
      <c r="AQ18">
        <v>0</v>
      </c>
      <c r="AR18">
        <v>0</v>
      </c>
      <c r="AS18">
        <v>0</v>
      </c>
      <c r="AT18">
        <v>0</v>
      </c>
      <c r="AU18">
        <v>0</v>
      </c>
      <c r="AV18">
        <v>0</v>
      </c>
      <c r="AW18"/>
      <c r="AX18">
        <v>70</v>
      </c>
      <c r="AY18"/>
      <c r="AZ18">
        <v>100</v>
      </c>
      <c r="BA18"/>
      <c r="BD18" s="29">
        <f t="shared" si="9"/>
        <v>1150</v>
      </c>
      <c r="BE18" s="6">
        <f t="shared" si="10"/>
        <v>45.348378681712013</v>
      </c>
      <c r="BF18" s="27"/>
      <c r="BG18" s="27"/>
      <c r="BH18" s="2">
        <v>437.5</v>
      </c>
      <c r="BI18" s="2">
        <v>437.5</v>
      </c>
      <c r="BL18" s="2">
        <v>437.5</v>
      </c>
      <c r="BM18" s="2">
        <v>437.5</v>
      </c>
      <c r="CJ18" s="73" t="s">
        <v>632</v>
      </c>
      <c r="CK18" s="142">
        <f ca="1">SUM((INDIRECT(CK$9&amp;ROW()):(INDIRECT(CK$10&amp;ROW()))))</f>
        <v>0</v>
      </c>
      <c r="CL18" s="142">
        <f ca="1">SUM((INDIRECT(CL$9&amp;ROW()):(INDIRECT(CL$10&amp;ROW()))))</f>
        <v>700</v>
      </c>
      <c r="CM18" s="142">
        <f ca="1">SUM((INDIRECT(CM$9&amp;ROW()):(INDIRECT(CM$10&amp;ROW()))))</f>
        <v>450</v>
      </c>
      <c r="CN18" s="142" t="e">
        <f ca="1">SUM((INDIRECT(CN$9&amp;ROW()):(INDIRECT(CN$10&amp;ROW()))))</f>
        <v>#N/A</v>
      </c>
      <c r="CO18" s="142" t="e">
        <f ca="1">SUM((INDIRECT(CO$9&amp;ROW()):(INDIRECT(CO$10&amp;ROW()))))</f>
        <v>#N/A</v>
      </c>
      <c r="CP18" s="142" t="e">
        <f ca="1">SUM((INDIRECT(CP$9&amp;ROW()):(INDIRECT(CP$10&amp;ROW()))))</f>
        <v>#N/A</v>
      </c>
      <c r="CQ18" s="142" t="e">
        <f ca="1">SUM((INDIRECT(CQ$9&amp;ROW()):(INDIRECT(CQ$10&amp;ROW()))))</f>
        <v>#REF!</v>
      </c>
      <c r="CR18" s="142" t="e">
        <f ca="1">SUM((INDIRECT(CR$9&amp;ROW()):(INDIRECT(CR$10&amp;ROW()))))</f>
        <v>#REF!</v>
      </c>
      <c r="CT18" s="432">
        <f ca="1">SUM((INDIRECT(CT$9&amp;ROW()):(INDIRECT(CT$10&amp;ROW()))))</f>
        <v>1150</v>
      </c>
      <c r="CV18" s="340">
        <f ca="1">SUM(CM17:CM19)/$Q$6</f>
        <v>433.9321357285429</v>
      </c>
    </row>
    <row r="19" spans="1:100" ht="15" outlineLevel="1" thickBot="1">
      <c r="A19" t="s">
        <v>70</v>
      </c>
      <c r="B19" t="s">
        <v>559</v>
      </c>
      <c r="C19" s="74" t="s">
        <v>629</v>
      </c>
      <c r="D19" s="11"/>
      <c r="E19"/>
      <c r="F19" s="2">
        <f>355+100</f>
        <v>455</v>
      </c>
      <c r="G19" s="2">
        <f t="shared" ref="G19:AI19" si="12">355+100</f>
        <v>455</v>
      </c>
      <c r="H19" s="2">
        <f t="shared" si="12"/>
        <v>455</v>
      </c>
      <c r="I19" s="2">
        <f t="shared" si="12"/>
        <v>455</v>
      </c>
      <c r="J19" s="2">
        <f t="shared" si="12"/>
        <v>455</v>
      </c>
      <c r="K19" s="2">
        <f t="shared" si="12"/>
        <v>455</v>
      </c>
      <c r="L19" s="2">
        <f t="shared" si="12"/>
        <v>455</v>
      </c>
      <c r="M19" s="2">
        <f t="shared" si="12"/>
        <v>455</v>
      </c>
      <c r="N19" s="2">
        <f t="shared" si="12"/>
        <v>455</v>
      </c>
      <c r="O19" s="2">
        <f t="shared" si="12"/>
        <v>455</v>
      </c>
      <c r="P19" s="2">
        <f t="shared" si="12"/>
        <v>455</v>
      </c>
      <c r="Q19" s="2">
        <f t="shared" si="12"/>
        <v>455</v>
      </c>
      <c r="R19" s="2">
        <f t="shared" si="12"/>
        <v>455</v>
      </c>
      <c r="S19" s="2">
        <f t="shared" si="12"/>
        <v>455</v>
      </c>
      <c r="T19" s="2">
        <f t="shared" si="12"/>
        <v>455</v>
      </c>
      <c r="U19" s="2">
        <f t="shared" si="12"/>
        <v>455</v>
      </c>
      <c r="V19" s="2">
        <f t="shared" si="12"/>
        <v>455</v>
      </c>
      <c r="W19" s="2">
        <f t="shared" si="12"/>
        <v>455</v>
      </c>
      <c r="X19" s="2">
        <f t="shared" si="12"/>
        <v>455</v>
      </c>
      <c r="Y19" s="2">
        <f t="shared" si="12"/>
        <v>455</v>
      </c>
      <c r="Z19" s="2">
        <f t="shared" si="12"/>
        <v>455</v>
      </c>
      <c r="AA19" s="2">
        <f t="shared" si="12"/>
        <v>455</v>
      </c>
      <c r="AB19" s="2">
        <f t="shared" si="12"/>
        <v>455</v>
      </c>
      <c r="AC19" s="2">
        <f t="shared" si="12"/>
        <v>455</v>
      </c>
      <c r="AD19" s="2">
        <f t="shared" si="12"/>
        <v>455</v>
      </c>
      <c r="AE19" s="2">
        <f t="shared" si="12"/>
        <v>455</v>
      </c>
      <c r="AF19" s="2">
        <f t="shared" si="12"/>
        <v>455</v>
      </c>
      <c r="AG19" s="2">
        <f t="shared" si="12"/>
        <v>455</v>
      </c>
      <c r="AH19" s="2">
        <f t="shared" si="12"/>
        <v>455</v>
      </c>
      <c r="AI19" s="2">
        <f t="shared" si="12"/>
        <v>455</v>
      </c>
      <c r="AJ19" s="4">
        <f>11000+3100-SUM($F19:AI19)</f>
        <v>450</v>
      </c>
      <c r="AK19" s="2">
        <v>355</v>
      </c>
      <c r="AL19" s="2">
        <v>355</v>
      </c>
      <c r="AM19" s="2">
        <v>355</v>
      </c>
      <c r="AN19" s="2">
        <v>355</v>
      </c>
      <c r="AO19" s="2">
        <v>355</v>
      </c>
      <c r="AP19" s="2">
        <v>355</v>
      </c>
      <c r="AQ19" s="2">
        <v>355</v>
      </c>
      <c r="AR19" s="2">
        <v>355</v>
      </c>
      <c r="AS19" s="2">
        <v>355</v>
      </c>
      <c r="AT19" s="2">
        <v>355</v>
      </c>
      <c r="AU19" s="2">
        <v>355</v>
      </c>
      <c r="AV19" s="2">
        <v>355</v>
      </c>
      <c r="AW19" s="2">
        <v>355</v>
      </c>
      <c r="AX19" s="2">
        <v>355</v>
      </c>
      <c r="AY19" s="2">
        <v>355</v>
      </c>
      <c r="AZ19" s="4">
        <f>5680-SUM($AK19:AY19)+1080</f>
        <v>1435</v>
      </c>
      <c r="BA19"/>
      <c r="BC19" s="186"/>
      <c r="BD19" s="29">
        <f t="shared" si="9"/>
        <v>20860</v>
      </c>
      <c r="BE19" s="6">
        <f t="shared" si="10"/>
        <v>822.58015591348919</v>
      </c>
      <c r="BF19" s="27"/>
      <c r="BG19" s="27"/>
      <c r="CJ19" s="74" t="s">
        <v>629</v>
      </c>
      <c r="CK19" s="142">
        <f ca="1">SUM((INDIRECT(CK$9&amp;ROW()):(INDIRECT(CK$10&amp;ROW()))))</f>
        <v>0</v>
      </c>
      <c r="CL19" s="142">
        <f ca="1">SUM((INDIRECT(CL$9&amp;ROW()):(INDIRECT(CL$10&amp;ROW()))))</f>
        <v>11375</v>
      </c>
      <c r="CM19" s="142">
        <f ca="1">SUM((INDIRECT(CM$9&amp;ROW()):(INDIRECT(CM$10&amp;ROW()))))</f>
        <v>9485</v>
      </c>
      <c r="CN19" s="142" t="e">
        <f ca="1">SUM((INDIRECT(CN$9&amp;ROW()):(INDIRECT(CN$10&amp;ROW()))))</f>
        <v>#N/A</v>
      </c>
      <c r="CO19" s="142" t="e">
        <f ca="1">SUM((INDIRECT(CO$9&amp;ROW()):(INDIRECT(CO$10&amp;ROW()))))</f>
        <v>#N/A</v>
      </c>
      <c r="CP19" s="142" t="e">
        <f ca="1">SUM((INDIRECT(CP$9&amp;ROW()):(INDIRECT(CP$10&amp;ROW()))))</f>
        <v>#N/A</v>
      </c>
      <c r="CQ19" s="142" t="e">
        <f ca="1">SUM((INDIRECT(CQ$9&amp;ROW()):(INDIRECT(CQ$10&amp;ROW()))))</f>
        <v>#REF!</v>
      </c>
      <c r="CR19" s="142" t="e">
        <f ca="1">SUM((INDIRECT(CR$9&amp;ROW()):(INDIRECT(CR$10&amp;ROW()))))</f>
        <v>#REF!</v>
      </c>
      <c r="CT19" s="433">
        <f ca="1">SUM((INDIRECT(CT$9&amp;ROW()):(INDIRECT(CT$10&amp;ROW()))))</f>
        <v>20860</v>
      </c>
      <c r="CV19" s="74"/>
    </row>
    <row r="20" spans="1:100" outlineLevel="1">
      <c r="A20" t="s">
        <v>70</v>
      </c>
      <c r="B20" t="s">
        <v>23</v>
      </c>
      <c r="C20" s="72" t="s">
        <v>23</v>
      </c>
      <c r="D20" s="11"/>
      <c r="E20"/>
      <c r="F20"/>
      <c r="M20"/>
      <c r="N20"/>
      <c r="O20"/>
      <c r="P20"/>
      <c r="Q20"/>
      <c r="R20"/>
      <c r="S20"/>
      <c r="T20"/>
      <c r="U20"/>
      <c r="V20"/>
      <c r="W20"/>
      <c r="X20"/>
      <c r="Y20" s="2">
        <v>2100</v>
      </c>
      <c r="Z20" s="2">
        <v>0</v>
      </c>
      <c r="AA20"/>
      <c r="AB20"/>
      <c r="AC20" s="2">
        <f>400+440</f>
        <v>840</v>
      </c>
      <c r="AD20"/>
      <c r="AE20"/>
      <c r="AF20"/>
      <c r="AG20"/>
      <c r="AH20"/>
      <c r="AI20"/>
      <c r="AJ20"/>
      <c r="AK20"/>
      <c r="AL20"/>
      <c r="AM20"/>
      <c r="AN20"/>
      <c r="AO20">
        <f>2*180</f>
        <v>360</v>
      </c>
      <c r="AP20" s="515">
        <v>2300</v>
      </c>
      <c r="AQ20"/>
      <c r="AR20"/>
      <c r="AS20"/>
      <c r="AT20"/>
      <c r="AU20"/>
      <c r="AV20"/>
      <c r="AW20"/>
      <c r="AX20"/>
      <c r="AY20"/>
      <c r="AZ20" s="501">
        <v>4000</v>
      </c>
      <c r="BA20"/>
      <c r="BC20" s="179"/>
      <c r="BD20" s="29">
        <f t="shared" si="9"/>
        <v>9600</v>
      </c>
      <c r="BE20" s="6">
        <f t="shared" si="10"/>
        <v>378.56037856037852</v>
      </c>
      <c r="BF20" s="27"/>
      <c r="BG20" s="27"/>
      <c r="CJ20" s="72" t="s">
        <v>23</v>
      </c>
      <c r="CK20" s="142">
        <f ca="1">SUM((INDIRECT(CK$9&amp;ROW()):(INDIRECT(CK$10&amp;ROW()))))</f>
        <v>0</v>
      </c>
      <c r="CL20" s="142">
        <f ca="1">SUM((INDIRECT(CL$9&amp;ROW()):(INDIRECT(CL$10&amp;ROW()))))</f>
        <v>2940</v>
      </c>
      <c r="CM20" s="142">
        <f ca="1">SUM((INDIRECT(CM$9&amp;ROW()):(INDIRECT(CM$10&amp;ROW()))))</f>
        <v>6660</v>
      </c>
      <c r="CN20" s="142" t="e">
        <f ca="1">SUM((INDIRECT(CN$9&amp;ROW()):(INDIRECT(CN$10&amp;ROW()))))</f>
        <v>#N/A</v>
      </c>
      <c r="CO20" s="142" t="e">
        <f ca="1">SUM((INDIRECT(CO$9&amp;ROW()):(INDIRECT(CO$10&amp;ROW()))))</f>
        <v>#N/A</v>
      </c>
      <c r="CP20" s="142" t="e">
        <f ca="1">SUM((INDIRECT(CP$9&amp;ROW()):(INDIRECT(CP$10&amp;ROW()))))</f>
        <v>#N/A</v>
      </c>
      <c r="CQ20" s="142" t="e">
        <f ca="1">SUM((INDIRECT(CQ$9&amp;ROW()):(INDIRECT(CQ$10&amp;ROW()))))</f>
        <v>#REF!</v>
      </c>
      <c r="CR20" s="142" t="e">
        <f ca="1">SUM((INDIRECT(CR$9&amp;ROW()):(INDIRECT(CR$10&amp;ROW()))))</f>
        <v>#REF!</v>
      </c>
      <c r="CT20" s="431">
        <f ca="1">SUM((INDIRECT(CT$9&amp;ROW()):(INDIRECT(CT$10&amp;ROW()))))</f>
        <v>9600</v>
      </c>
      <c r="CV20" s="360"/>
    </row>
    <row r="21" spans="1:100" outlineLevel="1">
      <c r="A21" t="s">
        <v>70</v>
      </c>
      <c r="B21" t="s">
        <v>23</v>
      </c>
      <c r="C21" s="73" t="s">
        <v>151</v>
      </c>
      <c r="D21" s="11"/>
      <c r="E21"/>
      <c r="F21"/>
      <c r="M21"/>
      <c r="N21">
        <v>150</v>
      </c>
      <c r="O21"/>
      <c r="P21"/>
      <c r="Q21"/>
      <c r="R21"/>
      <c r="S21"/>
      <c r="T21"/>
      <c r="U21"/>
      <c r="V21"/>
      <c r="W21"/>
      <c r="X21"/>
      <c r="Y21"/>
      <c r="Z21"/>
      <c r="AA21"/>
      <c r="AB21"/>
      <c r="AC21"/>
      <c r="AD21"/>
      <c r="AE21"/>
      <c r="AF21"/>
      <c r="AG21"/>
      <c r="AH21"/>
      <c r="AI21"/>
      <c r="AJ21"/>
      <c r="AK21"/>
      <c r="AL21"/>
      <c r="AM21"/>
      <c r="AN21"/>
      <c r="AO21"/>
      <c r="AP21"/>
      <c r="AQ21"/>
      <c r="AR21"/>
      <c r="AS21"/>
      <c r="AT21" s="501">
        <v>600</v>
      </c>
      <c r="AU21"/>
      <c r="AV21"/>
      <c r="AW21">
        <v>200</v>
      </c>
      <c r="AX21"/>
      <c r="AY21"/>
      <c r="AZ21"/>
      <c r="BA21"/>
      <c r="BC21" s="179"/>
      <c r="BD21" s="29">
        <f t="shared" si="9"/>
        <v>950</v>
      </c>
      <c r="BE21" s="6">
        <f>BD21/TAUXmoyen</f>
        <v>37.461704128370791</v>
      </c>
      <c r="BF21" s="27"/>
      <c r="BG21" s="27"/>
      <c r="CJ21" s="73" t="s">
        <v>151</v>
      </c>
      <c r="CK21" s="142">
        <f ca="1">SUM((INDIRECT(CK$9&amp;ROW()):(INDIRECT(CK$10&amp;ROW()))))</f>
        <v>0</v>
      </c>
      <c r="CL21" s="142">
        <f ca="1">SUM((INDIRECT(CL$9&amp;ROW()):(INDIRECT(CL$10&amp;ROW()))))</f>
        <v>150</v>
      </c>
      <c r="CM21" s="142">
        <f ca="1">SUM((INDIRECT(CM$9&amp;ROW()):(INDIRECT(CM$10&amp;ROW()))))</f>
        <v>800</v>
      </c>
      <c r="CN21" s="142" t="e">
        <f ca="1">SUM((INDIRECT(CN$9&amp;ROW()):(INDIRECT(CN$10&amp;ROW()))))</f>
        <v>#N/A</v>
      </c>
      <c r="CO21" s="142" t="e">
        <f ca="1">SUM((INDIRECT(CO$9&amp;ROW()):(INDIRECT(CO$10&amp;ROW()))))</f>
        <v>#N/A</v>
      </c>
      <c r="CP21" s="142" t="e">
        <f ca="1">SUM((INDIRECT(CP$9&amp;ROW()):(INDIRECT(CP$10&amp;ROW()))))</f>
        <v>#N/A</v>
      </c>
      <c r="CQ21" s="142" t="e">
        <f ca="1">SUM((INDIRECT(CQ$9&amp;ROW()):(INDIRECT(CQ$10&amp;ROW()))))</f>
        <v>#REF!</v>
      </c>
      <c r="CR21" s="142" t="e">
        <f ca="1">SUM((INDIRECT(CR$9&amp;ROW()):(INDIRECT(CR$10&amp;ROW()))))</f>
        <v>#REF!</v>
      </c>
      <c r="CT21" s="432">
        <f ca="1">SUM((INDIRECT(CT$9&amp;ROW()):(INDIRECT(CT$10&amp;ROW()))))</f>
        <v>950</v>
      </c>
      <c r="CV21" s="340">
        <f ca="1">SUM(CM20:CM22)/$Q$6</f>
        <v>297.80439121756484</v>
      </c>
    </row>
    <row r="22" spans="1:100" ht="15" outlineLevel="1" thickBot="1">
      <c r="A22" t="s">
        <v>70</v>
      </c>
      <c r="B22" t="s">
        <v>23</v>
      </c>
      <c r="C22" s="74" t="s">
        <v>8</v>
      </c>
      <c r="D22" s="11"/>
      <c r="E22"/>
      <c r="F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C22" s="179"/>
      <c r="BD22" s="29">
        <f t="shared" si="9"/>
        <v>0</v>
      </c>
      <c r="BE22" s="6">
        <f t="shared" si="10"/>
        <v>0</v>
      </c>
      <c r="BF22" s="27"/>
      <c r="BG22" s="27"/>
      <c r="CJ22" s="74" t="s">
        <v>8</v>
      </c>
      <c r="CK22" s="142">
        <f ca="1">SUM((INDIRECT(CK$9&amp;ROW()):(INDIRECT(CK$10&amp;ROW()))))</f>
        <v>0</v>
      </c>
      <c r="CL22" s="142">
        <f ca="1">SUM((INDIRECT(CL$9&amp;ROW()):(INDIRECT(CL$10&amp;ROW()))))</f>
        <v>0</v>
      </c>
      <c r="CM22" s="142">
        <f ca="1">SUM((INDIRECT(CM$9&amp;ROW()):(INDIRECT(CM$10&amp;ROW()))))</f>
        <v>0</v>
      </c>
      <c r="CN22" s="142" t="e">
        <f ca="1">SUM((INDIRECT(CN$9&amp;ROW()):(INDIRECT(CN$10&amp;ROW()))))</f>
        <v>#N/A</v>
      </c>
      <c r="CO22" s="142" t="e">
        <f ca="1">SUM((INDIRECT(CO$9&amp;ROW()):(INDIRECT(CO$10&amp;ROW()))))</f>
        <v>#N/A</v>
      </c>
      <c r="CP22" s="142" t="e">
        <f ca="1">SUM((INDIRECT(CP$9&amp;ROW()):(INDIRECT(CP$10&amp;ROW()))))</f>
        <v>#N/A</v>
      </c>
      <c r="CQ22" s="142" t="e">
        <f ca="1">SUM((INDIRECT(CQ$9&amp;ROW()):(INDIRECT(CQ$10&amp;ROW()))))</f>
        <v>#REF!</v>
      </c>
      <c r="CR22" s="142" t="e">
        <f ca="1">SUM((INDIRECT(CR$9&amp;ROW()):(INDIRECT(CR$10&amp;ROW()))))</f>
        <v>#REF!</v>
      </c>
      <c r="CT22" s="433">
        <f ca="1">SUM((INDIRECT(CT$9&amp;ROW()):(INDIRECT(CT$10&amp;ROW()))))</f>
        <v>0</v>
      </c>
      <c r="CV22" s="74"/>
    </row>
    <row r="23" spans="1:100" outlineLevel="1">
      <c r="A23" t="s">
        <v>70</v>
      </c>
      <c r="B23" t="s">
        <v>25</v>
      </c>
      <c r="C23" s="72" t="s">
        <v>150</v>
      </c>
      <c r="D23" s="11"/>
      <c r="E23"/>
      <c r="F23"/>
      <c r="G23" s="2">
        <f>300+50</f>
        <v>350</v>
      </c>
      <c r="M23"/>
      <c r="N23"/>
      <c r="O23"/>
      <c r="P23"/>
      <c r="Q23"/>
      <c r="R23"/>
      <c r="S23"/>
      <c r="T23"/>
      <c r="U23"/>
      <c r="V23"/>
      <c r="W23"/>
      <c r="X23"/>
      <c r="Y23"/>
      <c r="Z23"/>
      <c r="AA23"/>
      <c r="AB23"/>
      <c r="AC23">
        <v>1100</v>
      </c>
      <c r="AD23"/>
      <c r="AE23"/>
      <c r="AF23"/>
      <c r="AG23"/>
      <c r="AH23"/>
      <c r="AI23"/>
      <c r="AJ23"/>
      <c r="AK23"/>
      <c r="AL23"/>
      <c r="AM23"/>
      <c r="AN23"/>
      <c r="AO23">
        <v>560</v>
      </c>
      <c r="AP23">
        <v>560</v>
      </c>
      <c r="AQ23"/>
      <c r="AR23"/>
      <c r="AS23"/>
      <c r="AT23"/>
      <c r="AU23"/>
      <c r="AV23"/>
      <c r="AW23"/>
      <c r="AX23"/>
      <c r="AY23"/>
      <c r="AZ23"/>
      <c r="BA23"/>
      <c r="BD23" s="29">
        <f t="shared" si="9"/>
        <v>2570</v>
      </c>
      <c r="BE23" s="6">
        <f t="shared" si="10"/>
        <v>101.34376801043467</v>
      </c>
      <c r="BF23" s="27"/>
      <c r="BG23" s="27"/>
      <c r="CJ23" s="72" t="s">
        <v>150</v>
      </c>
      <c r="CK23" s="142">
        <f ca="1">SUM((INDIRECT(CK$9&amp;ROW()):(INDIRECT(CK$10&amp;ROW()))))</f>
        <v>0</v>
      </c>
      <c r="CL23" s="142">
        <f ca="1">SUM((INDIRECT(CL$9&amp;ROW()):(INDIRECT(CL$10&amp;ROW()))))</f>
        <v>1450</v>
      </c>
      <c r="CM23" s="142">
        <f ca="1">SUM((INDIRECT(CM$9&amp;ROW()):(INDIRECT(CM$10&amp;ROW()))))</f>
        <v>1120</v>
      </c>
      <c r="CN23" s="142" t="e">
        <f ca="1">SUM((INDIRECT(CN$9&amp;ROW()):(INDIRECT(CN$10&amp;ROW()))))</f>
        <v>#N/A</v>
      </c>
      <c r="CO23" s="142" t="e">
        <f ca="1">SUM((INDIRECT(CO$9&amp;ROW()):(INDIRECT(CO$10&amp;ROW()))))</f>
        <v>#N/A</v>
      </c>
      <c r="CP23" s="142" t="e">
        <f ca="1">SUM((INDIRECT(CP$9&amp;ROW()):(INDIRECT(CP$10&amp;ROW()))))</f>
        <v>#N/A</v>
      </c>
      <c r="CQ23" s="142" t="e">
        <f ca="1">SUM((INDIRECT(CQ$9&amp;ROW()):(INDIRECT(CQ$10&amp;ROW()))))</f>
        <v>#REF!</v>
      </c>
      <c r="CR23" s="142" t="e">
        <f ca="1">SUM((INDIRECT(CR$9&amp;ROW()):(INDIRECT(CR$10&amp;ROW()))))</f>
        <v>#REF!</v>
      </c>
      <c r="CT23" s="431">
        <f ca="1">SUM((INDIRECT(CT$9&amp;ROW()):(INDIRECT(CT$10&amp;ROW()))))</f>
        <v>2570</v>
      </c>
      <c r="CV23" s="354">
        <f ca="1">SUM(CM23:CM24)/$Q$6</f>
        <v>44.710578842315371</v>
      </c>
    </row>
    <row r="24" spans="1:100" ht="15" outlineLevel="1" thickBot="1">
      <c r="A24" t="s">
        <v>70</v>
      </c>
      <c r="B24" t="s">
        <v>25</v>
      </c>
      <c r="C24" s="74" t="s">
        <v>144</v>
      </c>
      <c r="D24" s="11"/>
      <c r="E24"/>
      <c r="F24"/>
      <c r="M24"/>
      <c r="N24"/>
      <c r="O24"/>
      <c r="P24"/>
      <c r="Q24"/>
      <c r="R24"/>
      <c r="S24"/>
      <c r="T24"/>
      <c r="U24"/>
      <c r="V24"/>
      <c r="W24"/>
      <c r="X24"/>
      <c r="Y24"/>
      <c r="Z24"/>
      <c r="AA24"/>
      <c r="AB24"/>
      <c r="AC24"/>
      <c r="AD24"/>
      <c r="AE24"/>
      <c r="AF24"/>
      <c r="AG24"/>
      <c r="AH24"/>
      <c r="AI24"/>
      <c r="AJ24"/>
      <c r="AK24"/>
      <c r="AL24"/>
      <c r="AM24"/>
      <c r="AN24"/>
      <c r="AO24"/>
      <c r="AP24"/>
      <c r="BA24"/>
      <c r="BC24" s="179"/>
      <c r="BD24" s="29">
        <f t="shared" si="9"/>
        <v>0</v>
      </c>
      <c r="BE24" s="6">
        <f t="shared" si="10"/>
        <v>0</v>
      </c>
      <c r="BF24" s="27"/>
      <c r="BG24" s="27"/>
      <c r="CJ24" s="74" t="s">
        <v>144</v>
      </c>
      <c r="CK24" s="286">
        <f ca="1">SUM((INDIRECT(CK$9&amp;ROW()):(INDIRECT(CK$10&amp;ROW()))))</f>
        <v>0</v>
      </c>
      <c r="CL24" s="142">
        <f ca="1">SUM((INDIRECT(CL$9&amp;ROW()):(INDIRECT(CL$10&amp;ROW()))))</f>
        <v>0</v>
      </c>
      <c r="CM24" s="142">
        <f ca="1">SUM((INDIRECT(CM$9&amp;ROW()):(INDIRECT(CM$10&amp;ROW()))))</f>
        <v>0</v>
      </c>
      <c r="CN24" s="142" t="e">
        <f ca="1">SUM((INDIRECT(CN$9&amp;ROW()):(INDIRECT(CN$10&amp;ROW()))))</f>
        <v>#N/A</v>
      </c>
      <c r="CO24" s="142" t="e">
        <f ca="1">SUM((INDIRECT(CO$9&amp;ROW()):(INDIRECT(CO$10&amp;ROW()))))</f>
        <v>#N/A</v>
      </c>
      <c r="CP24" s="142" t="e">
        <f ca="1">SUM((INDIRECT(CP$9&amp;ROW()):(INDIRECT(CP$10&amp;ROW()))))</f>
        <v>#N/A</v>
      </c>
      <c r="CQ24" s="142" t="e">
        <f ca="1">SUM((INDIRECT(CQ$9&amp;ROW()):(INDIRECT(CQ$10&amp;ROW()))))</f>
        <v>#REF!</v>
      </c>
      <c r="CR24" s="142" t="e">
        <f ca="1">SUM((INDIRECT(CR$9&amp;ROW()):(INDIRECT(CR$10&amp;ROW()))))</f>
        <v>#REF!</v>
      </c>
      <c r="CT24" s="433">
        <f ca="1">SUM((INDIRECT(CT$9&amp;ROW()):(INDIRECT(CT$10&amp;ROW()))))</f>
        <v>0</v>
      </c>
      <c r="CV24" s="74"/>
    </row>
    <row r="25" spans="1:100" outlineLevel="1">
      <c r="A25" t="s">
        <v>70</v>
      </c>
      <c r="B25" t="s">
        <v>24</v>
      </c>
      <c r="C25" s="72" t="s">
        <v>145</v>
      </c>
      <c r="D25" s="11"/>
      <c r="E25"/>
      <c r="F25"/>
      <c r="G25" s="2">
        <v>200</v>
      </c>
      <c r="M25"/>
      <c r="N25"/>
      <c r="O25"/>
      <c r="P25"/>
      <c r="Q25"/>
      <c r="R25"/>
      <c r="S25"/>
      <c r="T25"/>
      <c r="U25"/>
      <c r="V25"/>
      <c r="W25"/>
      <c r="X25"/>
      <c r="Y25"/>
      <c r="Z25">
        <v>700</v>
      </c>
      <c r="AA25"/>
      <c r="AB25"/>
      <c r="AC25"/>
      <c r="AD25"/>
      <c r="AE25"/>
      <c r="AF25"/>
      <c r="AG25"/>
      <c r="AH25"/>
      <c r="AI25"/>
      <c r="AJ25"/>
      <c r="AK25"/>
      <c r="AL25"/>
      <c r="AM25"/>
      <c r="AN25"/>
      <c r="AO25"/>
      <c r="AP25"/>
      <c r="AW25" s="2">
        <v>240</v>
      </c>
      <c r="AX25" s="2">
        <v>500</v>
      </c>
      <c r="AY25" s="2">
        <v>200</v>
      </c>
      <c r="BA25"/>
      <c r="BD25" s="29">
        <f t="shared" si="9"/>
        <v>1840</v>
      </c>
      <c r="BE25" s="6">
        <f t="shared" si="10"/>
        <v>72.557405890739219</v>
      </c>
      <c r="BF25" s="27"/>
      <c r="BG25" s="27"/>
      <c r="CJ25" s="72" t="s">
        <v>145</v>
      </c>
      <c r="CK25" s="142">
        <f ca="1">SUM((INDIRECT(CK$9&amp;ROW()):(INDIRECT(CK$10&amp;ROW()))))</f>
        <v>0</v>
      </c>
      <c r="CL25" s="142">
        <f ca="1">SUM((INDIRECT(CL$9&amp;ROW()):(INDIRECT(CL$10&amp;ROW()))))</f>
        <v>900</v>
      </c>
      <c r="CM25" s="142">
        <f ca="1">SUM((INDIRECT(CM$9&amp;ROW()):(INDIRECT(CM$10&amp;ROW()))))</f>
        <v>940</v>
      </c>
      <c r="CN25" s="142" t="e">
        <f ca="1">SUM((INDIRECT(CN$9&amp;ROW()):(INDIRECT(CN$10&amp;ROW()))))</f>
        <v>#N/A</v>
      </c>
      <c r="CO25" s="142" t="e">
        <f ca="1">SUM((INDIRECT(CO$9&amp;ROW()):(INDIRECT(CO$10&amp;ROW()))))</f>
        <v>#N/A</v>
      </c>
      <c r="CP25" s="142" t="e">
        <f ca="1">SUM((INDIRECT(CP$9&amp;ROW()):(INDIRECT(CP$10&amp;ROW()))))</f>
        <v>#N/A</v>
      </c>
      <c r="CQ25" s="142" t="e">
        <f ca="1">SUM((INDIRECT(CQ$9&amp;ROW()):(INDIRECT(CQ$10&amp;ROW()))))</f>
        <v>#REF!</v>
      </c>
      <c r="CR25" s="142" t="e">
        <f ca="1">SUM((INDIRECT(CR$9&amp;ROW()):(INDIRECT(CR$10&amp;ROW()))))</f>
        <v>#REF!</v>
      </c>
      <c r="CT25" s="431">
        <f ca="1">SUM((INDIRECT(CT$9&amp;ROW()):(INDIRECT(CT$10&amp;ROW()))))</f>
        <v>1840</v>
      </c>
      <c r="CV25" s="72"/>
    </row>
    <row r="26" spans="1:100" outlineLevel="1">
      <c r="A26" t="s">
        <v>70</v>
      </c>
      <c r="B26" t="s">
        <v>24</v>
      </c>
      <c r="C26" s="73" t="s">
        <v>206</v>
      </c>
      <c r="D26" s="11"/>
      <c r="E26"/>
      <c r="F26"/>
      <c r="J26" s="2">
        <v>540</v>
      </c>
      <c r="M26">
        <v>1500</v>
      </c>
      <c r="N26"/>
      <c r="O26"/>
      <c r="P26"/>
      <c r="Q26"/>
      <c r="R26"/>
      <c r="S26"/>
      <c r="T26"/>
      <c r="U26"/>
      <c r="V26"/>
      <c r="W26"/>
      <c r="X26"/>
      <c r="Y26"/>
      <c r="Z26"/>
      <c r="AA26"/>
      <c r="AB26"/>
      <c r="AC26"/>
      <c r="AD26"/>
      <c r="AE26"/>
      <c r="AF26">
        <v>100</v>
      </c>
      <c r="AG26">
        <v>150</v>
      </c>
      <c r="AH26"/>
      <c r="AI26"/>
      <c r="AJ26"/>
      <c r="AK26">
        <v>465</v>
      </c>
      <c r="AL26"/>
      <c r="AM26"/>
      <c r="AN26"/>
      <c r="AO26"/>
      <c r="AP26"/>
      <c r="AQ26" s="2">
        <v>1200</v>
      </c>
      <c r="AS26" s="2">
        <v>150</v>
      </c>
      <c r="AX26" s="2">
        <f>500+500</f>
        <v>1000</v>
      </c>
      <c r="BA26"/>
      <c r="BC26" s="179"/>
      <c r="BD26" s="29">
        <f t="shared" si="9"/>
        <v>5105</v>
      </c>
      <c r="BE26" s="6">
        <f t="shared" si="10"/>
        <v>201.30736797403463</v>
      </c>
      <c r="BF26" s="27"/>
      <c r="BG26" s="27"/>
      <c r="CJ26" s="73" t="s">
        <v>206</v>
      </c>
      <c r="CK26" s="142">
        <f ca="1">SUM((INDIRECT(CK$9&amp;ROW()):(INDIRECT(CK$10&amp;ROW()))))</f>
        <v>0</v>
      </c>
      <c r="CL26" s="142">
        <f ca="1">SUM((INDIRECT(CL$9&amp;ROW()):(INDIRECT(CL$10&amp;ROW()))))</f>
        <v>2040</v>
      </c>
      <c r="CM26" s="142">
        <f ca="1">SUM((INDIRECT(CM$9&amp;ROW()):(INDIRECT(CM$10&amp;ROW()))))</f>
        <v>3065</v>
      </c>
      <c r="CN26" s="142" t="e">
        <f ca="1">SUM((INDIRECT(CN$9&amp;ROW()):(INDIRECT(CN$10&amp;ROW()))))</f>
        <v>#N/A</v>
      </c>
      <c r="CO26" s="142" t="e">
        <f ca="1">SUM((INDIRECT(CO$9&amp;ROW()):(INDIRECT(CO$10&amp;ROW()))))</f>
        <v>#N/A</v>
      </c>
      <c r="CP26" s="142" t="e">
        <f ca="1">SUM((INDIRECT(CP$9&amp;ROW()):(INDIRECT(CP$10&amp;ROW()))))</f>
        <v>#N/A</v>
      </c>
      <c r="CQ26" s="142" t="e">
        <f ca="1">SUM((INDIRECT(CQ$9&amp;ROW()):(INDIRECT(CQ$10&amp;ROW()))))</f>
        <v>#REF!</v>
      </c>
      <c r="CR26" s="142" t="e">
        <f ca="1">SUM((INDIRECT(CR$9&amp;ROW()):(INDIRECT(CR$10&amp;ROW()))))</f>
        <v>#REF!</v>
      </c>
      <c r="CT26" s="432">
        <f ca="1">SUM((INDIRECT(CT$9&amp;ROW()):(INDIRECT(CT$10&amp;ROW()))))</f>
        <v>5105</v>
      </c>
      <c r="CV26" s="340">
        <f ca="1">SUM(CM25:CM27)/$Q$6</f>
        <v>209.38123752495008</v>
      </c>
    </row>
    <row r="27" spans="1:100" ht="15" outlineLevel="1" thickBot="1">
      <c r="A27" t="s">
        <v>70</v>
      </c>
      <c r="B27" t="s">
        <v>24</v>
      </c>
      <c r="C27" s="74" t="s">
        <v>136</v>
      </c>
      <c r="D27" s="11"/>
      <c r="E27"/>
      <c r="F27"/>
      <c r="G27" s="2">
        <v>1570</v>
      </c>
      <c r="K27" s="2">
        <v>300</v>
      </c>
      <c r="M27"/>
      <c r="N27"/>
      <c r="O27"/>
      <c r="P27"/>
      <c r="Q27"/>
      <c r="R27"/>
      <c r="S27"/>
      <c r="T27"/>
      <c r="U27"/>
      <c r="V27"/>
      <c r="W27"/>
      <c r="X27">
        <v>1100</v>
      </c>
      <c r="Y27" s="501">
        <v>2500</v>
      </c>
      <c r="Z27"/>
      <c r="AA27"/>
      <c r="AB27"/>
      <c r="AC27"/>
      <c r="AD27"/>
      <c r="AE27"/>
      <c r="AF27"/>
      <c r="AG27"/>
      <c r="AH27"/>
      <c r="AI27"/>
      <c r="AJ27"/>
      <c r="AK27"/>
      <c r="AL27"/>
      <c r="AM27"/>
      <c r="AN27"/>
      <c r="AO27"/>
      <c r="AP27"/>
      <c r="AV27" s="2">
        <v>-2000</v>
      </c>
      <c r="AW27" s="2">
        <v>140</v>
      </c>
      <c r="AY27" s="2">
        <f>300+200</f>
        <v>500</v>
      </c>
      <c r="AZ27" s="2">
        <f>700+300+1600</f>
        <v>2600</v>
      </c>
      <c r="BA27"/>
      <c r="BB27" s="193"/>
      <c r="BC27" s="55"/>
      <c r="BD27" s="29">
        <f t="shared" si="9"/>
        <v>6710</v>
      </c>
      <c r="BE27" s="6">
        <f>BD27/TAUXmoyen</f>
        <v>264.59793126459795</v>
      </c>
      <c r="BF27" s="27"/>
      <c r="BG27" s="27"/>
      <c r="CJ27" s="74" t="s">
        <v>136</v>
      </c>
      <c r="CK27" s="142">
        <f ca="1">SUM((INDIRECT(CK$9&amp;ROW()):(INDIRECT(CK$10&amp;ROW()))))</f>
        <v>0</v>
      </c>
      <c r="CL27" s="142">
        <f ca="1">SUM((INDIRECT(CL$9&amp;ROW()):(INDIRECT(CL$10&amp;ROW()))))</f>
        <v>5470</v>
      </c>
      <c r="CM27" s="142">
        <f ca="1">SUM((INDIRECT(CM$9&amp;ROW()):(INDIRECT(CM$10&amp;ROW()))))</f>
        <v>1240</v>
      </c>
      <c r="CN27" s="142" t="e">
        <f ca="1">SUM((INDIRECT(CN$9&amp;ROW()):(INDIRECT(CN$10&amp;ROW()))))</f>
        <v>#N/A</v>
      </c>
      <c r="CO27" s="142" t="e">
        <f ca="1">SUM((INDIRECT(CO$9&amp;ROW()):(INDIRECT(CO$10&amp;ROW()))))</f>
        <v>#N/A</v>
      </c>
      <c r="CP27" s="142" t="e">
        <f ca="1">SUM((INDIRECT(CP$9&amp;ROW()):(INDIRECT(CP$10&amp;ROW()))))</f>
        <v>#N/A</v>
      </c>
      <c r="CQ27" s="142" t="e">
        <f ca="1">SUM((INDIRECT(CQ$9&amp;ROW()):(INDIRECT(CQ$10&amp;ROW()))))</f>
        <v>#REF!</v>
      </c>
      <c r="CR27" s="142" t="e">
        <f ca="1">SUM((INDIRECT(CR$9&amp;ROW()):(INDIRECT(CR$10&amp;ROW()))))</f>
        <v>#REF!</v>
      </c>
      <c r="CT27" s="433">
        <f ca="1">SUM((INDIRECT(CT$9&amp;ROW()):(INDIRECT(CT$10&amp;ROW()))))</f>
        <v>6710</v>
      </c>
      <c r="CV27" s="74"/>
    </row>
    <row r="28" spans="1:100" ht="15" outlineLevel="1" thickBot="1">
      <c r="A28" t="s">
        <v>70</v>
      </c>
      <c r="B28" t="s">
        <v>558</v>
      </c>
      <c r="C28" s="74" t="s">
        <v>564</v>
      </c>
      <c r="D28" s="2"/>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Z28"/>
      <c r="BA28"/>
      <c r="BB28" s="193"/>
      <c r="BC28" s="55"/>
      <c r="BD28" s="29">
        <f t="shared" si="9"/>
        <v>0</v>
      </c>
      <c r="BE28" s="6">
        <f>BD28/TAUXmoyen</f>
        <v>0</v>
      </c>
      <c r="BF28" s="27"/>
      <c r="CJ28" s="74" t="s">
        <v>564</v>
      </c>
      <c r="CK28" s="142">
        <f ca="1">SUM((INDIRECT(CK$9&amp;ROW()):(INDIRECT(CK$10&amp;ROW()))))</f>
        <v>0</v>
      </c>
      <c r="CL28" s="142">
        <f ca="1">SUM((INDIRECT(CL$9&amp;ROW()):(INDIRECT(CL$10&amp;ROW()))))</f>
        <v>0</v>
      </c>
      <c r="CM28" s="142">
        <f ca="1">SUM((INDIRECT(CM$9&amp;ROW()):(INDIRECT(CM$10&amp;ROW()))))</f>
        <v>0</v>
      </c>
      <c r="CN28" s="142" t="e">
        <f ca="1">SUM((INDIRECT(CN$9&amp;ROW()):(INDIRECT(CN$10&amp;ROW()))))</f>
        <v>#N/A</v>
      </c>
      <c r="CO28" s="142" t="e">
        <f ca="1">SUM((INDIRECT(CO$9&amp;ROW()):(INDIRECT(CO$10&amp;ROW()))))</f>
        <v>#N/A</v>
      </c>
      <c r="CP28" s="142" t="e">
        <f ca="1">SUM((INDIRECT(CP$9&amp;ROW()):(INDIRECT(CP$10&amp;ROW()))))</f>
        <v>#N/A</v>
      </c>
      <c r="CQ28" s="142" t="e">
        <f ca="1">SUM((INDIRECT(CQ$9&amp;ROW()):(INDIRECT(CQ$10&amp;ROW()))))</f>
        <v>#REF!</v>
      </c>
      <c r="CR28" s="142" t="e">
        <f ca="1">SUM((INDIRECT(CR$9&amp;ROW()):(INDIRECT(CR$10&amp;ROW()))))</f>
        <v>#REF!</v>
      </c>
      <c r="CT28" s="431">
        <f ca="1">SUM((INDIRECT(CT$9&amp;ROW()):(INDIRECT(CT$10&amp;ROW()))))</f>
        <v>0</v>
      </c>
      <c r="CV28" s="354">
        <f ca="1">SUM(CT28:CT29)/$Q$6</f>
        <v>0</v>
      </c>
    </row>
    <row r="29" spans="1:100" ht="15" outlineLevel="1" thickBot="1">
      <c r="A29" t="s">
        <v>70</v>
      </c>
      <c r="B29" t="s">
        <v>558</v>
      </c>
      <c r="C29" s="74" t="s">
        <v>549</v>
      </c>
      <c r="D29" s="2"/>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Z29" s="516" t="s">
        <v>1021</v>
      </c>
      <c r="BA29"/>
      <c r="BB29" s="193"/>
      <c r="BC29" s="55"/>
      <c r="BD29" s="29">
        <f t="shared" si="9"/>
        <v>0</v>
      </c>
      <c r="BE29" s="6">
        <f>BD29/TAUXmoyen</f>
        <v>0</v>
      </c>
      <c r="BF29" s="27"/>
      <c r="CJ29" s="74" t="s">
        <v>549</v>
      </c>
      <c r="CK29" s="142">
        <f ca="1">SUM((INDIRECT(CK$9&amp;ROW()):(INDIRECT(CK$10&amp;ROW()))))</f>
        <v>0</v>
      </c>
      <c r="CL29" s="142">
        <f ca="1">SUM((INDIRECT(CL$9&amp;ROW()):(INDIRECT(CL$10&amp;ROW()))))</f>
        <v>0</v>
      </c>
      <c r="CM29" s="142">
        <f ca="1">SUM((INDIRECT(CM$9&amp;ROW()):(INDIRECT(CM$10&amp;ROW()))))</f>
        <v>0</v>
      </c>
      <c r="CN29" s="142" t="e">
        <f ca="1">SUM((INDIRECT(CN$9&amp;ROW()):(INDIRECT(CN$10&amp;ROW()))))</f>
        <v>#N/A</v>
      </c>
      <c r="CO29" s="142" t="e">
        <f ca="1">SUM((INDIRECT(CO$9&amp;ROW()):(INDIRECT(CO$10&amp;ROW()))))</f>
        <v>#N/A</v>
      </c>
      <c r="CP29" s="142" t="e">
        <f ca="1">SUM((INDIRECT(CP$9&amp;ROW()):(INDIRECT(CP$10&amp;ROW()))))</f>
        <v>#N/A</v>
      </c>
      <c r="CQ29" s="142" t="e">
        <f ca="1">SUM((INDIRECT(CQ$9&amp;ROW()):(INDIRECT(CQ$10&amp;ROW()))))</f>
        <v>#REF!</v>
      </c>
      <c r="CR29" s="142" t="e">
        <f ca="1">SUM((INDIRECT(CR$9&amp;ROW()):(INDIRECT(CR$10&amp;ROW()))))</f>
        <v>#REF!</v>
      </c>
      <c r="CT29" s="433">
        <f ca="1">SUM((INDIRECT(CT$9&amp;ROW()):(INDIRECT(CT$10&amp;ROW()))))</f>
        <v>0</v>
      </c>
      <c r="CV29" s="74"/>
    </row>
    <row r="30" spans="1:100" outlineLevel="1">
      <c r="C30" s="2"/>
      <c r="D30" s="2"/>
      <c r="E30"/>
      <c r="I30"/>
      <c r="J30"/>
      <c r="K30"/>
      <c r="L30"/>
      <c r="M30"/>
      <c r="N30"/>
      <c r="U30"/>
      <c r="V30"/>
      <c r="W30"/>
      <c r="X30"/>
      <c r="Y30"/>
      <c r="Z30"/>
      <c r="AA30"/>
      <c r="AB30"/>
      <c r="AC30"/>
      <c r="AL30"/>
      <c r="AM30"/>
      <c r="AN30"/>
      <c r="AO30"/>
      <c r="AP30"/>
      <c r="AQ30"/>
      <c r="AR30"/>
      <c r="AS30"/>
      <c r="AT30"/>
      <c r="AU30"/>
      <c r="AV30"/>
      <c r="AW30"/>
      <c r="AX30"/>
      <c r="AY30"/>
      <c r="AZ30"/>
      <c r="BA30"/>
      <c r="BB30" s="193"/>
      <c r="BC30" s="55"/>
      <c r="BD30" s="6">
        <f>SUM(BD12:BD29)</f>
        <v>80909.290322580637</v>
      </c>
      <c r="BE30" s="6">
        <f t="shared" si="10"/>
        <v>3190.5262055799685</v>
      </c>
      <c r="BF30" s="27"/>
      <c r="CT30" s="233">
        <f t="shared" ref="CT30" si="13">SUM(CL30:CP30)</f>
        <v>0</v>
      </c>
      <c r="CV30" s="2"/>
    </row>
    <row r="31" spans="1:100" ht="15.6" outlineLevel="1">
      <c r="C31" s="9" t="s">
        <v>14</v>
      </c>
      <c r="E31" s="29">
        <f t="shared" ref="E31:BA31" si="14">SUM(E12:E29)</f>
        <v>0</v>
      </c>
      <c r="F31" s="29">
        <f t="shared" si="14"/>
        <v>455</v>
      </c>
      <c r="G31" s="29">
        <f t="shared" si="14"/>
        <v>4148.2580645161288</v>
      </c>
      <c r="H31" s="29">
        <f t="shared" si="14"/>
        <v>987.25806451612902</v>
      </c>
      <c r="I31" s="29">
        <f t="shared" si="14"/>
        <v>1292.258064516129</v>
      </c>
      <c r="J31" s="29">
        <f t="shared" si="14"/>
        <v>1712.258064516129</v>
      </c>
      <c r="K31" s="29">
        <f t="shared" si="14"/>
        <v>1407.258064516129</v>
      </c>
      <c r="L31" s="29">
        <f t="shared" si="14"/>
        <v>945</v>
      </c>
      <c r="M31" s="29">
        <f t="shared" si="14"/>
        <v>2610</v>
      </c>
      <c r="N31" s="29">
        <f t="shared" si="14"/>
        <v>820</v>
      </c>
      <c r="O31" s="29">
        <f t="shared" si="14"/>
        <v>943</v>
      </c>
      <c r="P31" s="29">
        <f t="shared" si="14"/>
        <v>1037</v>
      </c>
      <c r="Q31" s="29">
        <f t="shared" si="14"/>
        <v>825</v>
      </c>
      <c r="R31" s="29">
        <f t="shared" si="14"/>
        <v>1005</v>
      </c>
      <c r="S31" s="29">
        <f t="shared" si="14"/>
        <v>1385</v>
      </c>
      <c r="T31" s="29">
        <f t="shared" si="14"/>
        <v>1195</v>
      </c>
      <c r="U31" s="29">
        <f t="shared" si="14"/>
        <v>795</v>
      </c>
      <c r="V31" s="29">
        <f t="shared" si="14"/>
        <v>950</v>
      </c>
      <c r="W31" s="29">
        <f t="shared" si="14"/>
        <v>1160</v>
      </c>
      <c r="X31" s="29">
        <f t="shared" si="14"/>
        <v>2020</v>
      </c>
      <c r="Y31" s="29">
        <f t="shared" si="14"/>
        <v>5665</v>
      </c>
      <c r="Z31" s="29">
        <f t="shared" si="14"/>
        <v>1810</v>
      </c>
      <c r="AA31" s="29">
        <f t="shared" si="14"/>
        <v>1000</v>
      </c>
      <c r="AB31" s="29">
        <f t="shared" si="14"/>
        <v>980</v>
      </c>
      <c r="AC31" s="29">
        <f t="shared" si="14"/>
        <v>2940</v>
      </c>
      <c r="AD31" s="29">
        <f t="shared" si="14"/>
        <v>930</v>
      </c>
      <c r="AE31" s="29">
        <f t="shared" si="14"/>
        <v>1465</v>
      </c>
      <c r="AF31" s="29">
        <f t="shared" si="14"/>
        <v>1465</v>
      </c>
      <c r="AG31" s="29">
        <f t="shared" si="14"/>
        <v>1093</v>
      </c>
      <c r="AH31" s="29">
        <f t="shared" si="14"/>
        <v>745</v>
      </c>
      <c r="AI31" s="29">
        <f t="shared" si="14"/>
        <v>1015</v>
      </c>
      <c r="AJ31" s="29">
        <f t="shared" si="14"/>
        <v>1165</v>
      </c>
      <c r="AK31" s="29">
        <f t="shared" si="14"/>
        <v>1705</v>
      </c>
      <c r="AL31" s="29">
        <f t="shared" si="14"/>
        <v>1335</v>
      </c>
      <c r="AM31" s="29">
        <f t="shared" si="14"/>
        <v>575</v>
      </c>
      <c r="AN31" s="29">
        <f t="shared" si="14"/>
        <v>870</v>
      </c>
      <c r="AO31" s="29">
        <f t="shared" si="14"/>
        <v>2692</v>
      </c>
      <c r="AP31" s="29">
        <f t="shared" si="14"/>
        <v>4085</v>
      </c>
      <c r="AQ31" s="29">
        <f t="shared" si="14"/>
        <v>2355</v>
      </c>
      <c r="AR31" s="29">
        <f t="shared" si="14"/>
        <v>1100</v>
      </c>
      <c r="AS31" s="29">
        <f t="shared" si="14"/>
        <v>1285</v>
      </c>
      <c r="AT31" s="29">
        <f t="shared" ref="AT31:AY31" si="15">SUM(AT12:AT29)</f>
        <v>1792</v>
      </c>
      <c r="AU31" s="29">
        <f t="shared" si="15"/>
        <v>2660</v>
      </c>
      <c r="AV31" s="29">
        <f t="shared" si="15"/>
        <v>-1105</v>
      </c>
      <c r="AW31" s="29">
        <f t="shared" si="15"/>
        <v>1665</v>
      </c>
      <c r="AX31" s="29">
        <f t="shared" si="15"/>
        <v>2790</v>
      </c>
      <c r="AY31" s="29">
        <f t="shared" si="15"/>
        <v>1860</v>
      </c>
      <c r="AZ31" s="29">
        <f t="shared" si="14"/>
        <v>9280</v>
      </c>
      <c r="BA31" s="29">
        <f t="shared" si="14"/>
        <v>0</v>
      </c>
      <c r="BB31" s="194">
        <f>SUM(BB12:BB28)</f>
        <v>0</v>
      </c>
      <c r="BC31" s="180">
        <f>SUM(BC12:BC28)</f>
        <v>0</v>
      </c>
      <c r="BD31" s="29">
        <f t="shared" ref="BD31:BD40" si="16">SUM(E31:BC31)</f>
        <v>80909.290322580637</v>
      </c>
      <c r="BE31" s="6">
        <f t="shared" si="10"/>
        <v>3190.5262055799685</v>
      </c>
      <c r="BF31" s="27"/>
      <c r="CJ31" s="4" t="str">
        <f>+A32</f>
        <v>DONG</v>
      </c>
      <c r="CK31" s="161">
        <f ca="1">SUM((INDIRECT(CK$9&amp;ROW()):(INDIRECT(CK$10&amp;ROW()))))</f>
        <v>0</v>
      </c>
      <c r="CL31" s="161">
        <f ca="1">SUM((INDIRECT(CL$9&amp;ROW()):(INDIRECT(CL$10&amp;ROW()))))</f>
        <v>39017.290322580644</v>
      </c>
      <c r="CM31" s="161">
        <f ca="1">SUM((INDIRECT(CM$9&amp;ROW()):(INDIRECT(CM$10&amp;ROW()))))</f>
        <v>41892</v>
      </c>
      <c r="CN31" s="161" t="e">
        <f ca="1">SUM((INDIRECT(CN$9&amp;ROW()):(INDIRECT(CN$10&amp;ROW()))))</f>
        <v>#N/A</v>
      </c>
      <c r="CO31" s="161" t="e">
        <f ca="1">SUM((INDIRECT(CO$9&amp;ROW()):(INDIRECT(CO$10&amp;ROW()))))</f>
        <v>#N/A</v>
      </c>
      <c r="CP31" s="161" t="e">
        <f ca="1">SUM((INDIRECT(CP$9&amp;ROW()):(INDIRECT(CP$10&amp;ROW()))))</f>
        <v>#N/A</v>
      </c>
      <c r="CQ31" s="161" t="e">
        <f ca="1">SUM((INDIRECT(CQ$9&amp;ROW()):(INDIRECT(CQ$10&amp;ROW()))))</f>
        <v>#REF!</v>
      </c>
      <c r="CR31" s="161" t="e">
        <f ca="1">SUM((INDIRECT(CR$9&amp;ROW()):(INDIRECT(CR$10&amp;ROW()))))</f>
        <v>#REF!</v>
      </c>
      <c r="CT31" s="400">
        <f ca="1">SUM((INDIRECT(CT$9&amp;ROW()):(INDIRECT(CT$10&amp;ROW()))))</f>
        <v>80909.290322580637</v>
      </c>
      <c r="CV31" s="359">
        <f ca="1">SUM(CV12:CV30)</f>
        <v>1672.3353293413174</v>
      </c>
    </row>
    <row r="32" spans="1:100">
      <c r="A32" s="44" t="s">
        <v>94</v>
      </c>
      <c r="C32" s="466" t="s">
        <v>965</v>
      </c>
      <c r="E32" s="233">
        <f t="shared" ref="E32:BA32" si="17">E31-E28-E19-E27</f>
        <v>0</v>
      </c>
      <c r="F32" s="233">
        <f t="shared" si="17"/>
        <v>0</v>
      </c>
      <c r="G32" s="233">
        <f t="shared" si="17"/>
        <v>2123.2580645161288</v>
      </c>
      <c r="H32" s="233">
        <f t="shared" si="17"/>
        <v>532.25806451612902</v>
      </c>
      <c r="I32" s="233">
        <f t="shared" si="17"/>
        <v>837.25806451612902</v>
      </c>
      <c r="J32" s="233">
        <f t="shared" si="17"/>
        <v>1257.258064516129</v>
      </c>
      <c r="K32" s="233">
        <f>K31-K28-K19-J26</f>
        <v>412.25806451612902</v>
      </c>
      <c r="L32" s="233">
        <f t="shared" si="17"/>
        <v>490</v>
      </c>
      <c r="M32" s="233">
        <f t="shared" si="17"/>
        <v>2155</v>
      </c>
      <c r="N32" s="233">
        <f t="shared" si="17"/>
        <v>365</v>
      </c>
      <c r="O32" s="233">
        <f t="shared" si="17"/>
        <v>488</v>
      </c>
      <c r="P32" s="233">
        <f t="shared" si="17"/>
        <v>582</v>
      </c>
      <c r="Q32" s="233">
        <f t="shared" si="17"/>
        <v>370</v>
      </c>
      <c r="R32" s="233">
        <f t="shared" si="17"/>
        <v>550</v>
      </c>
      <c r="S32" s="233">
        <f t="shared" si="17"/>
        <v>930</v>
      </c>
      <c r="T32" s="233">
        <f t="shared" si="17"/>
        <v>740</v>
      </c>
      <c r="U32" s="233">
        <f t="shared" si="17"/>
        <v>340</v>
      </c>
      <c r="V32" s="233">
        <f t="shared" si="17"/>
        <v>495</v>
      </c>
      <c r="W32" s="233">
        <f t="shared" si="17"/>
        <v>705</v>
      </c>
      <c r="X32" s="233">
        <f t="shared" si="17"/>
        <v>465</v>
      </c>
      <c r="Y32" s="233">
        <f t="shared" si="17"/>
        <v>2710</v>
      </c>
      <c r="Z32" s="233">
        <f t="shared" si="17"/>
        <v>1355</v>
      </c>
      <c r="AA32" s="233">
        <f t="shared" si="17"/>
        <v>545</v>
      </c>
      <c r="AB32" s="233">
        <f t="shared" si="17"/>
        <v>525</v>
      </c>
      <c r="AC32" s="233">
        <f t="shared" si="17"/>
        <v>2485</v>
      </c>
      <c r="AD32" s="233">
        <f t="shared" si="17"/>
        <v>475</v>
      </c>
      <c r="AE32" s="233">
        <f t="shared" si="17"/>
        <v>1010</v>
      </c>
      <c r="AF32" s="233">
        <f t="shared" si="17"/>
        <v>1010</v>
      </c>
      <c r="AG32" s="233">
        <f t="shared" si="17"/>
        <v>638</v>
      </c>
      <c r="AH32" s="233">
        <f t="shared" si="17"/>
        <v>290</v>
      </c>
      <c r="AI32" s="233">
        <f t="shared" si="17"/>
        <v>560</v>
      </c>
      <c r="AJ32" s="233">
        <f t="shared" si="17"/>
        <v>715</v>
      </c>
      <c r="AK32" s="233">
        <f t="shared" si="17"/>
        <v>1350</v>
      </c>
      <c r="AL32" s="233">
        <f t="shared" si="17"/>
        <v>980</v>
      </c>
      <c r="AM32" s="233">
        <f t="shared" si="17"/>
        <v>220</v>
      </c>
      <c r="AN32" s="233">
        <f t="shared" si="17"/>
        <v>515</v>
      </c>
      <c r="AO32" s="233">
        <f t="shared" si="17"/>
        <v>2337</v>
      </c>
      <c r="AP32" s="233">
        <f t="shared" si="17"/>
        <v>3730</v>
      </c>
      <c r="AQ32" s="233">
        <f t="shared" si="17"/>
        <v>2000</v>
      </c>
      <c r="AR32" s="233">
        <f t="shared" si="17"/>
        <v>745</v>
      </c>
      <c r="AS32" s="233">
        <f t="shared" si="17"/>
        <v>930</v>
      </c>
      <c r="AT32" s="233">
        <f t="shared" ref="AT32:AY32" si="18">AT31-AT28-AT19-AT27</f>
        <v>1437</v>
      </c>
      <c r="AU32" s="233">
        <f t="shared" si="18"/>
        <v>2305</v>
      </c>
      <c r="AV32" s="233">
        <f t="shared" si="18"/>
        <v>540</v>
      </c>
      <c r="AW32" s="233">
        <f t="shared" si="18"/>
        <v>1170</v>
      </c>
      <c r="AX32" s="233">
        <f t="shared" si="18"/>
        <v>2435</v>
      </c>
      <c r="AY32" s="233">
        <f t="shared" si="18"/>
        <v>1005</v>
      </c>
      <c r="AZ32" s="233">
        <f t="shared" si="17"/>
        <v>5245</v>
      </c>
      <c r="BA32" s="233">
        <f t="shared" si="17"/>
        <v>0</v>
      </c>
      <c r="BB32" s="195">
        <f>BB31-BB18</f>
        <v>0</v>
      </c>
      <c r="BC32" s="181">
        <f>BC31-BC18</f>
        <v>0</v>
      </c>
      <c r="BD32" s="465">
        <f t="shared" si="16"/>
        <v>53099.290322580644</v>
      </c>
      <c r="BE32" s="464">
        <f>BD32/TAUXmoyen</f>
        <v>2093.8841089378725</v>
      </c>
      <c r="BF32" s="27"/>
      <c r="CJ32">
        <v>0</v>
      </c>
      <c r="CK32" s="142">
        <f t="shared" ref="CK32:CP32" ca="1" si="19">+CK31/TAUXmoyen</f>
        <v>0</v>
      </c>
      <c r="CL32" s="142">
        <f t="shared" ca="1" si="19"/>
        <v>1538.5833536371169</v>
      </c>
      <c r="CM32" s="142">
        <f ca="1">+CM31/TAUXmoyen</f>
        <v>1651.9428519428518</v>
      </c>
      <c r="CN32" s="142" t="e">
        <f t="shared" ca="1" si="19"/>
        <v>#N/A</v>
      </c>
      <c r="CO32" s="142" t="e">
        <f ca="1">+CO31/TAUXmoyen</f>
        <v>#N/A</v>
      </c>
      <c r="CP32" s="142" t="e">
        <f t="shared" ca="1" si="19"/>
        <v>#N/A</v>
      </c>
      <c r="CQ32" s="142" t="e">
        <f ca="1">+CQ31/TAUXmoyen</f>
        <v>#REF!</v>
      </c>
      <c r="CR32" s="142" t="e">
        <f ca="1">+CR31/TAUXmoyen</f>
        <v>#REF!</v>
      </c>
      <c r="CT32" s="28">
        <f ca="1">SUM((INDIRECT(CT$9&amp;ROW()):(INDIRECT(CT$10&amp;ROW()))))</f>
        <v>53099.290322580644</v>
      </c>
    </row>
    <row r="33" spans="1:98">
      <c r="A33" s="44"/>
      <c r="C33" s="4" t="s">
        <v>964</v>
      </c>
      <c r="E33" s="29"/>
      <c r="F33" s="233">
        <f t="shared" ref="F33:BA33" si="20">+SUM(F12:F18)</f>
        <v>0</v>
      </c>
      <c r="G33" s="233">
        <f t="shared" si="20"/>
        <v>1573.258064516129</v>
      </c>
      <c r="H33" s="233">
        <f t="shared" si="20"/>
        <v>532.25806451612902</v>
      </c>
      <c r="I33" s="233">
        <f t="shared" si="20"/>
        <v>837.25806451612902</v>
      </c>
      <c r="J33" s="233">
        <f t="shared" si="20"/>
        <v>717.25806451612902</v>
      </c>
      <c r="K33" s="233">
        <f t="shared" si="20"/>
        <v>652.25806451612902</v>
      </c>
      <c r="L33" s="233">
        <f t="shared" si="20"/>
        <v>490</v>
      </c>
      <c r="M33" s="233">
        <f t="shared" si="20"/>
        <v>655</v>
      </c>
      <c r="N33" s="233">
        <f t="shared" si="20"/>
        <v>215</v>
      </c>
      <c r="O33" s="233">
        <f t="shared" si="20"/>
        <v>488</v>
      </c>
      <c r="P33" s="233">
        <f t="shared" si="20"/>
        <v>582</v>
      </c>
      <c r="Q33" s="233">
        <f t="shared" si="20"/>
        <v>370</v>
      </c>
      <c r="R33" s="233">
        <f t="shared" si="20"/>
        <v>550</v>
      </c>
      <c r="S33" s="233">
        <f t="shared" si="20"/>
        <v>930</v>
      </c>
      <c r="T33" s="233">
        <f t="shared" si="20"/>
        <v>740</v>
      </c>
      <c r="U33" s="233">
        <f t="shared" si="20"/>
        <v>340</v>
      </c>
      <c r="V33" s="233">
        <f t="shared" si="20"/>
        <v>495</v>
      </c>
      <c r="W33" s="233">
        <f t="shared" si="20"/>
        <v>705</v>
      </c>
      <c r="X33" s="233">
        <f t="shared" si="20"/>
        <v>465</v>
      </c>
      <c r="Y33" s="233">
        <f t="shared" si="20"/>
        <v>610</v>
      </c>
      <c r="Z33" s="233">
        <f t="shared" si="20"/>
        <v>655</v>
      </c>
      <c r="AA33" s="233">
        <f t="shared" si="20"/>
        <v>545</v>
      </c>
      <c r="AB33" s="233">
        <f t="shared" si="20"/>
        <v>525</v>
      </c>
      <c r="AC33" s="233">
        <f t="shared" si="20"/>
        <v>545</v>
      </c>
      <c r="AD33" s="233">
        <f t="shared" si="20"/>
        <v>475</v>
      </c>
      <c r="AE33" s="233">
        <f t="shared" si="20"/>
        <v>1010</v>
      </c>
      <c r="AF33" s="233">
        <f t="shared" si="20"/>
        <v>910</v>
      </c>
      <c r="AG33" s="233">
        <f t="shared" si="20"/>
        <v>488</v>
      </c>
      <c r="AH33" s="233">
        <f t="shared" si="20"/>
        <v>290</v>
      </c>
      <c r="AI33" s="233">
        <f t="shared" si="20"/>
        <v>560</v>
      </c>
      <c r="AJ33" s="233">
        <f t="shared" si="20"/>
        <v>715</v>
      </c>
      <c r="AK33" s="233">
        <f t="shared" si="20"/>
        <v>885</v>
      </c>
      <c r="AL33" s="233">
        <f t="shared" si="20"/>
        <v>980</v>
      </c>
      <c r="AM33" s="233">
        <f t="shared" si="20"/>
        <v>220</v>
      </c>
      <c r="AN33" s="233">
        <f t="shared" si="20"/>
        <v>515</v>
      </c>
      <c r="AO33" s="233">
        <f t="shared" si="20"/>
        <v>1417</v>
      </c>
      <c r="AP33" s="233">
        <f t="shared" si="20"/>
        <v>870</v>
      </c>
      <c r="AQ33" s="233">
        <f t="shared" si="20"/>
        <v>800</v>
      </c>
      <c r="AR33" s="233">
        <f t="shared" si="20"/>
        <v>745</v>
      </c>
      <c r="AS33" s="233">
        <f t="shared" si="20"/>
        <v>780</v>
      </c>
      <c r="AT33" s="233">
        <f t="shared" ref="AT33:AY33" si="21">+SUM(AT12:AT18)</f>
        <v>837</v>
      </c>
      <c r="AU33" s="233">
        <f t="shared" si="21"/>
        <v>2305</v>
      </c>
      <c r="AV33" s="233">
        <f t="shared" si="21"/>
        <v>540</v>
      </c>
      <c r="AW33" s="233">
        <f t="shared" si="21"/>
        <v>730</v>
      </c>
      <c r="AX33" s="233">
        <f t="shared" si="21"/>
        <v>935</v>
      </c>
      <c r="AY33" s="233">
        <f t="shared" si="21"/>
        <v>805</v>
      </c>
      <c r="AZ33" s="233">
        <f t="shared" si="20"/>
        <v>1245</v>
      </c>
      <c r="BA33" s="233">
        <f t="shared" si="20"/>
        <v>0</v>
      </c>
      <c r="BB33" s="194"/>
      <c r="BC33" s="180"/>
      <c r="BD33" s="465">
        <f t="shared" si="16"/>
        <v>33274.290322580644</v>
      </c>
      <c r="BE33" s="464">
        <f>BD33/TAUXmoyen</f>
        <v>1312.1174938379238</v>
      </c>
      <c r="BF33" s="27"/>
      <c r="CJ33" s="9">
        <v>0</v>
      </c>
      <c r="CK33" s="118" t="str">
        <f>+CK$11</f>
        <v>France</v>
      </c>
      <c r="CL33" s="118" t="str">
        <f>CL$11&amp;" "&amp;CL8&amp;" jrs"</f>
        <v>JUIN 25 jrs</v>
      </c>
      <c r="CM33" s="118" t="str">
        <f>CM$11&amp;" "&amp;CM8&amp;" jrs"</f>
        <v>JUIL 22 jrs</v>
      </c>
      <c r="CN33" s="118" t="e">
        <f>CN$11&amp;" "&amp;CN8&amp;" jrs"</f>
        <v>#N/A</v>
      </c>
      <c r="CO33" s="118" t="e">
        <f>CO$11&amp;" "&amp;CO8&amp;" jrs"</f>
        <v>#N/A</v>
      </c>
      <c r="CP33" s="118" t="e">
        <f>CP$11&amp;" "&amp;CP8&amp;" jrs"</f>
        <v>#N/A</v>
      </c>
      <c r="CQ33" s="118" t="str">
        <f>+CQ$11</f>
        <v>SEPT</v>
      </c>
      <c r="CR33" s="118" t="str">
        <f>+CR$11</f>
        <v>OCT</v>
      </c>
    </row>
    <row r="34" spans="1:98" outlineLevel="1">
      <c r="A34" t="s">
        <v>70</v>
      </c>
      <c r="C34" s="2" t="s">
        <v>328</v>
      </c>
      <c r="E34" s="142">
        <f>SUMIF($B$12:$B$27,$C34,E$12:E$27)</f>
        <v>0</v>
      </c>
      <c r="F34" s="142">
        <f t="shared" ref="F34:U39" si="22">SUMIF($B$12:$B$29,$C34,F$12:F$29)</f>
        <v>0</v>
      </c>
      <c r="G34" s="142">
        <f t="shared" si="22"/>
        <v>1051</v>
      </c>
      <c r="H34" s="142">
        <f t="shared" si="22"/>
        <v>450</v>
      </c>
      <c r="I34" s="142">
        <f t="shared" si="22"/>
        <v>730</v>
      </c>
      <c r="J34" s="142">
        <f t="shared" si="22"/>
        <v>680</v>
      </c>
      <c r="K34" s="142">
        <f t="shared" si="22"/>
        <v>620</v>
      </c>
      <c r="L34" s="142">
        <f t="shared" si="22"/>
        <v>480</v>
      </c>
      <c r="M34" s="142">
        <f t="shared" si="22"/>
        <v>655</v>
      </c>
      <c r="N34" s="142">
        <f t="shared" si="22"/>
        <v>215</v>
      </c>
      <c r="O34" s="142">
        <f t="shared" si="22"/>
        <v>488</v>
      </c>
      <c r="P34" s="142">
        <f t="shared" si="22"/>
        <v>582</v>
      </c>
      <c r="Q34" s="142">
        <f t="shared" si="22"/>
        <v>360</v>
      </c>
      <c r="R34" s="142">
        <f t="shared" si="22"/>
        <v>550</v>
      </c>
      <c r="S34" s="142">
        <f t="shared" si="22"/>
        <v>930</v>
      </c>
      <c r="T34" s="142">
        <f t="shared" si="22"/>
        <v>740</v>
      </c>
      <c r="U34" s="142">
        <f t="shared" si="22"/>
        <v>180</v>
      </c>
      <c r="V34" s="142">
        <f t="shared" ref="V34:AL39" si="23">SUMIF($B$12:$B$29,$C34,V$12:V$29)</f>
        <v>495</v>
      </c>
      <c r="W34" s="142">
        <f t="shared" si="23"/>
        <v>705</v>
      </c>
      <c r="X34" s="142">
        <f t="shared" si="23"/>
        <v>465</v>
      </c>
      <c r="Y34" s="142">
        <f t="shared" si="23"/>
        <v>410</v>
      </c>
      <c r="Z34" s="142">
        <f t="shared" si="23"/>
        <v>555</v>
      </c>
      <c r="AA34" s="142">
        <f t="shared" si="23"/>
        <v>465</v>
      </c>
      <c r="AB34" s="142">
        <f t="shared" si="23"/>
        <v>525</v>
      </c>
      <c r="AC34" s="142">
        <f t="shared" si="23"/>
        <v>445</v>
      </c>
      <c r="AD34" s="142">
        <f t="shared" si="23"/>
        <v>475</v>
      </c>
      <c r="AE34" s="142">
        <f t="shared" si="23"/>
        <v>1010</v>
      </c>
      <c r="AF34" s="142">
        <f t="shared" si="23"/>
        <v>800</v>
      </c>
      <c r="AG34" s="142">
        <f t="shared" si="23"/>
        <v>488</v>
      </c>
      <c r="AH34" s="142">
        <f t="shared" si="23"/>
        <v>215</v>
      </c>
      <c r="AI34" s="142">
        <f t="shared" si="23"/>
        <v>560</v>
      </c>
      <c r="AJ34" s="142">
        <f t="shared" si="23"/>
        <v>715</v>
      </c>
      <c r="AK34" s="142">
        <f t="shared" si="23"/>
        <v>885</v>
      </c>
      <c r="AL34" s="142">
        <f t="shared" si="23"/>
        <v>980</v>
      </c>
      <c r="AM34" s="142">
        <f t="shared" ref="AM34:BA39" si="24">SUMIF($B$12:$B$29,$C34,AM$12:AM$29)</f>
        <v>220</v>
      </c>
      <c r="AN34" s="142">
        <f t="shared" si="24"/>
        <v>445</v>
      </c>
      <c r="AO34" s="142">
        <f t="shared" si="24"/>
        <v>1287</v>
      </c>
      <c r="AP34" s="142">
        <f t="shared" si="24"/>
        <v>730</v>
      </c>
      <c r="AQ34" s="142">
        <f t="shared" si="24"/>
        <v>800</v>
      </c>
      <c r="AR34" s="142">
        <f t="shared" si="24"/>
        <v>745</v>
      </c>
      <c r="AS34" s="142">
        <f t="shared" si="24"/>
        <v>720</v>
      </c>
      <c r="AT34" s="142">
        <f t="shared" si="24"/>
        <v>837</v>
      </c>
      <c r="AU34" s="142">
        <f t="shared" si="24"/>
        <v>2205</v>
      </c>
      <c r="AV34" s="142">
        <f t="shared" si="24"/>
        <v>210</v>
      </c>
      <c r="AW34" s="142">
        <f t="shared" si="24"/>
        <v>730</v>
      </c>
      <c r="AX34" s="142">
        <f t="shared" si="24"/>
        <v>865</v>
      </c>
      <c r="AY34" s="142">
        <f t="shared" si="24"/>
        <v>775</v>
      </c>
      <c r="AZ34" s="142">
        <f t="shared" si="24"/>
        <v>975</v>
      </c>
      <c r="BA34" s="142">
        <f t="shared" si="24"/>
        <v>0</v>
      </c>
      <c r="BB34" s="282"/>
      <c r="BC34" s="283"/>
      <c r="BD34" s="29">
        <f t="shared" si="16"/>
        <v>30448</v>
      </c>
      <c r="BE34" s="6">
        <f t="shared" ref="BE34:BE39" si="25">BD34/TAUXmoyen</f>
        <v>1200.6673340006673</v>
      </c>
      <c r="CJ34" t="s">
        <v>328</v>
      </c>
      <c r="CK34" s="142">
        <f ca="1">SUM((INDIRECT(CK$9&amp;ROW()):(INDIRECT(CK$10&amp;ROW()))))</f>
        <v>0</v>
      </c>
      <c r="CL34" s="142">
        <f ca="1">SUM((INDIRECT(CL$9&amp;ROW()):(INDIRECT(CL$10&amp;ROW()))))</f>
        <v>13251</v>
      </c>
      <c r="CM34" s="142">
        <f ca="1">SUM((INDIRECT(CM$9&amp;ROW()):(INDIRECT(CM$10&amp;ROW()))))</f>
        <v>17197</v>
      </c>
      <c r="CN34" s="142" t="e">
        <f ca="1">SUM((INDIRECT(CN$9&amp;ROW()):(INDIRECT(CN$10&amp;ROW()))))</f>
        <v>#N/A</v>
      </c>
      <c r="CO34" s="142" t="e">
        <f ca="1">SUM((INDIRECT(CO$9&amp;ROW()):(INDIRECT(CO$10&amp;ROW()))))</f>
        <v>#N/A</v>
      </c>
      <c r="CP34" s="142" t="e">
        <f ca="1">SUM((INDIRECT(CP$9&amp;ROW()):(INDIRECT(CP$10&amp;ROW()))))</f>
        <v>#N/A</v>
      </c>
      <c r="CT34" s="419">
        <f ca="1">SUM((INDIRECT(CT$9&amp;ROW()):(INDIRECT(CT$10&amp;ROW()))))</f>
        <v>30448</v>
      </c>
    </row>
    <row r="35" spans="1:98" outlineLevel="1">
      <c r="A35" t="s">
        <v>70</v>
      </c>
      <c r="C35" s="2" t="s">
        <v>559</v>
      </c>
      <c r="E35" s="142">
        <f>SUMIF($B$12:$B$27,$C35,E$12:E$27)</f>
        <v>0</v>
      </c>
      <c r="F35" s="142">
        <f t="shared" si="22"/>
        <v>455</v>
      </c>
      <c r="G35" s="142">
        <f t="shared" si="22"/>
        <v>977.25806451612902</v>
      </c>
      <c r="H35" s="142">
        <f t="shared" si="22"/>
        <v>537.25806451612902</v>
      </c>
      <c r="I35" s="142">
        <f t="shared" si="22"/>
        <v>562.25806451612902</v>
      </c>
      <c r="J35" s="142">
        <f t="shared" si="22"/>
        <v>492.25806451612902</v>
      </c>
      <c r="K35" s="142">
        <f t="shared" si="22"/>
        <v>487.25806451612902</v>
      </c>
      <c r="L35" s="142">
        <f t="shared" si="22"/>
        <v>465</v>
      </c>
      <c r="M35" s="142">
        <f t="shared" si="22"/>
        <v>455</v>
      </c>
      <c r="N35" s="142">
        <f t="shared" si="22"/>
        <v>455</v>
      </c>
      <c r="O35" s="142">
        <f t="shared" si="22"/>
        <v>455</v>
      </c>
      <c r="P35" s="142">
        <f t="shared" si="22"/>
        <v>455</v>
      </c>
      <c r="Q35" s="142">
        <f t="shared" si="22"/>
        <v>465</v>
      </c>
      <c r="R35" s="142">
        <f t="shared" si="22"/>
        <v>455</v>
      </c>
      <c r="S35" s="142">
        <f t="shared" si="22"/>
        <v>455</v>
      </c>
      <c r="T35" s="142">
        <f t="shared" si="22"/>
        <v>455</v>
      </c>
      <c r="U35" s="142">
        <f t="shared" si="22"/>
        <v>615</v>
      </c>
      <c r="V35" s="142">
        <f t="shared" si="23"/>
        <v>455</v>
      </c>
      <c r="W35" s="142">
        <f t="shared" si="23"/>
        <v>455</v>
      </c>
      <c r="X35" s="142">
        <f t="shared" si="23"/>
        <v>455</v>
      </c>
      <c r="Y35" s="142">
        <f t="shared" si="23"/>
        <v>655</v>
      </c>
      <c r="Z35" s="142">
        <f t="shared" si="23"/>
        <v>555</v>
      </c>
      <c r="AA35" s="142">
        <f t="shared" si="23"/>
        <v>535</v>
      </c>
      <c r="AB35" s="142">
        <f t="shared" si="23"/>
        <v>455</v>
      </c>
      <c r="AC35" s="142">
        <f t="shared" si="23"/>
        <v>555</v>
      </c>
      <c r="AD35" s="142">
        <f t="shared" si="23"/>
        <v>455</v>
      </c>
      <c r="AE35" s="142">
        <f t="shared" si="23"/>
        <v>455</v>
      </c>
      <c r="AF35" s="142">
        <f t="shared" si="23"/>
        <v>565</v>
      </c>
      <c r="AG35" s="142">
        <f t="shared" si="23"/>
        <v>455</v>
      </c>
      <c r="AH35" s="142">
        <f t="shared" si="23"/>
        <v>530</v>
      </c>
      <c r="AI35" s="142">
        <f t="shared" si="23"/>
        <v>455</v>
      </c>
      <c r="AJ35" s="142">
        <f t="shared" si="23"/>
        <v>450</v>
      </c>
      <c r="AK35" s="142">
        <f t="shared" si="23"/>
        <v>355</v>
      </c>
      <c r="AL35" s="142">
        <f t="shared" si="23"/>
        <v>355</v>
      </c>
      <c r="AM35" s="142">
        <f t="shared" si="24"/>
        <v>355</v>
      </c>
      <c r="AN35" s="142">
        <f t="shared" si="24"/>
        <v>425</v>
      </c>
      <c r="AO35" s="142">
        <f t="shared" si="24"/>
        <v>485</v>
      </c>
      <c r="AP35" s="142">
        <f t="shared" si="24"/>
        <v>495</v>
      </c>
      <c r="AQ35" s="142">
        <f t="shared" si="24"/>
        <v>355</v>
      </c>
      <c r="AR35" s="142">
        <f t="shared" si="24"/>
        <v>355</v>
      </c>
      <c r="AS35" s="142">
        <f t="shared" si="24"/>
        <v>415</v>
      </c>
      <c r="AT35" s="142">
        <f t="shared" si="24"/>
        <v>355</v>
      </c>
      <c r="AU35" s="142">
        <f t="shared" si="24"/>
        <v>455</v>
      </c>
      <c r="AV35" s="142">
        <f t="shared" si="24"/>
        <v>685</v>
      </c>
      <c r="AW35" s="142">
        <f t="shared" si="24"/>
        <v>355</v>
      </c>
      <c r="AX35" s="142">
        <f t="shared" si="24"/>
        <v>425</v>
      </c>
      <c r="AY35" s="142">
        <f t="shared" si="24"/>
        <v>385</v>
      </c>
      <c r="AZ35" s="142">
        <f t="shared" si="24"/>
        <v>1705</v>
      </c>
      <c r="BA35" s="142">
        <f t="shared" si="24"/>
        <v>0</v>
      </c>
      <c r="BB35" s="282">
        <f t="shared" ref="BB35:BC39" si="26">SUMIF($B$12:$B$27,$C35,BB$12:BB$27)</f>
        <v>0</v>
      </c>
      <c r="BC35" s="283">
        <f t="shared" si="26"/>
        <v>0</v>
      </c>
      <c r="BD35" s="29">
        <f t="shared" si="16"/>
        <v>23686.290322580644</v>
      </c>
      <c r="BE35" s="6">
        <f t="shared" si="25"/>
        <v>934.03031575074579</v>
      </c>
      <c r="CJ35" t="s">
        <v>559</v>
      </c>
      <c r="CK35" s="142">
        <f ca="1">SUM((INDIRECT(CK$9&amp;ROW()):(INDIRECT(CK$10&amp;ROW()))))</f>
        <v>0</v>
      </c>
      <c r="CL35" s="142">
        <f ca="1">SUM((INDIRECT(CL$9&amp;ROW()):(INDIRECT(CL$10&amp;ROW()))))</f>
        <v>12816.290322580644</v>
      </c>
      <c r="CM35" s="142">
        <f ca="1">SUM((INDIRECT(CM$9&amp;ROW()):(INDIRECT(CM$10&amp;ROW()))))</f>
        <v>10870</v>
      </c>
      <c r="CN35" s="142" t="e">
        <f ca="1">SUM((INDIRECT(CN$9&amp;ROW()):(INDIRECT(CN$10&amp;ROW()))))</f>
        <v>#N/A</v>
      </c>
      <c r="CO35" s="142" t="e">
        <f ca="1">SUM((INDIRECT(CO$9&amp;ROW()):(INDIRECT(CO$10&amp;ROW()))))</f>
        <v>#N/A</v>
      </c>
      <c r="CP35" s="142" t="e">
        <f ca="1">SUM((INDIRECT(CP$9&amp;ROW()):(INDIRECT(CP$10&amp;ROW()))))</f>
        <v>#N/A</v>
      </c>
      <c r="CQ35" s="142" t="e">
        <f ca="1">SUM((INDIRECT(CQ$9&amp;ROW()):(INDIRECT(CQ$10&amp;ROW()))))</f>
        <v>#REF!</v>
      </c>
      <c r="CR35" s="142" t="e">
        <f ca="1">SUM((INDIRECT(CR$9&amp;ROW()):(INDIRECT(CR$10&amp;ROW()))))</f>
        <v>#REF!</v>
      </c>
      <c r="CT35" s="419">
        <f ca="1">SUM((INDIRECT(CT$9&amp;ROW()):(INDIRECT(CT$10&amp;ROW()))))</f>
        <v>23686.290322580644</v>
      </c>
    </row>
    <row r="36" spans="1:98" outlineLevel="1">
      <c r="A36" t="s">
        <v>70</v>
      </c>
      <c r="C36" s="2" t="s">
        <v>23</v>
      </c>
      <c r="E36" s="142">
        <f>SUMIF($B$12:$B$27,$C36,E$12:E$27)</f>
        <v>0</v>
      </c>
      <c r="F36" s="142">
        <f t="shared" si="22"/>
        <v>0</v>
      </c>
      <c r="G36" s="142">
        <f t="shared" si="22"/>
        <v>0</v>
      </c>
      <c r="H36" s="142">
        <f t="shared" si="22"/>
        <v>0</v>
      </c>
      <c r="I36" s="142">
        <f t="shared" si="22"/>
        <v>0</v>
      </c>
      <c r="J36" s="142">
        <f t="shared" si="22"/>
        <v>0</v>
      </c>
      <c r="K36" s="142">
        <f t="shared" si="22"/>
        <v>0</v>
      </c>
      <c r="L36" s="142">
        <f t="shared" si="22"/>
        <v>0</v>
      </c>
      <c r="M36" s="142">
        <f t="shared" si="22"/>
        <v>0</v>
      </c>
      <c r="N36" s="142">
        <f t="shared" si="22"/>
        <v>150</v>
      </c>
      <c r="O36" s="142">
        <f t="shared" si="22"/>
        <v>0</v>
      </c>
      <c r="P36" s="142">
        <f t="shared" si="22"/>
        <v>0</v>
      </c>
      <c r="Q36" s="142">
        <f t="shared" si="22"/>
        <v>0</v>
      </c>
      <c r="R36" s="142">
        <f t="shared" si="22"/>
        <v>0</v>
      </c>
      <c r="S36" s="142">
        <f t="shared" si="22"/>
        <v>0</v>
      </c>
      <c r="T36" s="142">
        <f t="shared" si="22"/>
        <v>0</v>
      </c>
      <c r="U36" s="142">
        <f t="shared" si="22"/>
        <v>0</v>
      </c>
      <c r="V36" s="142">
        <f t="shared" si="23"/>
        <v>0</v>
      </c>
      <c r="W36" s="142">
        <f t="shared" si="23"/>
        <v>0</v>
      </c>
      <c r="X36" s="142">
        <f t="shared" si="23"/>
        <v>0</v>
      </c>
      <c r="Y36" s="142">
        <f t="shared" si="23"/>
        <v>2100</v>
      </c>
      <c r="Z36" s="142">
        <f t="shared" si="23"/>
        <v>0</v>
      </c>
      <c r="AA36" s="142">
        <f t="shared" si="23"/>
        <v>0</v>
      </c>
      <c r="AB36" s="142">
        <f t="shared" si="23"/>
        <v>0</v>
      </c>
      <c r="AC36" s="142">
        <f t="shared" si="23"/>
        <v>840</v>
      </c>
      <c r="AD36" s="142">
        <f t="shared" si="23"/>
        <v>0</v>
      </c>
      <c r="AE36" s="142">
        <f t="shared" si="23"/>
        <v>0</v>
      </c>
      <c r="AF36" s="142">
        <f t="shared" si="23"/>
        <v>0</v>
      </c>
      <c r="AG36" s="142">
        <f t="shared" si="23"/>
        <v>0</v>
      </c>
      <c r="AH36" s="142">
        <f t="shared" si="23"/>
        <v>0</v>
      </c>
      <c r="AI36" s="142">
        <f t="shared" si="23"/>
        <v>0</v>
      </c>
      <c r="AJ36" s="142">
        <f t="shared" si="23"/>
        <v>0</v>
      </c>
      <c r="AK36" s="142">
        <f t="shared" si="23"/>
        <v>0</v>
      </c>
      <c r="AL36" s="142">
        <f t="shared" si="23"/>
        <v>0</v>
      </c>
      <c r="AM36" s="142">
        <f t="shared" si="24"/>
        <v>0</v>
      </c>
      <c r="AN36" s="142">
        <f t="shared" si="24"/>
        <v>0</v>
      </c>
      <c r="AO36" s="142">
        <f t="shared" si="24"/>
        <v>360</v>
      </c>
      <c r="AP36" s="142">
        <f t="shared" si="24"/>
        <v>2300</v>
      </c>
      <c r="AQ36" s="142">
        <f t="shared" si="24"/>
        <v>0</v>
      </c>
      <c r="AR36" s="142">
        <f t="shared" si="24"/>
        <v>0</v>
      </c>
      <c r="AS36" s="142">
        <f t="shared" si="24"/>
        <v>0</v>
      </c>
      <c r="AT36" s="142">
        <f t="shared" si="24"/>
        <v>600</v>
      </c>
      <c r="AU36" s="142">
        <f t="shared" si="24"/>
        <v>0</v>
      </c>
      <c r="AV36" s="142">
        <f t="shared" si="24"/>
        <v>0</v>
      </c>
      <c r="AW36" s="142">
        <f t="shared" si="24"/>
        <v>200</v>
      </c>
      <c r="AX36" s="142">
        <f t="shared" si="24"/>
        <v>0</v>
      </c>
      <c r="AY36" s="142">
        <f t="shared" si="24"/>
        <v>0</v>
      </c>
      <c r="AZ36" s="142">
        <f t="shared" si="24"/>
        <v>4000</v>
      </c>
      <c r="BA36" s="142">
        <f t="shared" si="24"/>
        <v>0</v>
      </c>
      <c r="BB36" s="282">
        <f t="shared" si="26"/>
        <v>0</v>
      </c>
      <c r="BC36" s="283">
        <f t="shared" si="26"/>
        <v>0</v>
      </c>
      <c r="BD36" s="29">
        <f t="shared" si="16"/>
        <v>10550</v>
      </c>
      <c r="BE36" s="6">
        <f t="shared" si="25"/>
        <v>416.02208268874932</v>
      </c>
      <c r="CJ36" t="s">
        <v>23</v>
      </c>
      <c r="CK36" s="142">
        <f ca="1">SUM((INDIRECT(CK$9&amp;ROW()):(INDIRECT(CK$10&amp;ROW()))))</f>
        <v>0</v>
      </c>
      <c r="CL36" s="142">
        <f ca="1">SUM((INDIRECT(CL$9&amp;ROW()):(INDIRECT(CL$10&amp;ROW()))))</f>
        <v>3090</v>
      </c>
      <c r="CM36" s="142">
        <f ca="1">SUM((INDIRECT(CM$9&amp;ROW()):(INDIRECT(CM$10&amp;ROW()))))</f>
        <v>7460</v>
      </c>
      <c r="CN36" s="142" t="e">
        <f ca="1">SUM((INDIRECT(CN$9&amp;ROW()):(INDIRECT(CN$10&amp;ROW()))))</f>
        <v>#N/A</v>
      </c>
      <c r="CO36" s="142" t="e">
        <f ca="1">SUM((INDIRECT(CO$9&amp;ROW()):(INDIRECT(CO$10&amp;ROW()))))</f>
        <v>#N/A</v>
      </c>
      <c r="CP36" s="142" t="e">
        <f ca="1">SUM((INDIRECT(CP$9&amp;ROW()):(INDIRECT(CP$10&amp;ROW()))))</f>
        <v>#N/A</v>
      </c>
      <c r="CQ36" s="142" t="e">
        <f ca="1">SUM((INDIRECT(CQ$9&amp;ROW()):(INDIRECT(CQ$10&amp;ROW()))))</f>
        <v>#REF!</v>
      </c>
      <c r="CR36" s="142" t="e">
        <f ca="1">SUM((INDIRECT(CR$9&amp;ROW()):(INDIRECT(CR$10&amp;ROW()))))</f>
        <v>#REF!</v>
      </c>
      <c r="CT36" s="419">
        <f ca="1">SUM((INDIRECT(CT$9&amp;ROW()):(INDIRECT(CT$10&amp;ROW()))))</f>
        <v>10550</v>
      </c>
    </row>
    <row r="37" spans="1:98" outlineLevel="1">
      <c r="A37" t="s">
        <v>70</v>
      </c>
      <c r="C37" s="2" t="s">
        <v>25</v>
      </c>
      <c r="E37" s="142">
        <f>SUMIF($B$12:$B$27,$C37,E$12:E$27)</f>
        <v>0</v>
      </c>
      <c r="F37" s="142">
        <f>SUMIF($B$12:$B$29,$C37,F$12:F$29)</f>
        <v>0</v>
      </c>
      <c r="G37" s="142">
        <f t="shared" si="22"/>
        <v>350</v>
      </c>
      <c r="H37" s="142">
        <f t="shared" si="22"/>
        <v>0</v>
      </c>
      <c r="I37" s="142">
        <f t="shared" si="22"/>
        <v>0</v>
      </c>
      <c r="J37" s="142">
        <f t="shared" si="22"/>
        <v>0</v>
      </c>
      <c r="K37" s="142">
        <f t="shared" si="22"/>
        <v>0</v>
      </c>
      <c r="L37" s="142">
        <f t="shared" si="22"/>
        <v>0</v>
      </c>
      <c r="M37" s="142">
        <f t="shared" si="22"/>
        <v>0</v>
      </c>
      <c r="N37" s="142">
        <f t="shared" si="22"/>
        <v>0</v>
      </c>
      <c r="O37" s="142">
        <f t="shared" si="22"/>
        <v>0</v>
      </c>
      <c r="P37" s="142">
        <f t="shared" si="22"/>
        <v>0</v>
      </c>
      <c r="Q37" s="142">
        <f t="shared" si="22"/>
        <v>0</v>
      </c>
      <c r="R37" s="142">
        <f t="shared" si="22"/>
        <v>0</v>
      </c>
      <c r="S37" s="142">
        <f t="shared" si="22"/>
        <v>0</v>
      </c>
      <c r="T37" s="142">
        <f t="shared" si="22"/>
        <v>0</v>
      </c>
      <c r="U37" s="142">
        <f t="shared" si="22"/>
        <v>0</v>
      </c>
      <c r="V37" s="142">
        <f t="shared" si="23"/>
        <v>0</v>
      </c>
      <c r="W37" s="142">
        <f t="shared" si="23"/>
        <v>0</v>
      </c>
      <c r="X37" s="142">
        <f t="shared" si="23"/>
        <v>0</v>
      </c>
      <c r="Y37" s="142">
        <f t="shared" si="23"/>
        <v>0</v>
      </c>
      <c r="Z37" s="142">
        <f t="shared" si="23"/>
        <v>0</v>
      </c>
      <c r="AA37" s="142">
        <f t="shared" si="23"/>
        <v>0</v>
      </c>
      <c r="AB37" s="142">
        <f t="shared" si="23"/>
        <v>0</v>
      </c>
      <c r="AC37" s="142">
        <f t="shared" si="23"/>
        <v>1100</v>
      </c>
      <c r="AD37" s="142">
        <f t="shared" si="23"/>
        <v>0</v>
      </c>
      <c r="AE37" s="142">
        <f t="shared" si="23"/>
        <v>0</v>
      </c>
      <c r="AF37" s="142">
        <f t="shared" si="23"/>
        <v>0</v>
      </c>
      <c r="AG37" s="142">
        <f t="shared" si="23"/>
        <v>0</v>
      </c>
      <c r="AH37" s="142">
        <f t="shared" si="23"/>
        <v>0</v>
      </c>
      <c r="AI37" s="142">
        <f t="shared" si="23"/>
        <v>0</v>
      </c>
      <c r="AJ37" s="142">
        <f t="shared" si="23"/>
        <v>0</v>
      </c>
      <c r="AK37" s="142">
        <f t="shared" si="23"/>
        <v>0</v>
      </c>
      <c r="AL37" s="142">
        <f t="shared" si="23"/>
        <v>0</v>
      </c>
      <c r="AM37" s="142">
        <f t="shared" si="24"/>
        <v>0</v>
      </c>
      <c r="AN37" s="142">
        <f t="shared" si="24"/>
        <v>0</v>
      </c>
      <c r="AO37" s="142">
        <f t="shared" si="24"/>
        <v>560</v>
      </c>
      <c r="AP37" s="142">
        <f t="shared" si="24"/>
        <v>560</v>
      </c>
      <c r="AQ37" s="142">
        <f t="shared" si="24"/>
        <v>0</v>
      </c>
      <c r="AR37" s="142">
        <f t="shared" si="24"/>
        <v>0</v>
      </c>
      <c r="AS37" s="142">
        <f t="shared" si="24"/>
        <v>0</v>
      </c>
      <c r="AT37" s="142">
        <f t="shared" si="24"/>
        <v>0</v>
      </c>
      <c r="AU37" s="142">
        <f t="shared" si="24"/>
        <v>0</v>
      </c>
      <c r="AV37" s="142">
        <f t="shared" si="24"/>
        <v>0</v>
      </c>
      <c r="AW37" s="142">
        <f t="shared" si="24"/>
        <v>0</v>
      </c>
      <c r="AX37" s="142">
        <f t="shared" si="24"/>
        <v>0</v>
      </c>
      <c r="AY37" s="142">
        <f t="shared" si="24"/>
        <v>0</v>
      </c>
      <c r="AZ37" s="142">
        <f t="shared" si="24"/>
        <v>0</v>
      </c>
      <c r="BA37" s="142">
        <f t="shared" si="24"/>
        <v>0</v>
      </c>
      <c r="BB37" s="282">
        <f t="shared" si="26"/>
        <v>0</v>
      </c>
      <c r="BC37" s="283">
        <f t="shared" si="26"/>
        <v>0</v>
      </c>
      <c r="BD37" s="29">
        <f t="shared" si="16"/>
        <v>2570</v>
      </c>
      <c r="BE37" s="6">
        <f t="shared" si="25"/>
        <v>101.34376801043467</v>
      </c>
      <c r="CJ37" t="s">
        <v>25</v>
      </c>
      <c r="CK37" s="286">
        <f ca="1">SUM((INDIRECT(CK$9&amp;ROW()):(INDIRECT(CK$10&amp;ROW()))))</f>
        <v>0</v>
      </c>
      <c r="CL37" s="142">
        <f ca="1">SUM((INDIRECT(CL$9&amp;ROW()):(INDIRECT(CL$10&amp;ROW()))))</f>
        <v>1450</v>
      </c>
      <c r="CM37" s="142">
        <f ca="1">SUM((INDIRECT(CM$9&amp;ROW()):(INDIRECT(CM$10&amp;ROW()))))</f>
        <v>1120</v>
      </c>
      <c r="CN37" s="142" t="e">
        <f ca="1">SUM((INDIRECT(CN$9&amp;ROW()):(INDIRECT(CN$10&amp;ROW()))))</f>
        <v>#N/A</v>
      </c>
      <c r="CO37" s="142" t="e">
        <f ca="1">SUM((INDIRECT(CO$9&amp;ROW()):(INDIRECT(CO$10&amp;ROW()))))</f>
        <v>#N/A</v>
      </c>
      <c r="CP37" s="142" t="e">
        <f ca="1">SUM((INDIRECT(CP$9&amp;ROW()):(INDIRECT(CP$10&amp;ROW()))))</f>
        <v>#N/A</v>
      </c>
      <c r="CQ37" s="142" t="e">
        <f ca="1">SUM((INDIRECT(CQ$9&amp;ROW()):(INDIRECT(CQ$10&amp;ROW()))))</f>
        <v>#REF!</v>
      </c>
      <c r="CR37" s="142" t="e">
        <f ca="1">SUM((INDIRECT(CR$9&amp;ROW()):(INDIRECT(CR$10&amp;ROW()))))</f>
        <v>#REF!</v>
      </c>
      <c r="CT37" s="419">
        <f ca="1">SUM((INDIRECT(CT$9&amp;ROW()):(INDIRECT(CT$10&amp;ROW()))))</f>
        <v>2570</v>
      </c>
    </row>
    <row r="38" spans="1:98" outlineLevel="1">
      <c r="A38" t="s">
        <v>70</v>
      </c>
      <c r="C38" s="2" t="s">
        <v>24</v>
      </c>
      <c r="E38" s="142">
        <f>SUMIF($B$12:$B$27,$C38,E$12:E$27)</f>
        <v>0</v>
      </c>
      <c r="F38" s="142">
        <f>SUMIF($B$12:$B$29,$C38,F$12:F$29)</f>
        <v>0</v>
      </c>
      <c r="G38" s="142">
        <f t="shared" si="22"/>
        <v>1770</v>
      </c>
      <c r="H38" s="142">
        <f t="shared" si="22"/>
        <v>0</v>
      </c>
      <c r="I38" s="142">
        <f t="shared" si="22"/>
        <v>0</v>
      </c>
      <c r="J38" s="142">
        <f t="shared" si="22"/>
        <v>540</v>
      </c>
      <c r="K38" s="142">
        <f t="shared" si="22"/>
        <v>300</v>
      </c>
      <c r="L38" s="142">
        <f t="shared" si="22"/>
        <v>0</v>
      </c>
      <c r="M38" s="142">
        <f t="shared" si="22"/>
        <v>1500</v>
      </c>
      <c r="N38" s="142">
        <f t="shared" si="22"/>
        <v>0</v>
      </c>
      <c r="O38" s="142">
        <f t="shared" si="22"/>
        <v>0</v>
      </c>
      <c r="P38" s="142">
        <f t="shared" si="22"/>
        <v>0</v>
      </c>
      <c r="Q38" s="142">
        <f t="shared" si="22"/>
        <v>0</v>
      </c>
      <c r="R38" s="142">
        <f t="shared" si="22"/>
        <v>0</v>
      </c>
      <c r="S38" s="142">
        <f t="shared" si="22"/>
        <v>0</v>
      </c>
      <c r="T38" s="142">
        <f t="shared" si="22"/>
        <v>0</v>
      </c>
      <c r="U38" s="142">
        <f t="shared" si="22"/>
        <v>0</v>
      </c>
      <c r="V38" s="142">
        <f t="shared" si="23"/>
        <v>0</v>
      </c>
      <c r="W38" s="142">
        <f t="shared" si="23"/>
        <v>0</v>
      </c>
      <c r="X38" s="142">
        <f t="shared" si="23"/>
        <v>1100</v>
      </c>
      <c r="Y38" s="142">
        <f t="shared" si="23"/>
        <v>2500</v>
      </c>
      <c r="Z38" s="142">
        <f t="shared" si="23"/>
        <v>700</v>
      </c>
      <c r="AA38" s="142">
        <f t="shared" si="23"/>
        <v>0</v>
      </c>
      <c r="AB38" s="142">
        <f t="shared" si="23"/>
        <v>0</v>
      </c>
      <c r="AC38" s="142">
        <f t="shared" si="23"/>
        <v>0</v>
      </c>
      <c r="AD38" s="142">
        <f t="shared" si="23"/>
        <v>0</v>
      </c>
      <c r="AE38" s="142">
        <f t="shared" si="23"/>
        <v>0</v>
      </c>
      <c r="AF38" s="142">
        <f t="shared" si="23"/>
        <v>100</v>
      </c>
      <c r="AG38" s="142">
        <f t="shared" si="23"/>
        <v>150</v>
      </c>
      <c r="AH38" s="142">
        <f t="shared" si="23"/>
        <v>0</v>
      </c>
      <c r="AI38" s="142">
        <f t="shared" si="23"/>
        <v>0</v>
      </c>
      <c r="AJ38" s="142">
        <f t="shared" si="23"/>
        <v>0</v>
      </c>
      <c r="AK38" s="142">
        <f t="shared" si="23"/>
        <v>465</v>
      </c>
      <c r="AL38" s="142">
        <f t="shared" si="23"/>
        <v>0</v>
      </c>
      <c r="AM38" s="142">
        <f t="shared" si="24"/>
        <v>0</v>
      </c>
      <c r="AN38" s="142">
        <f t="shared" si="24"/>
        <v>0</v>
      </c>
      <c r="AO38" s="142">
        <f t="shared" si="24"/>
        <v>0</v>
      </c>
      <c r="AP38" s="142">
        <f t="shared" si="24"/>
        <v>0</v>
      </c>
      <c r="AQ38" s="142">
        <f t="shared" si="24"/>
        <v>1200</v>
      </c>
      <c r="AR38" s="142">
        <f t="shared" si="24"/>
        <v>0</v>
      </c>
      <c r="AS38" s="142">
        <f t="shared" si="24"/>
        <v>150</v>
      </c>
      <c r="AT38" s="142">
        <f t="shared" si="24"/>
        <v>0</v>
      </c>
      <c r="AU38" s="142">
        <f t="shared" si="24"/>
        <v>0</v>
      </c>
      <c r="AV38" s="142">
        <f t="shared" si="24"/>
        <v>-2000</v>
      </c>
      <c r="AW38" s="142">
        <f t="shared" si="24"/>
        <v>380</v>
      </c>
      <c r="AX38" s="142">
        <f t="shared" si="24"/>
        <v>1500</v>
      </c>
      <c r="AY38" s="142">
        <f t="shared" si="24"/>
        <v>700</v>
      </c>
      <c r="AZ38" s="142">
        <f t="shared" si="24"/>
        <v>2600</v>
      </c>
      <c r="BA38" s="142">
        <f t="shared" si="24"/>
        <v>0</v>
      </c>
      <c r="BB38" s="282">
        <f t="shared" si="26"/>
        <v>0</v>
      </c>
      <c r="BC38" s="283">
        <f t="shared" si="26"/>
        <v>0</v>
      </c>
      <c r="BD38" s="29">
        <f t="shared" si="16"/>
        <v>13655</v>
      </c>
      <c r="BE38" s="6">
        <f t="shared" si="25"/>
        <v>538.46270512937178</v>
      </c>
      <c r="CJ38" t="s">
        <v>24</v>
      </c>
      <c r="CK38" s="142">
        <f ca="1">SUM((INDIRECT(CK$9&amp;ROW()):(INDIRECT(CK$10&amp;ROW()))))</f>
        <v>0</v>
      </c>
      <c r="CL38" s="142">
        <f ca="1">SUM((INDIRECT(CL$9&amp;ROW()):(INDIRECT(CL$10&amp;ROW()))))</f>
        <v>8410</v>
      </c>
      <c r="CM38" s="142">
        <f ca="1">SUM((INDIRECT(CM$9&amp;ROW()):(INDIRECT(CM$10&amp;ROW()))))</f>
        <v>5245</v>
      </c>
      <c r="CN38" s="142" t="e">
        <f ca="1">SUM((INDIRECT(CN$9&amp;ROW()):(INDIRECT(CN$10&amp;ROW()))))</f>
        <v>#N/A</v>
      </c>
      <c r="CO38" s="142" t="e">
        <f ca="1">SUM((INDIRECT(CO$9&amp;ROW()):(INDIRECT(CO$10&amp;ROW()))))</f>
        <v>#N/A</v>
      </c>
      <c r="CP38" s="142" t="e">
        <f ca="1">SUM((INDIRECT(CP$9&amp;ROW()):(INDIRECT(CP$10&amp;ROW()))))</f>
        <v>#N/A</v>
      </c>
      <c r="CQ38" s="142" t="e">
        <f ca="1">SUM((INDIRECT(CQ$9&amp;ROW()):(INDIRECT(CQ$10&amp;ROW()))))</f>
        <v>#REF!</v>
      </c>
      <c r="CR38" s="142" t="e">
        <f ca="1">SUM((INDIRECT(CR$9&amp;ROW()):(INDIRECT(CR$10&amp;ROW()))))</f>
        <v>#REF!</v>
      </c>
      <c r="CT38" s="419">
        <f ca="1">SUM((INDIRECT(CT$9&amp;ROW()):(INDIRECT(CT$10&amp;ROW()))))</f>
        <v>13655</v>
      </c>
    </row>
    <row r="39" spans="1:98" outlineLevel="1">
      <c r="A39" t="s">
        <v>70</v>
      </c>
      <c r="C39" s="2" t="s">
        <v>558</v>
      </c>
      <c r="E39" s="142">
        <f>SUMIF($B$12:$B$29,$C39,E$12:E$29)</f>
        <v>0</v>
      </c>
      <c r="F39" s="142">
        <f>SUMIF($B$12:$B$29,$C39,F$12:F$29)</f>
        <v>0</v>
      </c>
      <c r="G39" s="142">
        <f t="shared" si="22"/>
        <v>0</v>
      </c>
      <c r="H39" s="142">
        <f t="shared" si="22"/>
        <v>0</v>
      </c>
      <c r="I39" s="142">
        <f t="shared" si="22"/>
        <v>0</v>
      </c>
      <c r="J39" s="142">
        <f t="shared" si="22"/>
        <v>0</v>
      </c>
      <c r="K39" s="142">
        <f t="shared" si="22"/>
        <v>0</v>
      </c>
      <c r="L39" s="142">
        <f t="shared" si="22"/>
        <v>0</v>
      </c>
      <c r="M39" s="142">
        <f t="shared" si="22"/>
        <v>0</v>
      </c>
      <c r="N39" s="142">
        <f t="shared" si="22"/>
        <v>0</v>
      </c>
      <c r="O39" s="142">
        <f t="shared" si="22"/>
        <v>0</v>
      </c>
      <c r="P39" s="142">
        <f t="shared" si="22"/>
        <v>0</v>
      </c>
      <c r="Q39" s="142">
        <f t="shared" si="22"/>
        <v>0</v>
      </c>
      <c r="R39" s="142">
        <f t="shared" si="22"/>
        <v>0</v>
      </c>
      <c r="S39" s="142">
        <f t="shared" si="22"/>
        <v>0</v>
      </c>
      <c r="T39" s="142">
        <f t="shared" si="22"/>
        <v>0</v>
      </c>
      <c r="U39" s="142">
        <f t="shared" si="22"/>
        <v>0</v>
      </c>
      <c r="V39" s="142">
        <f t="shared" si="23"/>
        <v>0</v>
      </c>
      <c r="W39" s="142">
        <f t="shared" si="23"/>
        <v>0</v>
      </c>
      <c r="X39" s="142">
        <f t="shared" si="23"/>
        <v>0</v>
      </c>
      <c r="Y39" s="142">
        <f t="shared" si="23"/>
        <v>0</v>
      </c>
      <c r="Z39" s="142">
        <f t="shared" si="23"/>
        <v>0</v>
      </c>
      <c r="AA39" s="142">
        <f t="shared" si="23"/>
        <v>0</v>
      </c>
      <c r="AB39" s="142">
        <f t="shared" si="23"/>
        <v>0</v>
      </c>
      <c r="AC39" s="142">
        <f t="shared" si="23"/>
        <v>0</v>
      </c>
      <c r="AD39" s="142">
        <f t="shared" si="23"/>
        <v>0</v>
      </c>
      <c r="AE39" s="142">
        <f t="shared" si="23"/>
        <v>0</v>
      </c>
      <c r="AF39" s="142">
        <f t="shared" si="23"/>
        <v>0</v>
      </c>
      <c r="AG39" s="142">
        <f t="shared" si="23"/>
        <v>0</v>
      </c>
      <c r="AH39" s="142">
        <f t="shared" si="23"/>
        <v>0</v>
      </c>
      <c r="AI39" s="142">
        <f t="shared" si="23"/>
        <v>0</v>
      </c>
      <c r="AJ39" s="142">
        <f t="shared" si="23"/>
        <v>0</v>
      </c>
      <c r="AK39" s="142">
        <f t="shared" si="23"/>
        <v>0</v>
      </c>
      <c r="AL39" s="142">
        <f t="shared" si="23"/>
        <v>0</v>
      </c>
      <c r="AM39" s="142">
        <f t="shared" si="24"/>
        <v>0</v>
      </c>
      <c r="AN39" s="142">
        <f t="shared" si="24"/>
        <v>0</v>
      </c>
      <c r="AO39" s="142">
        <f t="shared" si="24"/>
        <v>0</v>
      </c>
      <c r="AP39" s="142">
        <f t="shared" si="24"/>
        <v>0</v>
      </c>
      <c r="AQ39" s="142">
        <f t="shared" si="24"/>
        <v>0</v>
      </c>
      <c r="AR39" s="142">
        <f t="shared" si="24"/>
        <v>0</v>
      </c>
      <c r="AS39" s="142">
        <f t="shared" si="24"/>
        <v>0</v>
      </c>
      <c r="AT39" s="142">
        <f t="shared" si="24"/>
        <v>0</v>
      </c>
      <c r="AU39" s="142">
        <f t="shared" si="24"/>
        <v>0</v>
      </c>
      <c r="AV39" s="142">
        <f t="shared" si="24"/>
        <v>0</v>
      </c>
      <c r="AW39" s="142">
        <f t="shared" si="24"/>
        <v>0</v>
      </c>
      <c r="AX39" s="142">
        <f t="shared" si="24"/>
        <v>0</v>
      </c>
      <c r="AY39" s="142">
        <f t="shared" si="24"/>
        <v>0</v>
      </c>
      <c r="AZ39" s="142">
        <f t="shared" si="24"/>
        <v>0</v>
      </c>
      <c r="BA39" s="142">
        <f t="shared" si="24"/>
        <v>0</v>
      </c>
      <c r="BB39" s="282">
        <f t="shared" si="26"/>
        <v>0</v>
      </c>
      <c r="BC39" s="283">
        <f t="shared" si="26"/>
        <v>0</v>
      </c>
      <c r="BD39" s="29">
        <f t="shared" si="16"/>
        <v>0</v>
      </c>
      <c r="BE39" s="6">
        <f t="shared" si="25"/>
        <v>0</v>
      </c>
      <c r="CJ39" t="s">
        <v>558</v>
      </c>
      <c r="CK39" s="142">
        <f ca="1">SUM((INDIRECT(CK$9&amp;ROW()):(INDIRECT(CK$10&amp;ROW()))))</f>
        <v>0</v>
      </c>
      <c r="CL39" s="142">
        <f ca="1">SUM((INDIRECT(CL$9&amp;ROW()):(INDIRECT(CL$10&amp;ROW()))))</f>
        <v>0</v>
      </c>
      <c r="CM39" s="142">
        <f ca="1">SUM((INDIRECT(CM$9&amp;ROW()):(INDIRECT(CM$10&amp;ROW()))))</f>
        <v>0</v>
      </c>
      <c r="CN39" s="142" t="e">
        <f ca="1">SUM((INDIRECT(CN$9&amp;ROW()):(INDIRECT(CN$10&amp;ROW()))))</f>
        <v>#N/A</v>
      </c>
      <c r="CO39" s="142" t="e">
        <f ca="1">SUM((INDIRECT(CO$9&amp;ROW()):(INDIRECT(CO$10&amp;ROW()))))</f>
        <v>#N/A</v>
      </c>
      <c r="CP39" s="142" t="e">
        <f ca="1">SUM((INDIRECT(CP$9&amp;ROW()):(INDIRECT(CP$10&amp;ROW()))))</f>
        <v>#N/A</v>
      </c>
      <c r="CQ39" s="142" t="e">
        <f ca="1">SUM((INDIRECT(CQ$9&amp;ROW()):(INDIRECT(CQ$10&amp;ROW()))))</f>
        <v>#REF!</v>
      </c>
      <c r="CR39" s="142" t="e">
        <f ca="1">SUM((INDIRECT(CR$9&amp;ROW()):(INDIRECT(CR$10&amp;ROW()))))</f>
        <v>#REF!</v>
      </c>
      <c r="CT39" s="419">
        <f ca="1">SUM((INDIRECT(CT$9&amp;ROW()):(INDIRECT(CT$10&amp;ROW()))))</f>
        <v>0</v>
      </c>
    </row>
    <row r="40" spans="1:98" outlineLevel="1">
      <c r="C40" s="9" t="s">
        <v>14</v>
      </c>
      <c r="E40" s="161">
        <f t="shared" ref="E40:R40" si="27">SUM(E34:E39)</f>
        <v>0</v>
      </c>
      <c r="F40" s="161">
        <f t="shared" si="27"/>
        <v>455</v>
      </c>
      <c r="G40" s="161">
        <f t="shared" si="27"/>
        <v>4148.2580645161288</v>
      </c>
      <c r="H40" s="161">
        <f t="shared" si="27"/>
        <v>987.25806451612902</v>
      </c>
      <c r="I40" s="161">
        <f t="shared" si="27"/>
        <v>1292.258064516129</v>
      </c>
      <c r="J40" s="161">
        <f t="shared" si="27"/>
        <v>1712.258064516129</v>
      </c>
      <c r="K40" s="161">
        <f t="shared" si="27"/>
        <v>1407.258064516129</v>
      </c>
      <c r="L40" s="161">
        <f t="shared" si="27"/>
        <v>945</v>
      </c>
      <c r="M40" s="161">
        <f t="shared" si="27"/>
        <v>2610</v>
      </c>
      <c r="N40" s="161">
        <f t="shared" si="27"/>
        <v>820</v>
      </c>
      <c r="O40" s="161">
        <f t="shared" si="27"/>
        <v>943</v>
      </c>
      <c r="P40" s="161">
        <f t="shared" si="27"/>
        <v>1037</v>
      </c>
      <c r="Q40" s="161">
        <f t="shared" si="27"/>
        <v>825</v>
      </c>
      <c r="R40" s="161">
        <f t="shared" si="27"/>
        <v>1005</v>
      </c>
      <c r="S40" s="161">
        <f>SUM(S34:S39)</f>
        <v>1385</v>
      </c>
      <c r="T40" s="161">
        <f t="shared" ref="T40:BA40" si="28">SUM(T34:T39)</f>
        <v>1195</v>
      </c>
      <c r="U40" s="161">
        <f t="shared" si="28"/>
        <v>795</v>
      </c>
      <c r="V40" s="161">
        <f t="shared" si="28"/>
        <v>950</v>
      </c>
      <c r="W40" s="161">
        <f t="shared" si="28"/>
        <v>1160</v>
      </c>
      <c r="X40" s="161">
        <f t="shared" si="28"/>
        <v>2020</v>
      </c>
      <c r="Y40" s="161">
        <f t="shared" si="28"/>
        <v>5665</v>
      </c>
      <c r="Z40" s="161">
        <f t="shared" si="28"/>
        <v>1810</v>
      </c>
      <c r="AA40" s="161">
        <f t="shared" si="28"/>
        <v>1000</v>
      </c>
      <c r="AB40" s="161">
        <f t="shared" si="28"/>
        <v>980</v>
      </c>
      <c r="AC40" s="161">
        <f t="shared" si="28"/>
        <v>2940</v>
      </c>
      <c r="AD40" s="161">
        <f t="shared" si="28"/>
        <v>930</v>
      </c>
      <c r="AE40" s="161">
        <f t="shared" si="28"/>
        <v>1465</v>
      </c>
      <c r="AF40" s="161">
        <f t="shared" si="28"/>
        <v>1465</v>
      </c>
      <c r="AG40" s="161">
        <f t="shared" si="28"/>
        <v>1093</v>
      </c>
      <c r="AH40" s="161">
        <f t="shared" si="28"/>
        <v>745</v>
      </c>
      <c r="AI40" s="161">
        <f t="shared" si="28"/>
        <v>1015</v>
      </c>
      <c r="AJ40" s="161">
        <f t="shared" si="28"/>
        <v>1165</v>
      </c>
      <c r="AK40" s="161">
        <f t="shared" si="28"/>
        <v>1705</v>
      </c>
      <c r="AL40" s="161">
        <f t="shared" si="28"/>
        <v>1335</v>
      </c>
      <c r="AM40" s="161">
        <f t="shared" si="28"/>
        <v>575</v>
      </c>
      <c r="AN40" s="161">
        <f t="shared" si="28"/>
        <v>870</v>
      </c>
      <c r="AO40" s="161">
        <f t="shared" si="28"/>
        <v>2692</v>
      </c>
      <c r="AP40" s="161">
        <f t="shared" si="28"/>
        <v>4085</v>
      </c>
      <c r="AQ40" s="161">
        <f t="shared" si="28"/>
        <v>2355</v>
      </c>
      <c r="AR40" s="161">
        <f t="shared" si="28"/>
        <v>1100</v>
      </c>
      <c r="AS40" s="161">
        <f t="shared" si="28"/>
        <v>1285</v>
      </c>
      <c r="AT40" s="161">
        <f t="shared" si="28"/>
        <v>1792</v>
      </c>
      <c r="AU40" s="161">
        <f t="shared" si="28"/>
        <v>2660</v>
      </c>
      <c r="AV40" s="161">
        <f t="shared" si="28"/>
        <v>-1105</v>
      </c>
      <c r="AW40" s="161">
        <f t="shared" si="28"/>
        <v>1665</v>
      </c>
      <c r="AX40" s="161">
        <f t="shared" si="28"/>
        <v>2790</v>
      </c>
      <c r="AY40" s="161">
        <f t="shared" si="28"/>
        <v>1860</v>
      </c>
      <c r="AZ40" s="161">
        <f t="shared" si="28"/>
        <v>9280</v>
      </c>
      <c r="BA40" s="161">
        <f t="shared" si="28"/>
        <v>0</v>
      </c>
      <c r="BB40" s="284">
        <f>SUM(BB35:BB39)</f>
        <v>0</v>
      </c>
      <c r="BC40" s="285">
        <f>SUM(BC35:BC39)</f>
        <v>0</v>
      </c>
      <c r="BD40" s="29">
        <f t="shared" si="16"/>
        <v>80909.290322580637</v>
      </c>
      <c r="BE40" s="6">
        <f>BD40/cashVIII!O22</f>
        <v>3206.3269963609514</v>
      </c>
      <c r="CJ40" s="9" t="s">
        <v>14</v>
      </c>
      <c r="CK40" s="161">
        <f ca="1">SUM((INDIRECT(CK$9&amp;ROW()):(INDIRECT(CK$10&amp;ROW()))))</f>
        <v>0</v>
      </c>
      <c r="CL40" s="161">
        <f ca="1">SUM((INDIRECT(CL$9&amp;ROW()):(INDIRECT(CL$10&amp;ROW()))))</f>
        <v>39017.290322580644</v>
      </c>
      <c r="CM40" s="161">
        <f ca="1">SUM((INDIRECT(CM$9&amp;ROW()):(INDIRECT(CM$10&amp;ROW()))))</f>
        <v>41892</v>
      </c>
      <c r="CN40" s="161" t="e">
        <f ca="1">SUM((INDIRECT(CN$9&amp;ROW()):(INDIRECT(CN$10&amp;ROW()))))</f>
        <v>#N/A</v>
      </c>
      <c r="CO40" s="161" t="e">
        <f ca="1">SUM((INDIRECT(CO$9&amp;ROW()):(INDIRECT(CO$10&amp;ROW()))))</f>
        <v>#N/A</v>
      </c>
      <c r="CP40" s="161" t="e">
        <f ca="1">SUM((INDIRECT(CP$9&amp;ROW()):(INDIRECT(CP$10&amp;ROW()))))</f>
        <v>#N/A</v>
      </c>
      <c r="CQ40" s="161" t="e">
        <f ca="1">SUM((INDIRECT(CQ$9&amp;ROW()):(INDIRECT(CQ$10&amp;ROW()))))</f>
        <v>#REF!</v>
      </c>
      <c r="CR40" s="161" t="e">
        <f ca="1">SUM((INDIRECT(CR$9&amp;ROW()):(INDIRECT(CR$10&amp;ROW()))))</f>
        <v>#REF!</v>
      </c>
      <c r="CT40" s="161">
        <f ca="1">SUM((INDIRECT(CT$9&amp;ROW()):(INDIRECT(CT$10&amp;ROW()))))</f>
        <v>80909.290322580637</v>
      </c>
    </row>
    <row r="41" spans="1:98">
      <c r="A41" s="9" t="s">
        <v>96</v>
      </c>
      <c r="C41" s="9"/>
      <c r="E41" s="233">
        <f>E40-E31</f>
        <v>0</v>
      </c>
      <c r="F41" s="233">
        <f t="shared" ref="F41:AF41" si="29">F40-F31</f>
        <v>0</v>
      </c>
      <c r="G41" s="233">
        <f t="shared" si="29"/>
        <v>0</v>
      </c>
      <c r="H41" s="233">
        <f t="shared" si="29"/>
        <v>0</v>
      </c>
      <c r="I41" s="233">
        <f t="shared" si="29"/>
        <v>0</v>
      </c>
      <c r="J41" s="233">
        <f t="shared" si="29"/>
        <v>0</v>
      </c>
      <c r="K41" s="233">
        <f t="shared" si="29"/>
        <v>0</v>
      </c>
      <c r="L41" s="233">
        <f t="shared" si="29"/>
        <v>0</v>
      </c>
      <c r="M41" s="233">
        <f t="shared" si="29"/>
        <v>0</v>
      </c>
      <c r="N41" s="233">
        <f t="shared" si="29"/>
        <v>0</v>
      </c>
      <c r="O41" s="233">
        <f t="shared" si="29"/>
        <v>0</v>
      </c>
      <c r="P41" s="233">
        <f t="shared" si="29"/>
        <v>0</v>
      </c>
      <c r="Q41" s="233">
        <f t="shared" si="29"/>
        <v>0</v>
      </c>
      <c r="R41" s="233">
        <f t="shared" si="29"/>
        <v>0</v>
      </c>
      <c r="S41" s="233">
        <f t="shared" si="29"/>
        <v>0</v>
      </c>
      <c r="T41" s="233">
        <f t="shared" si="29"/>
        <v>0</v>
      </c>
      <c r="U41" s="233">
        <f t="shared" si="29"/>
        <v>0</v>
      </c>
      <c r="V41" s="233">
        <f t="shared" si="29"/>
        <v>0</v>
      </c>
      <c r="W41" s="233">
        <f t="shared" si="29"/>
        <v>0</v>
      </c>
      <c r="X41" s="233">
        <f t="shared" si="29"/>
        <v>0</v>
      </c>
      <c r="Y41" s="233">
        <f t="shared" si="29"/>
        <v>0</v>
      </c>
      <c r="Z41" s="233">
        <f t="shared" si="29"/>
        <v>0</v>
      </c>
      <c r="AA41" s="233">
        <f t="shared" si="29"/>
        <v>0</v>
      </c>
      <c r="AB41" s="233">
        <f t="shared" si="29"/>
        <v>0</v>
      </c>
      <c r="AC41" s="233">
        <f t="shared" si="29"/>
        <v>0</v>
      </c>
      <c r="AD41" s="233">
        <f t="shared" si="29"/>
        <v>0</v>
      </c>
      <c r="AE41" s="233">
        <f t="shared" si="29"/>
        <v>0</v>
      </c>
      <c r="AF41" s="233">
        <f t="shared" si="29"/>
        <v>0</v>
      </c>
      <c r="AG41" s="233"/>
      <c r="AH41" s="233"/>
      <c r="AI41" s="233"/>
      <c r="AJ41" s="233"/>
      <c r="AK41" s="233"/>
      <c r="AL41" s="233"/>
      <c r="AM41" s="233"/>
      <c r="AN41" s="233"/>
      <c r="AO41" s="233"/>
      <c r="AP41" s="233"/>
      <c r="AQ41" s="233"/>
      <c r="AR41" s="233"/>
      <c r="AS41" s="233"/>
      <c r="AT41" s="233"/>
      <c r="AU41" s="233"/>
      <c r="AV41" s="233"/>
      <c r="AW41" s="233"/>
      <c r="AX41" s="233"/>
      <c r="AY41" s="233"/>
      <c r="AZ41" s="233"/>
      <c r="BA41" s="233"/>
      <c r="BE41" s="14"/>
      <c r="CJ41" s="9" t="s">
        <v>96</v>
      </c>
      <c r="CK41" s="6">
        <f ca="1">CK40/'cash IX'!$O$23</f>
        <v>0</v>
      </c>
      <c r="CL41" s="6">
        <f ca="1">CL40/TAUXmoyen</f>
        <v>1538.5833536371169</v>
      </c>
      <c r="CM41" s="6">
        <f ca="1">CM40/TAUXmoyen</f>
        <v>1651.9428519428518</v>
      </c>
      <c r="CN41" s="6" t="e">
        <f ca="1">CN40/'cash IX'!$O$23</f>
        <v>#N/A</v>
      </c>
      <c r="CO41" s="6" t="e">
        <f ca="1">CO40/'cash IX'!$O$23</f>
        <v>#N/A</v>
      </c>
      <c r="CP41" s="6" t="e">
        <f ca="1">CP40/'cash IX'!$O$23</f>
        <v>#N/A</v>
      </c>
      <c r="CT41" s="28">
        <f ca="1">SUM((INDIRECT(CT$9&amp;ROW()):(INDIRECT(CT$10&amp;ROW()))))</f>
        <v>0</v>
      </c>
    </row>
    <row r="42" spans="1:98">
      <c r="A42" s="9"/>
      <c r="C42" s="9"/>
      <c r="F42" s="4"/>
      <c r="G42" s="4"/>
      <c r="H42" s="4"/>
      <c r="I42" s="4"/>
      <c r="J42" s="4"/>
      <c r="K42" s="4"/>
      <c r="L42" s="4"/>
      <c r="M42" s="4"/>
      <c r="N42" s="4"/>
      <c r="O42" s="4"/>
      <c r="P42" s="4"/>
      <c r="Q42" s="4"/>
      <c r="R42" s="4"/>
      <c r="S42" s="4"/>
      <c r="T42" s="4"/>
      <c r="U42" s="4"/>
      <c r="V42" s="4"/>
      <c r="W42" s="4"/>
      <c r="X42" s="4"/>
      <c r="BE42" s="14"/>
      <c r="CJ42" s="9">
        <v>0</v>
      </c>
      <c r="CT42" s="464">
        <f ca="1">SUM((INDIRECT(CT$9&amp;ROW()):(INDIRECT(CT$10&amp;ROW()))))</f>
        <v>0</v>
      </c>
    </row>
    <row r="43" spans="1:98" outlineLevel="1">
      <c r="A43" s="9"/>
      <c r="C43" s="9"/>
      <c r="E43" s="2" t="str">
        <f t="shared" ref="E43:BA43" si="30">E$8</f>
        <v>Lundi</v>
      </c>
      <c r="F43" s="2" t="str">
        <f t="shared" si="30"/>
        <v>mardi</v>
      </c>
      <c r="G43" s="2" t="str">
        <f t="shared" si="30"/>
        <v>Mer</v>
      </c>
      <c r="H43" s="2" t="str">
        <f t="shared" si="30"/>
        <v>Jeu</v>
      </c>
      <c r="I43" s="2" t="str">
        <f t="shared" si="30"/>
        <v>Ven</v>
      </c>
      <c r="J43" s="2" t="str">
        <f t="shared" si="30"/>
        <v>Sam</v>
      </c>
      <c r="K43" s="2" t="str">
        <f t="shared" si="30"/>
        <v>Dim</v>
      </c>
      <c r="L43" s="2" t="str">
        <f t="shared" si="30"/>
        <v>Lundi</v>
      </c>
      <c r="M43" s="2" t="str">
        <f t="shared" si="30"/>
        <v>mardi</v>
      </c>
      <c r="N43" s="2" t="str">
        <f t="shared" si="30"/>
        <v>Mer</v>
      </c>
      <c r="O43" s="2" t="str">
        <f t="shared" si="30"/>
        <v>Jeu</v>
      </c>
      <c r="P43" s="2" t="str">
        <f t="shared" si="30"/>
        <v>Ven</v>
      </c>
      <c r="Q43" s="2" t="str">
        <f t="shared" si="30"/>
        <v>Sam</v>
      </c>
      <c r="R43" s="2" t="str">
        <f t="shared" si="30"/>
        <v>Dim</v>
      </c>
      <c r="S43" s="2" t="str">
        <f t="shared" si="30"/>
        <v>Lundi</v>
      </c>
      <c r="T43" s="2" t="str">
        <f t="shared" si="30"/>
        <v>mardi</v>
      </c>
      <c r="U43" s="2" t="str">
        <f t="shared" si="30"/>
        <v>Mer</v>
      </c>
      <c r="V43" s="2" t="str">
        <f t="shared" si="30"/>
        <v>Jeu</v>
      </c>
      <c r="W43" s="2" t="str">
        <f t="shared" si="30"/>
        <v>Ven</v>
      </c>
      <c r="X43" s="2" t="str">
        <f t="shared" si="30"/>
        <v>Sam</v>
      </c>
      <c r="Y43" s="2" t="str">
        <f t="shared" si="30"/>
        <v>Dim</v>
      </c>
      <c r="Z43" s="2" t="str">
        <f t="shared" si="30"/>
        <v>Lundi</v>
      </c>
      <c r="AA43" s="2" t="str">
        <f t="shared" si="30"/>
        <v>mardi</v>
      </c>
      <c r="AB43" s="2" t="str">
        <f t="shared" si="30"/>
        <v>Mer</v>
      </c>
      <c r="AC43" s="2" t="str">
        <f t="shared" si="30"/>
        <v>Jeu</v>
      </c>
      <c r="AD43" s="2" t="str">
        <f t="shared" si="30"/>
        <v>Ven</v>
      </c>
      <c r="AE43" s="2" t="str">
        <f t="shared" si="30"/>
        <v>Sam</v>
      </c>
      <c r="AF43" s="2" t="str">
        <f t="shared" si="30"/>
        <v>Dim</v>
      </c>
      <c r="AG43" s="2" t="str">
        <f t="shared" si="30"/>
        <v>Lundi</v>
      </c>
      <c r="AH43" s="2" t="str">
        <f t="shared" si="30"/>
        <v>mardi</v>
      </c>
      <c r="AI43" s="2" t="str">
        <f t="shared" si="30"/>
        <v>Mer</v>
      </c>
      <c r="AJ43" s="2" t="str">
        <f t="shared" si="30"/>
        <v>Jeu</v>
      </c>
      <c r="AK43" s="2" t="str">
        <f t="shared" si="30"/>
        <v>Ven</v>
      </c>
      <c r="AL43" s="2" t="str">
        <f t="shared" si="30"/>
        <v>Sam</v>
      </c>
      <c r="AM43" s="2" t="str">
        <f t="shared" si="30"/>
        <v>Dim</v>
      </c>
      <c r="AN43" s="2" t="str">
        <f t="shared" si="30"/>
        <v>Lundi</v>
      </c>
      <c r="AO43" s="2" t="str">
        <f t="shared" si="30"/>
        <v>mardi</v>
      </c>
      <c r="AP43" s="2" t="str">
        <f t="shared" si="30"/>
        <v>Mer</v>
      </c>
      <c r="AQ43" s="2" t="str">
        <f t="shared" si="30"/>
        <v>Jeu</v>
      </c>
      <c r="AR43" s="2" t="str">
        <f t="shared" si="30"/>
        <v>Ven</v>
      </c>
      <c r="AS43" s="2" t="str">
        <f t="shared" si="30"/>
        <v>Sam</v>
      </c>
      <c r="AT43" s="2" t="str">
        <f t="shared" si="30"/>
        <v>Dim</v>
      </c>
      <c r="AU43" s="2" t="str">
        <f t="shared" si="30"/>
        <v>Lundi</v>
      </c>
      <c r="AV43" s="2" t="str">
        <f t="shared" si="30"/>
        <v>mardi</v>
      </c>
      <c r="AW43" s="2" t="str">
        <f t="shared" si="30"/>
        <v>Mer</v>
      </c>
      <c r="AX43" s="2" t="str">
        <f t="shared" si="30"/>
        <v>Jeu</v>
      </c>
      <c r="AY43" s="2" t="str">
        <f t="shared" si="30"/>
        <v>Ven</v>
      </c>
      <c r="AZ43" s="2" t="str">
        <f t="shared" si="30"/>
        <v>Sam</v>
      </c>
      <c r="BA43" s="2" t="str">
        <f t="shared" si="30"/>
        <v>Dim</v>
      </c>
      <c r="BD43" s="4" t="s">
        <v>9</v>
      </c>
      <c r="BE43" s="14"/>
      <c r="CJ43" s="9">
        <v>0</v>
      </c>
    </row>
    <row r="44" spans="1:98" outlineLevel="1">
      <c r="C44" s="9"/>
      <c r="E44" s="39">
        <f t="shared" ref="E44:BA44" si="31">E$9</f>
        <v>45082</v>
      </c>
      <c r="F44" s="39">
        <f t="shared" si="31"/>
        <v>45083</v>
      </c>
      <c r="G44" s="39">
        <f t="shared" si="31"/>
        <v>45084</v>
      </c>
      <c r="H44" s="39">
        <f t="shared" si="31"/>
        <v>45085</v>
      </c>
      <c r="I44" s="39">
        <f t="shared" si="31"/>
        <v>45086</v>
      </c>
      <c r="J44" s="39">
        <f t="shared" si="31"/>
        <v>45087</v>
      </c>
      <c r="K44" s="39">
        <f t="shared" si="31"/>
        <v>45088</v>
      </c>
      <c r="L44" s="39">
        <f t="shared" si="31"/>
        <v>45089</v>
      </c>
      <c r="M44" s="39">
        <f t="shared" si="31"/>
        <v>45090</v>
      </c>
      <c r="N44" s="39">
        <f t="shared" si="31"/>
        <v>45091</v>
      </c>
      <c r="O44" s="39">
        <f t="shared" si="31"/>
        <v>45092</v>
      </c>
      <c r="P44" s="39">
        <f t="shared" si="31"/>
        <v>45093</v>
      </c>
      <c r="Q44" s="39">
        <f t="shared" si="31"/>
        <v>45094</v>
      </c>
      <c r="R44" s="39">
        <f t="shared" si="31"/>
        <v>45095</v>
      </c>
      <c r="S44" s="39">
        <f t="shared" si="31"/>
        <v>45096</v>
      </c>
      <c r="T44" s="39">
        <f t="shared" si="31"/>
        <v>45097</v>
      </c>
      <c r="U44" s="39">
        <f t="shared" si="31"/>
        <v>45098</v>
      </c>
      <c r="V44" s="39">
        <f t="shared" si="31"/>
        <v>45099</v>
      </c>
      <c r="W44" s="39">
        <f t="shared" si="31"/>
        <v>45100</v>
      </c>
      <c r="X44" s="39">
        <f t="shared" si="31"/>
        <v>45101</v>
      </c>
      <c r="Y44" s="39">
        <f t="shared" si="31"/>
        <v>45102</v>
      </c>
      <c r="Z44" s="39">
        <f t="shared" si="31"/>
        <v>45103</v>
      </c>
      <c r="AA44" s="39">
        <f t="shared" si="31"/>
        <v>45104</v>
      </c>
      <c r="AB44" s="39">
        <f t="shared" si="31"/>
        <v>45105</v>
      </c>
      <c r="AC44" s="39">
        <f t="shared" si="31"/>
        <v>45106</v>
      </c>
      <c r="AD44" s="39">
        <f t="shared" si="31"/>
        <v>45107</v>
      </c>
      <c r="AE44" s="39">
        <f t="shared" si="31"/>
        <v>45108</v>
      </c>
      <c r="AF44" s="39">
        <f t="shared" si="31"/>
        <v>45109</v>
      </c>
      <c r="AG44" s="39">
        <f t="shared" si="31"/>
        <v>45110</v>
      </c>
      <c r="AH44" s="39">
        <f t="shared" si="31"/>
        <v>45111</v>
      </c>
      <c r="AI44" s="39">
        <f t="shared" si="31"/>
        <v>45112</v>
      </c>
      <c r="AJ44" s="39">
        <f t="shared" si="31"/>
        <v>45113</v>
      </c>
      <c r="AK44" s="39">
        <f t="shared" si="31"/>
        <v>45114</v>
      </c>
      <c r="AL44" s="39">
        <f t="shared" si="31"/>
        <v>45115</v>
      </c>
      <c r="AM44" s="39">
        <f t="shared" si="31"/>
        <v>45116</v>
      </c>
      <c r="AN44" s="39">
        <f t="shared" si="31"/>
        <v>45117</v>
      </c>
      <c r="AO44" s="39">
        <f t="shared" si="31"/>
        <v>45118</v>
      </c>
      <c r="AP44" s="39">
        <f t="shared" si="31"/>
        <v>45119</v>
      </c>
      <c r="AQ44" s="39">
        <f t="shared" si="31"/>
        <v>45120</v>
      </c>
      <c r="AR44" s="39">
        <f t="shared" si="31"/>
        <v>45121</v>
      </c>
      <c r="AS44" s="39">
        <f t="shared" si="31"/>
        <v>45122</v>
      </c>
      <c r="AT44" s="39">
        <f t="shared" si="31"/>
        <v>45123</v>
      </c>
      <c r="AU44" s="39">
        <f t="shared" si="31"/>
        <v>45124</v>
      </c>
      <c r="AV44" s="39">
        <f t="shared" si="31"/>
        <v>45125</v>
      </c>
      <c r="AW44" s="39">
        <f t="shared" si="31"/>
        <v>45126</v>
      </c>
      <c r="AX44" s="39">
        <f t="shared" si="31"/>
        <v>45127</v>
      </c>
      <c r="AY44" s="39">
        <f t="shared" si="31"/>
        <v>45128</v>
      </c>
      <c r="AZ44" s="39">
        <f t="shared" si="31"/>
        <v>45129</v>
      </c>
      <c r="BA44" s="39">
        <f t="shared" si="31"/>
        <v>45130</v>
      </c>
      <c r="BB44" s="11">
        <f>BB$8</f>
        <v>0</v>
      </c>
      <c r="BC44" s="177">
        <f>BC$8</f>
        <v>0</v>
      </c>
      <c r="BE44" s="14"/>
      <c r="CJ44" s="9">
        <v>0</v>
      </c>
    </row>
    <row r="45" spans="1:98" outlineLevel="1">
      <c r="E45" s="2" t="str">
        <f t="shared" ref="E45:AK45" si="32">E$10</f>
        <v>Paris</v>
      </c>
      <c r="F45" s="2" t="str">
        <f t="shared" si="32"/>
        <v>Paris</v>
      </c>
      <c r="G45" s="2" t="str">
        <f t="shared" si="32"/>
        <v>Hanoi</v>
      </c>
      <c r="H45" s="2" t="str">
        <f t="shared" si="32"/>
        <v>Hanoi</v>
      </c>
      <c r="I45" s="2" t="str">
        <f t="shared" si="32"/>
        <v>Hanoi</v>
      </c>
      <c r="J45" s="2" t="str">
        <f t="shared" si="32"/>
        <v>Hanoi</v>
      </c>
      <c r="K45" s="2" t="str">
        <f t="shared" si="32"/>
        <v>Hanoi</v>
      </c>
      <c r="L45" s="2" t="str">
        <f t="shared" si="32"/>
        <v>Hanoi</v>
      </c>
      <c r="M45" s="2" t="str">
        <f t="shared" si="32"/>
        <v>Hanoi</v>
      </c>
      <c r="N45" s="2" t="str">
        <f t="shared" si="32"/>
        <v>Hanoi</v>
      </c>
      <c r="O45" s="2" t="str">
        <f t="shared" si="32"/>
        <v>Hanoi</v>
      </c>
      <c r="P45" s="2" t="str">
        <f t="shared" si="32"/>
        <v>Hanoi</v>
      </c>
      <c r="Q45" s="2" t="str">
        <f t="shared" si="32"/>
        <v>Hanoi</v>
      </c>
      <c r="R45" s="2" t="str">
        <f t="shared" si="32"/>
        <v>Ha Giang</v>
      </c>
      <c r="S45" s="2" t="str">
        <f t="shared" si="32"/>
        <v>Ha Giang</v>
      </c>
      <c r="T45" s="2" t="str">
        <f t="shared" si="32"/>
        <v>Hanoi</v>
      </c>
      <c r="U45" s="2" t="str">
        <f t="shared" si="32"/>
        <v>Hanoi</v>
      </c>
      <c r="V45" s="2" t="str">
        <f t="shared" si="32"/>
        <v>Hanoi</v>
      </c>
      <c r="W45" s="2" t="str">
        <f t="shared" si="32"/>
        <v>Hanoi</v>
      </c>
      <c r="X45" s="2" t="str">
        <f t="shared" si="32"/>
        <v>Hanoi</v>
      </c>
      <c r="Y45" s="2" t="str">
        <f t="shared" si="32"/>
        <v>pharmaciens</v>
      </c>
      <c r="Z45" s="2" t="str">
        <f t="shared" si="32"/>
        <v>Hanoi</v>
      </c>
      <c r="AA45" s="2" t="str">
        <f t="shared" si="32"/>
        <v>Hanoi</v>
      </c>
      <c r="AB45" s="2" t="str">
        <f t="shared" si="32"/>
        <v>Hanoi</v>
      </c>
      <c r="AC45" s="2" t="str">
        <f t="shared" si="32"/>
        <v>Thai Nguyen</v>
      </c>
      <c r="AD45" s="2" t="str">
        <f t="shared" si="32"/>
        <v>Hanoi</v>
      </c>
      <c r="AE45" s="2" t="str">
        <f t="shared" si="32"/>
        <v>Hanoi</v>
      </c>
      <c r="AF45" s="2" t="str">
        <f t="shared" si="32"/>
        <v>Hanoi</v>
      </c>
      <c r="AG45" s="2" t="str">
        <f t="shared" si="32"/>
        <v>Hanoi</v>
      </c>
      <c r="AH45" s="2" t="str">
        <f t="shared" si="32"/>
        <v>Hanoi</v>
      </c>
      <c r="AI45" s="2" t="str">
        <f t="shared" si="32"/>
        <v>Hanoi</v>
      </c>
      <c r="AJ45" s="2" t="str">
        <f t="shared" si="32"/>
        <v>Hanoi</v>
      </c>
      <c r="AK45" s="2" t="str">
        <f t="shared" si="32"/>
        <v>Hanoi</v>
      </c>
      <c r="AL45" s="2" t="str">
        <f>AL$10</f>
        <v>Hanoi</v>
      </c>
      <c r="AM45" s="2" t="str">
        <f t="shared" ref="AM45:BA45" si="33">AM$10</f>
        <v>Hanoi</v>
      </c>
      <c r="AN45" s="2" t="str">
        <f t="shared" si="33"/>
        <v>Hanoi</v>
      </c>
      <c r="AO45" s="2" t="str">
        <f t="shared" si="33"/>
        <v>Ha Long</v>
      </c>
      <c r="AP45" s="2" t="str">
        <f t="shared" si="33"/>
        <v>Ha Long</v>
      </c>
      <c r="AQ45" s="2" t="str">
        <f t="shared" si="33"/>
        <v>Hanoi</v>
      </c>
      <c r="AR45" s="2" t="str">
        <f t="shared" si="33"/>
        <v>Hanoi</v>
      </c>
      <c r="AS45" s="2" t="str">
        <f t="shared" si="33"/>
        <v>BacNinh</v>
      </c>
      <c r="AT45" s="2" t="str">
        <f t="shared" si="33"/>
        <v>Hanoi</v>
      </c>
      <c r="AU45" s="2" t="str">
        <f t="shared" si="33"/>
        <v>Hanoi</v>
      </c>
      <c r="AV45" s="2" t="str">
        <f t="shared" si="33"/>
        <v>Hanoi</v>
      </c>
      <c r="AW45" s="2" t="str">
        <f t="shared" si="33"/>
        <v>Hanoi</v>
      </c>
      <c r="AX45" s="2" t="str">
        <f t="shared" si="33"/>
        <v>Hanoi</v>
      </c>
      <c r="AY45" s="2" t="str">
        <f t="shared" si="33"/>
        <v>Hanoi</v>
      </c>
      <c r="AZ45" s="2" t="str">
        <f t="shared" si="33"/>
        <v>Hanoi</v>
      </c>
      <c r="BA45" s="2" t="str">
        <f t="shared" si="33"/>
        <v>Bordeaux</v>
      </c>
      <c r="BB45" s="197">
        <f>BB$9</f>
        <v>0</v>
      </c>
      <c r="BC45" s="183">
        <f>BC$9</f>
        <v>0</v>
      </c>
      <c r="CJ45">
        <v>0</v>
      </c>
    </row>
    <row r="46" spans="1:98" ht="15" outlineLevel="1" thickBot="1">
      <c r="C46" s="9" t="s">
        <v>33</v>
      </c>
      <c r="D46" s="2">
        <f>D$7</f>
        <v>0</v>
      </c>
      <c r="F46" s="2">
        <f>F$7</f>
        <v>1</v>
      </c>
      <c r="G46" s="2">
        <f t="shared" ref="G46:BC46" si="34">G$7</f>
        <v>2</v>
      </c>
      <c r="H46" s="2">
        <f t="shared" si="34"/>
        <v>3</v>
      </c>
      <c r="I46" s="2">
        <f t="shared" si="34"/>
        <v>4</v>
      </c>
      <c r="J46" s="2">
        <f t="shared" si="34"/>
        <v>5</v>
      </c>
      <c r="K46" s="2">
        <f t="shared" si="34"/>
        <v>6</v>
      </c>
      <c r="L46" s="2">
        <f t="shared" si="34"/>
        <v>7</v>
      </c>
      <c r="M46" s="2">
        <f t="shared" si="34"/>
        <v>8</v>
      </c>
      <c r="N46" s="2">
        <f t="shared" si="34"/>
        <v>9</v>
      </c>
      <c r="O46" s="2">
        <f t="shared" si="34"/>
        <v>10</v>
      </c>
      <c r="P46" s="2">
        <f t="shared" si="34"/>
        <v>11</v>
      </c>
      <c r="Q46" s="2">
        <f t="shared" si="34"/>
        <v>12</v>
      </c>
      <c r="R46" s="2">
        <f t="shared" si="34"/>
        <v>13</v>
      </c>
      <c r="S46" s="2">
        <f t="shared" si="34"/>
        <v>14</v>
      </c>
      <c r="T46" s="2">
        <f t="shared" si="34"/>
        <v>15</v>
      </c>
      <c r="U46" s="2">
        <f t="shared" si="34"/>
        <v>16</v>
      </c>
      <c r="V46" s="2">
        <f t="shared" si="34"/>
        <v>17</v>
      </c>
      <c r="W46" s="2">
        <f t="shared" si="34"/>
        <v>18</v>
      </c>
      <c r="X46" s="2">
        <f t="shared" si="34"/>
        <v>19</v>
      </c>
      <c r="Y46" s="2">
        <f t="shared" si="34"/>
        <v>20</v>
      </c>
      <c r="Z46" s="2">
        <f t="shared" si="34"/>
        <v>21</v>
      </c>
      <c r="AA46" s="2">
        <f t="shared" si="34"/>
        <v>22</v>
      </c>
      <c r="AB46" s="2">
        <f t="shared" si="34"/>
        <v>23</v>
      </c>
      <c r="AC46" s="2">
        <f t="shared" si="34"/>
        <v>24</v>
      </c>
      <c r="AD46" s="2">
        <f t="shared" si="34"/>
        <v>25</v>
      </c>
      <c r="AE46" s="2">
        <f t="shared" si="34"/>
        <v>26</v>
      </c>
      <c r="AF46" s="2">
        <f t="shared" si="34"/>
        <v>27</v>
      </c>
      <c r="AG46" s="2">
        <f t="shared" si="34"/>
        <v>28</v>
      </c>
      <c r="AH46" s="2">
        <f t="shared" si="34"/>
        <v>29</v>
      </c>
      <c r="AI46" s="2">
        <f t="shared" si="34"/>
        <v>30</v>
      </c>
      <c r="AJ46" s="2">
        <f t="shared" si="34"/>
        <v>31</v>
      </c>
      <c r="AK46" s="2">
        <f t="shared" si="34"/>
        <v>32</v>
      </c>
      <c r="AL46" s="2">
        <f t="shared" si="34"/>
        <v>33</v>
      </c>
      <c r="AM46" s="2">
        <f t="shared" si="34"/>
        <v>34</v>
      </c>
      <c r="AN46" s="2">
        <f t="shared" si="34"/>
        <v>35</v>
      </c>
      <c r="AO46" s="2">
        <f t="shared" si="34"/>
        <v>36</v>
      </c>
      <c r="AP46" s="2">
        <f t="shared" si="34"/>
        <v>37</v>
      </c>
      <c r="AQ46" s="2">
        <f t="shared" si="34"/>
        <v>38</v>
      </c>
      <c r="AR46" s="2">
        <f t="shared" si="34"/>
        <v>39</v>
      </c>
      <c r="AS46" s="2">
        <f t="shared" si="34"/>
        <v>40</v>
      </c>
      <c r="AT46" s="2">
        <f t="shared" si="34"/>
        <v>41</v>
      </c>
      <c r="AU46" s="2">
        <f t="shared" si="34"/>
        <v>42</v>
      </c>
      <c r="AV46" s="2">
        <f t="shared" si="34"/>
        <v>43</v>
      </c>
      <c r="AW46" s="2">
        <f t="shared" si="34"/>
        <v>44</v>
      </c>
      <c r="AX46" s="2">
        <f t="shared" si="34"/>
        <v>45</v>
      </c>
      <c r="AY46" s="2">
        <f t="shared" si="34"/>
        <v>46</v>
      </c>
      <c r="AZ46" s="2">
        <f t="shared" si="34"/>
        <v>47</v>
      </c>
      <c r="BA46" s="2">
        <f t="shared" si="34"/>
        <v>48</v>
      </c>
      <c r="BB46" s="11">
        <f t="shared" si="34"/>
        <v>0</v>
      </c>
      <c r="BC46" s="177">
        <f t="shared" si="34"/>
        <v>0</v>
      </c>
      <c r="CJ46" s="9" t="s">
        <v>33</v>
      </c>
      <c r="CK46" s="118" t="str">
        <f>+CK$11</f>
        <v>France</v>
      </c>
      <c r="CL46" s="118" t="str">
        <f>CL$33</f>
        <v>JUIN 25 jrs</v>
      </c>
      <c r="CM46" s="118" t="str">
        <f>CM$33</f>
        <v>JUIL 22 jrs</v>
      </c>
      <c r="CN46" s="118" t="e">
        <f>CN$33</f>
        <v>#N/A</v>
      </c>
      <c r="CO46" s="118" t="e">
        <f>CO$33</f>
        <v>#N/A</v>
      </c>
      <c r="CP46" s="118" t="e">
        <f>CP$33</f>
        <v>#N/A</v>
      </c>
      <c r="CQ46" s="118" t="str">
        <f>+CQ$11</f>
        <v>SEPT</v>
      </c>
      <c r="CR46" s="118" t="str">
        <f>+CR$11</f>
        <v>OCT</v>
      </c>
    </row>
    <row r="47" spans="1:98" outlineLevel="1">
      <c r="A47" t="s">
        <v>9</v>
      </c>
      <c r="B47" t="s">
        <v>328</v>
      </c>
      <c r="C47" s="72" t="s">
        <v>205</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198"/>
      <c r="BC47" s="63"/>
      <c r="BD47" s="29">
        <f>SUM(E47:BC47)</f>
        <v>0</v>
      </c>
      <c r="CJ47" s="72" t="s">
        <v>205</v>
      </c>
      <c r="CK47" s="28">
        <f ca="1">SUM((INDIRECT(CK$9&amp;ROW()):(INDIRECT(CK$10&amp;ROW()))))</f>
        <v>0</v>
      </c>
      <c r="CL47" s="28">
        <f ca="1">SUM((INDIRECT(CL$9&amp;ROW()):(INDIRECT(CL$10&amp;ROW()))))</f>
        <v>0</v>
      </c>
      <c r="CM47" s="28">
        <f ca="1">SUM((INDIRECT(CM$9&amp;ROW()):(INDIRECT(CM$10&amp;ROW()))))</f>
        <v>0</v>
      </c>
      <c r="CN47" s="28" t="e">
        <f ca="1">SUM((INDIRECT(CN$9&amp;ROW()):(INDIRECT(CN$10&amp;ROW()))))</f>
        <v>#N/A</v>
      </c>
      <c r="CO47" s="28" t="e">
        <f ca="1">SUM((INDIRECT(CO$9&amp;ROW()):(INDIRECT(CO$10&amp;ROW()))))</f>
        <v>#N/A</v>
      </c>
      <c r="CP47" s="28" t="e">
        <f ca="1">SUM((INDIRECT(CP$9&amp;ROW()):(INDIRECT(CP$10&amp;ROW()))))</f>
        <v>#N/A</v>
      </c>
      <c r="CQ47" s="28" t="e">
        <f ca="1">SUM((INDIRECT(CQ$9&amp;ROW()):(INDIRECT(CQ$10&amp;ROW()))))</f>
        <v>#REF!</v>
      </c>
      <c r="CR47" s="28" t="e">
        <f ca="1">SUM((INDIRECT(CR$9&amp;ROW()):(INDIRECT(CR$10&amp;ROW()))))</f>
        <v>#REF!</v>
      </c>
      <c r="CT47" s="28">
        <f ca="1">SUM((INDIRECT(CT$9&amp;ROW()):(INDIRECT(CT$10&amp;ROW()))))</f>
        <v>0</v>
      </c>
    </row>
    <row r="48" spans="1:98" outlineLevel="1">
      <c r="A48" t="s">
        <v>9</v>
      </c>
      <c r="B48" t="s">
        <v>328</v>
      </c>
      <c r="C48" s="73" t="s">
        <v>203</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198"/>
      <c r="BC48" s="63"/>
      <c r="BD48" s="29">
        <f>SUM(E48:BC48)</f>
        <v>0</v>
      </c>
      <c r="CJ48" s="73" t="s">
        <v>203</v>
      </c>
      <c r="CK48" s="28">
        <f ca="1">SUM((INDIRECT(CK$9&amp;ROW()):(INDIRECT(CK$10&amp;ROW()))))</f>
        <v>0</v>
      </c>
      <c r="CL48" s="28">
        <f ca="1">SUM((INDIRECT(CL$9&amp;ROW()):(INDIRECT(CL$10&amp;ROW()))))</f>
        <v>0</v>
      </c>
      <c r="CM48" s="28">
        <f ca="1">SUM((INDIRECT(CM$9&amp;ROW()):(INDIRECT(CM$10&amp;ROW()))))</f>
        <v>0</v>
      </c>
      <c r="CN48" s="28" t="e">
        <f ca="1">SUM((INDIRECT(CN$9&amp;ROW()):(INDIRECT(CN$10&amp;ROW()))))</f>
        <v>#N/A</v>
      </c>
      <c r="CO48" s="28" t="e">
        <f ca="1">SUM((INDIRECT(CO$9&amp;ROW()):(INDIRECT(CO$10&amp;ROW()))))</f>
        <v>#N/A</v>
      </c>
      <c r="CP48" s="28" t="e">
        <f ca="1">SUM((INDIRECT(CP$9&amp;ROW()):(INDIRECT(CP$10&amp;ROW()))))</f>
        <v>#N/A</v>
      </c>
      <c r="CQ48" s="28" t="e">
        <f ca="1">SUM((INDIRECT(CQ$9&amp;ROW()):(INDIRECT(CQ$10&amp;ROW()))))</f>
        <v>#REF!</v>
      </c>
      <c r="CR48" s="28" t="e">
        <f ca="1">SUM((INDIRECT(CR$9&amp;ROW()):(INDIRECT(CR$10&amp;ROW()))))</f>
        <v>#REF!</v>
      </c>
      <c r="CT48" s="28">
        <f ca="1">SUM((INDIRECT(CT$9&amp;ROW()):(INDIRECT(CT$10&amp;ROW()))))</f>
        <v>0</v>
      </c>
    </row>
    <row r="49" spans="1:98" outlineLevel="1">
      <c r="A49" t="s">
        <v>9</v>
      </c>
      <c r="B49" t="s">
        <v>328</v>
      </c>
      <c r="C49" s="73" t="s">
        <v>204</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198"/>
      <c r="BC49" s="63"/>
      <c r="BD49" s="29">
        <f>SUM(E49:BC49)</f>
        <v>0</v>
      </c>
      <c r="CJ49" s="73" t="s">
        <v>204</v>
      </c>
      <c r="CK49" s="28">
        <f ca="1">SUM((INDIRECT(CK$9&amp;ROW()):(INDIRECT(CK$10&amp;ROW()))))</f>
        <v>0</v>
      </c>
      <c r="CL49" s="28">
        <f ca="1">SUM((INDIRECT(CL$9&amp;ROW()):(INDIRECT(CL$10&amp;ROW()))))</f>
        <v>0</v>
      </c>
      <c r="CM49" s="28">
        <f ca="1">SUM((INDIRECT(CM$9&amp;ROW()):(INDIRECT(CM$10&amp;ROW()))))</f>
        <v>0</v>
      </c>
      <c r="CN49" s="28" t="e">
        <f ca="1">SUM((INDIRECT(CN$9&amp;ROW()):(INDIRECT(CN$10&amp;ROW()))))</f>
        <v>#N/A</v>
      </c>
      <c r="CO49" s="28" t="e">
        <f ca="1">SUM((INDIRECT(CO$9&amp;ROW()):(INDIRECT(CO$10&amp;ROW()))))</f>
        <v>#N/A</v>
      </c>
      <c r="CP49" s="28" t="e">
        <f ca="1">SUM((INDIRECT(CP$9&amp;ROW()):(INDIRECT(CP$10&amp;ROW()))))</f>
        <v>#N/A</v>
      </c>
      <c r="CQ49" s="28" t="e">
        <f ca="1">SUM((INDIRECT(CQ$9&amp;ROW()):(INDIRECT(CQ$10&amp;ROW()))))</f>
        <v>#REF!</v>
      </c>
      <c r="CR49" s="28" t="e">
        <f ca="1">SUM((INDIRECT(CR$9&amp;ROW()):(INDIRECT(CR$10&amp;ROW()))))</f>
        <v>#REF!</v>
      </c>
      <c r="CT49" s="28">
        <f ca="1">SUM((INDIRECT(CT$9&amp;ROW()):(INDIRECT(CT$10&amp;ROW()))))</f>
        <v>0</v>
      </c>
    </row>
    <row r="50" spans="1:98" outlineLevel="1">
      <c r="A50" t="s">
        <v>9</v>
      </c>
      <c r="B50" t="s">
        <v>328</v>
      </c>
      <c r="C50" s="73" t="s">
        <v>146</v>
      </c>
      <c r="E50" s="2">
        <v>5</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98"/>
      <c r="BC50" s="63"/>
      <c r="BD50" s="29">
        <f>SUM(E50:BC50)</f>
        <v>5</v>
      </c>
      <c r="CJ50" s="73" t="s">
        <v>146</v>
      </c>
      <c r="CK50" s="28">
        <f ca="1">SUM((INDIRECT(CK$9&amp;ROW()):(INDIRECT(CK$10&amp;ROW()))))</f>
        <v>5</v>
      </c>
      <c r="CL50" s="28">
        <f ca="1">SUM((INDIRECT(CL$9&amp;ROW()):(INDIRECT(CL$10&amp;ROW()))))</f>
        <v>0</v>
      </c>
      <c r="CM50" s="28">
        <f ca="1">SUM((INDIRECT(CM$9&amp;ROW()):(INDIRECT(CM$10&amp;ROW()))))</f>
        <v>0</v>
      </c>
      <c r="CN50" s="28" t="e">
        <f ca="1">SUM((INDIRECT(CN$9&amp;ROW()):(INDIRECT(CN$10&amp;ROW()))))</f>
        <v>#N/A</v>
      </c>
      <c r="CO50" s="28" t="e">
        <f ca="1">SUM((INDIRECT(CO$9&amp;ROW()):(INDIRECT(CO$10&amp;ROW()))))</f>
        <v>#N/A</v>
      </c>
      <c r="CP50" s="28" t="e">
        <f ca="1">SUM((INDIRECT(CP$9&amp;ROW()):(INDIRECT(CP$10&amp;ROW()))))</f>
        <v>#N/A</v>
      </c>
      <c r="CQ50" s="28" t="e">
        <f ca="1">SUM((INDIRECT(CQ$9&amp;ROW()):(INDIRECT(CQ$10&amp;ROW()))))</f>
        <v>#REF!</v>
      </c>
      <c r="CR50" s="28" t="e">
        <f ca="1">SUM((INDIRECT(CR$9&amp;ROW()):(INDIRECT(CR$10&amp;ROW()))))</f>
        <v>#REF!</v>
      </c>
      <c r="CT50" s="28">
        <f ca="1">SUM((INDIRECT(CT$9&amp;ROW()):(INDIRECT(CT$10&amp;ROW()))))</f>
        <v>0</v>
      </c>
    </row>
    <row r="51" spans="1:98" ht="15" outlineLevel="1" thickBot="1">
      <c r="A51" t="s">
        <v>9</v>
      </c>
      <c r="B51" t="s">
        <v>328</v>
      </c>
      <c r="C51" s="73" t="s">
        <v>630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98"/>
      <c r="BC51" s="63"/>
      <c r="BD51" s="29">
        <f>SUM(E51:BC51)</f>
        <v>0</v>
      </c>
      <c r="CJ51" s="73" t="s">
        <v>630</v>
      </c>
      <c r="CK51" s="28">
        <f ca="1">SUM((INDIRECT(CK$9&amp;ROW()):(INDIRECT(CK$10&amp;ROW()))))</f>
        <v>0</v>
      </c>
      <c r="CL51" s="28">
        <f ca="1">SUM((INDIRECT(CL$9&amp;ROW()):(INDIRECT(CL$10&amp;ROW()))))</f>
        <v>0</v>
      </c>
      <c r="CM51" s="28">
        <f ca="1">SUM((INDIRECT(CM$9&amp;ROW()):(INDIRECT(CM$10&amp;ROW()))))</f>
        <v>0</v>
      </c>
      <c r="CN51" s="28" t="e">
        <f ca="1">SUM((INDIRECT(CN$9&amp;ROW()):(INDIRECT(CN$10&amp;ROW()))))</f>
        <v>#N/A</v>
      </c>
      <c r="CO51" s="28" t="e">
        <f ca="1">SUM((INDIRECT(CO$9&amp;ROW()):(INDIRECT(CO$10&amp;ROW()))))</f>
        <v>#N/A</v>
      </c>
      <c r="CP51" s="28" t="e">
        <f ca="1">SUM((INDIRECT(CP$9&amp;ROW()):(INDIRECT(CP$10&amp;ROW()))))</f>
        <v>#N/A</v>
      </c>
      <c r="CQ51" s="28" t="e">
        <f ca="1">SUM((INDIRECT(CQ$9&amp;ROW()):(INDIRECT(CQ$10&amp;ROW()))))</f>
        <v>#REF!</v>
      </c>
      <c r="CR51" s="28" t="e">
        <f ca="1">SUM((INDIRECT(CR$9&amp;ROW()):(INDIRECT(CR$10&amp;ROW()))))</f>
        <v>#REF!</v>
      </c>
      <c r="CT51" s="28">
        <f ca="1">SUM((INDIRECT(CT$9&amp;ROW()):(INDIRECT(CT$10&amp;ROW()))))</f>
        <v>0</v>
      </c>
    </row>
    <row r="52" spans="1:98" outlineLevel="1">
      <c r="A52" t="s">
        <v>9</v>
      </c>
      <c r="B52" t="s">
        <v>559</v>
      </c>
      <c r="C52" s="72" t="s">
        <v>149</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98"/>
      <c r="BC52" s="63"/>
      <c r="BD52" s="28">
        <f t="shared" ref="BD52:BD62" si="35">SUM(D52:BC52)</f>
        <v>0</v>
      </c>
      <c r="CJ52" s="72" t="s">
        <v>149</v>
      </c>
      <c r="CK52" s="28">
        <f ca="1">SUM((INDIRECT(CK$9&amp;ROW()):(INDIRECT(CK$10&amp;ROW()))))</f>
        <v>0</v>
      </c>
      <c r="CL52" s="28">
        <f ca="1">SUM((INDIRECT(CL$9&amp;ROW()):(INDIRECT(CL$10&amp;ROW()))))</f>
        <v>0</v>
      </c>
      <c r="CM52" s="28">
        <f ca="1">SUM((INDIRECT(CM$9&amp;ROW()):(INDIRECT(CM$10&amp;ROW()))))</f>
        <v>0</v>
      </c>
      <c r="CN52" s="28" t="e">
        <f ca="1">SUM((INDIRECT(CN$9&amp;ROW()):(INDIRECT(CN$10&amp;ROW()))))</f>
        <v>#N/A</v>
      </c>
      <c r="CO52" s="28" t="e">
        <f ca="1">SUM((INDIRECT(CO$9&amp;ROW()):(INDIRECT(CO$10&amp;ROW()))))</f>
        <v>#N/A</v>
      </c>
      <c r="CP52" s="28" t="e">
        <f ca="1">SUM((INDIRECT(CP$9&amp;ROW()):(INDIRECT(CP$10&amp;ROW()))))</f>
        <v>#N/A</v>
      </c>
      <c r="CQ52" s="28" t="e">
        <f ca="1">SUM((INDIRECT(CQ$9&amp;ROW()):(INDIRECT(CQ$10&amp;ROW()))))</f>
        <v>#REF!</v>
      </c>
      <c r="CR52" s="28" t="e">
        <f ca="1">SUM((INDIRECT(CR$9&amp;ROW()):(INDIRECT(CR$10&amp;ROW()))))</f>
        <v>#REF!</v>
      </c>
      <c r="CT52" s="28">
        <f ca="1">SUM((INDIRECT(CT$9&amp;ROW()):(INDIRECT(CT$10&amp;ROW()))))</f>
        <v>0</v>
      </c>
    </row>
    <row r="53" spans="1:98" outlineLevel="1">
      <c r="A53" t="s">
        <v>9</v>
      </c>
      <c r="B53" t="s">
        <v>559</v>
      </c>
      <c r="C53" s="73" t="s">
        <v>632</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98"/>
      <c r="BC53" s="63"/>
      <c r="BD53" s="28">
        <f t="shared" si="35"/>
        <v>0</v>
      </c>
      <c r="CJ53" s="73" t="s">
        <v>632</v>
      </c>
      <c r="CK53" s="28">
        <f ca="1">SUM((INDIRECT(CK$9&amp;ROW()):(INDIRECT(CK$10&amp;ROW()))))</f>
        <v>0</v>
      </c>
      <c r="CL53" s="28">
        <f ca="1">SUM((INDIRECT(CL$9&amp;ROW()):(INDIRECT(CL$10&amp;ROW()))))</f>
        <v>0</v>
      </c>
      <c r="CM53" s="28">
        <f ca="1">SUM((INDIRECT(CM$9&amp;ROW()):(INDIRECT(CM$10&amp;ROW()))))</f>
        <v>0</v>
      </c>
      <c r="CN53" s="28" t="e">
        <f ca="1">SUM((INDIRECT(CN$9&amp;ROW()):(INDIRECT(CN$10&amp;ROW()))))</f>
        <v>#N/A</v>
      </c>
      <c r="CO53" s="28" t="e">
        <f ca="1">SUM((INDIRECT(CO$9&amp;ROW()):(INDIRECT(CO$10&amp;ROW()))))</f>
        <v>#N/A</v>
      </c>
      <c r="CP53" s="28" t="e">
        <f ca="1">SUM((INDIRECT(CP$9&amp;ROW()):(INDIRECT(CP$10&amp;ROW()))))</f>
        <v>#N/A</v>
      </c>
      <c r="CQ53" s="28" t="e">
        <f ca="1">SUM((INDIRECT(CQ$9&amp;ROW()):(INDIRECT(CQ$10&amp;ROW()))))</f>
        <v>#REF!</v>
      </c>
      <c r="CR53" s="28" t="e">
        <f ca="1">SUM((INDIRECT(CR$9&amp;ROW()):(INDIRECT(CR$10&amp;ROW()))))</f>
        <v>#REF!</v>
      </c>
      <c r="CT53" s="28">
        <f ca="1">SUM((INDIRECT(CT$9&amp;ROW()):(INDIRECT(CT$10&amp;ROW()))))</f>
        <v>0</v>
      </c>
    </row>
    <row r="54" spans="1:98" ht="15" outlineLevel="1" thickBot="1">
      <c r="A54" t="s">
        <v>9</v>
      </c>
      <c r="B54" t="s">
        <v>559</v>
      </c>
      <c r="C54" s="74" t="s">
        <v>629</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98"/>
      <c r="BC54" s="63"/>
      <c r="BD54" s="28">
        <f t="shared" si="35"/>
        <v>0</v>
      </c>
      <c r="CJ54" s="74" t="s">
        <v>629</v>
      </c>
      <c r="CK54" s="28">
        <f ca="1">SUM((INDIRECT(CK$9&amp;ROW()):(INDIRECT(CK$10&amp;ROW()))))</f>
        <v>0</v>
      </c>
      <c r="CL54" s="28">
        <f ca="1">SUM((INDIRECT(CL$9&amp;ROW()):(INDIRECT(CL$10&amp;ROW()))))</f>
        <v>0</v>
      </c>
      <c r="CM54" s="28">
        <f ca="1">SUM((INDIRECT(CM$9&amp;ROW()):(INDIRECT(CM$10&amp;ROW()))))</f>
        <v>0</v>
      </c>
      <c r="CN54" s="28" t="e">
        <f ca="1">SUM((INDIRECT(CN$9&amp;ROW()):(INDIRECT(CN$10&amp;ROW()))))</f>
        <v>#N/A</v>
      </c>
      <c r="CO54" s="28" t="e">
        <f ca="1">SUM((INDIRECT(CO$9&amp;ROW()):(INDIRECT(CO$10&amp;ROW()))))</f>
        <v>#N/A</v>
      </c>
      <c r="CP54" s="28" t="e">
        <f ca="1">SUM((INDIRECT(CP$9&amp;ROW()):(INDIRECT(CP$10&amp;ROW()))))</f>
        <v>#N/A</v>
      </c>
      <c r="CQ54" s="28" t="e">
        <f ca="1">SUM((INDIRECT(CQ$9&amp;ROW()):(INDIRECT(CQ$10&amp;ROW()))))</f>
        <v>#REF!</v>
      </c>
      <c r="CR54" s="28" t="e">
        <f ca="1">SUM((INDIRECT(CR$9&amp;ROW()):(INDIRECT(CR$10&amp;ROW()))))</f>
        <v>#REF!</v>
      </c>
      <c r="CT54" s="28">
        <f ca="1">SUM((INDIRECT(CT$9&amp;ROW()):(INDIRECT(CT$10&amp;ROW()))))</f>
        <v>0</v>
      </c>
    </row>
    <row r="55" spans="1:98" outlineLevel="1">
      <c r="A55" t="s">
        <v>9</v>
      </c>
      <c r="B55" t="s">
        <v>23</v>
      </c>
      <c r="C55" s="72" t="s">
        <v>23</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98"/>
      <c r="BC55" s="63"/>
      <c r="BD55" s="28">
        <f t="shared" si="35"/>
        <v>0</v>
      </c>
      <c r="CJ55" s="72" t="s">
        <v>23</v>
      </c>
      <c r="CK55" s="28">
        <f ca="1">SUM((INDIRECT(CK$9&amp;ROW()):(INDIRECT(CK$10&amp;ROW()))))</f>
        <v>0</v>
      </c>
      <c r="CL55" s="28">
        <f ca="1">SUM((INDIRECT(CL$9&amp;ROW()):(INDIRECT(CL$10&amp;ROW()))))</f>
        <v>0</v>
      </c>
      <c r="CM55" s="28">
        <f ca="1">SUM((INDIRECT(CM$9&amp;ROW()):(INDIRECT(CM$10&amp;ROW()))))</f>
        <v>0</v>
      </c>
      <c r="CN55" s="28" t="e">
        <f ca="1">SUM((INDIRECT(CN$9&amp;ROW()):(INDIRECT(CN$10&amp;ROW()))))</f>
        <v>#N/A</v>
      </c>
      <c r="CO55" s="28" t="e">
        <f ca="1">SUM((INDIRECT(CO$9&amp;ROW()):(INDIRECT(CO$10&amp;ROW()))))</f>
        <v>#N/A</v>
      </c>
      <c r="CP55" s="28" t="e">
        <f ca="1">SUM((INDIRECT(CP$9&amp;ROW()):(INDIRECT(CP$10&amp;ROW()))))</f>
        <v>#N/A</v>
      </c>
      <c r="CQ55" s="28" t="e">
        <f ca="1">SUM((INDIRECT(CQ$9&amp;ROW()):(INDIRECT(CQ$10&amp;ROW()))))</f>
        <v>#REF!</v>
      </c>
      <c r="CR55" s="28" t="e">
        <f ca="1">SUM((INDIRECT(CR$9&amp;ROW()):(INDIRECT(CR$10&amp;ROW()))))</f>
        <v>#REF!</v>
      </c>
      <c r="CT55" s="28">
        <f ca="1">SUM((INDIRECT(CT$9&amp;ROW()):(INDIRECT(CT$10&amp;ROW()))))</f>
        <v>0</v>
      </c>
    </row>
    <row r="56" spans="1:98" outlineLevel="1">
      <c r="A56" t="s">
        <v>9</v>
      </c>
      <c r="B56" t="s">
        <v>23</v>
      </c>
      <c r="C56" s="73" t="s">
        <v>151</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98"/>
      <c r="BC56" s="63"/>
      <c r="BD56" s="28">
        <f t="shared" si="35"/>
        <v>0</v>
      </c>
      <c r="CJ56" s="73" t="s">
        <v>151</v>
      </c>
      <c r="CK56" s="28">
        <f ca="1">SUM((INDIRECT(CK$9&amp;ROW()):(INDIRECT(CK$10&amp;ROW()))))</f>
        <v>0</v>
      </c>
      <c r="CL56" s="28">
        <f ca="1">SUM((INDIRECT(CL$9&amp;ROW()):(INDIRECT(CL$10&amp;ROW()))))</f>
        <v>0</v>
      </c>
      <c r="CM56" s="28">
        <f ca="1">SUM((INDIRECT(CM$9&amp;ROW()):(INDIRECT(CM$10&amp;ROW()))))</f>
        <v>0</v>
      </c>
      <c r="CN56" s="28" t="e">
        <f ca="1">SUM((INDIRECT(CN$9&amp;ROW()):(INDIRECT(CN$10&amp;ROW()))))</f>
        <v>#N/A</v>
      </c>
      <c r="CO56" s="28" t="e">
        <f ca="1">SUM((INDIRECT(CO$9&amp;ROW()):(INDIRECT(CO$10&amp;ROW()))))</f>
        <v>#N/A</v>
      </c>
      <c r="CP56" s="28" t="e">
        <f ca="1">SUM((INDIRECT(CP$9&amp;ROW()):(INDIRECT(CP$10&amp;ROW()))))</f>
        <v>#N/A</v>
      </c>
      <c r="CQ56" s="28" t="e">
        <f ca="1">SUM((INDIRECT(CQ$9&amp;ROW()):(INDIRECT(CQ$10&amp;ROW()))))</f>
        <v>#REF!</v>
      </c>
      <c r="CR56" s="28" t="e">
        <f ca="1">SUM((INDIRECT(CR$9&amp;ROW()):(INDIRECT(CR$10&amp;ROW()))))</f>
        <v>#REF!</v>
      </c>
      <c r="CT56" s="28">
        <f ca="1">SUM((INDIRECT(CT$9&amp;ROW()):(INDIRECT(CT$10&amp;ROW()))))</f>
        <v>0</v>
      </c>
    </row>
    <row r="57" spans="1:98" ht="15" outlineLevel="1" thickBot="1">
      <c r="A57" t="s">
        <v>9</v>
      </c>
      <c r="B57" t="s">
        <v>23</v>
      </c>
      <c r="C57" s="74" t="s">
        <v>8</v>
      </c>
      <c r="E57"/>
      <c r="F57"/>
      <c r="G57"/>
      <c r="H57"/>
      <c r="I57"/>
      <c r="J57"/>
      <c r="K57"/>
      <c r="L57"/>
      <c r="M57"/>
      <c r="N57"/>
      <c r="O57"/>
      <c r="P57"/>
      <c r="Q57"/>
      <c r="R57"/>
      <c r="S57"/>
      <c r="T57"/>
      <c r="U57"/>
      <c r="V57"/>
      <c r="W57"/>
      <c r="X57"/>
      <c r="Y57"/>
      <c r="Z57"/>
      <c r="AA57"/>
      <c r="AB57"/>
      <c r="AC57"/>
      <c r="AD57"/>
      <c r="AE57"/>
      <c r="AF57"/>
      <c r="AG57"/>
      <c r="AH57"/>
      <c r="AI57"/>
      <c r="AJ57"/>
      <c r="AK57"/>
      <c r="AL57"/>
      <c r="AM57"/>
      <c r="AN57"/>
      <c r="AO57">
        <v>50</v>
      </c>
      <c r="AP57">
        <v>55</v>
      </c>
      <c r="AQ57"/>
      <c r="AR57"/>
      <c r="AS57"/>
      <c r="AT57"/>
      <c r="AU57"/>
      <c r="AV57"/>
      <c r="AW57"/>
      <c r="AX57"/>
      <c r="AY57"/>
      <c r="AZ57"/>
      <c r="BA57"/>
      <c r="BB57" s="198"/>
      <c r="BC57" s="63"/>
      <c r="BD57" s="28">
        <f t="shared" si="35"/>
        <v>105</v>
      </c>
      <c r="CJ57" s="74" t="s">
        <v>8</v>
      </c>
      <c r="CK57" s="28">
        <f ca="1">SUM((INDIRECT(CK$9&amp;ROW()):(INDIRECT(CK$10&amp;ROW()))))</f>
        <v>0</v>
      </c>
      <c r="CL57" s="28">
        <f ca="1">SUM((INDIRECT(CL$9&amp;ROW()):(INDIRECT(CL$10&amp;ROW()))))</f>
        <v>0</v>
      </c>
      <c r="CM57" s="28">
        <f ca="1">SUM((INDIRECT(CM$9&amp;ROW()):(INDIRECT(CM$10&amp;ROW()))))</f>
        <v>105</v>
      </c>
      <c r="CN57" s="28" t="e">
        <f ca="1">SUM((INDIRECT(CN$9&amp;ROW()):(INDIRECT(CN$10&amp;ROW()))))</f>
        <v>#N/A</v>
      </c>
      <c r="CO57" s="28" t="e">
        <f ca="1">SUM((INDIRECT(CO$9&amp;ROW()):(INDIRECT(CO$10&amp;ROW()))))</f>
        <v>#N/A</v>
      </c>
      <c r="CP57" s="28" t="e">
        <f ca="1">SUM((INDIRECT(CP$9&amp;ROW()):(INDIRECT(CP$10&amp;ROW()))))</f>
        <v>#N/A</v>
      </c>
      <c r="CQ57" s="28" t="e">
        <f ca="1">SUM((INDIRECT(CQ$9&amp;ROW()):(INDIRECT(CQ$10&amp;ROW()))))</f>
        <v>#REF!</v>
      </c>
      <c r="CR57" s="28" t="e">
        <f ca="1">SUM((INDIRECT(CR$9&amp;ROW()):(INDIRECT(CR$10&amp;ROW()))))</f>
        <v>#REF!</v>
      </c>
      <c r="CT57" s="28">
        <f ca="1">SUM((INDIRECT(CT$9&amp;ROW()):(INDIRECT(CT$10&amp;ROW()))))</f>
        <v>105</v>
      </c>
    </row>
    <row r="58" spans="1:98" outlineLevel="1">
      <c r="A58" t="s">
        <v>9</v>
      </c>
      <c r="B58" t="s">
        <v>25</v>
      </c>
      <c r="C58" s="72" t="s">
        <v>150</v>
      </c>
      <c r="E58" s="2">
        <v>40</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98"/>
      <c r="BC58" s="63"/>
      <c r="BD58" s="28">
        <f t="shared" si="35"/>
        <v>40</v>
      </c>
      <c r="CJ58" s="72" t="s">
        <v>150</v>
      </c>
      <c r="CK58" s="28">
        <f ca="1">SUM((INDIRECT(CK$9&amp;ROW()):(INDIRECT(CK$10&amp;ROW()))))</f>
        <v>40</v>
      </c>
      <c r="CL58" s="28">
        <f ca="1">SUM((INDIRECT(CL$9&amp;ROW()):(INDIRECT(CL$10&amp;ROW()))))</f>
        <v>0</v>
      </c>
      <c r="CM58" s="28">
        <f ca="1">SUM((INDIRECT(CM$9&amp;ROW()):(INDIRECT(CM$10&amp;ROW()))))</f>
        <v>0</v>
      </c>
      <c r="CN58" s="28" t="e">
        <f ca="1">SUM((INDIRECT(CN$9&amp;ROW()):(INDIRECT(CN$10&amp;ROW()))))</f>
        <v>#N/A</v>
      </c>
      <c r="CO58" s="28" t="e">
        <f ca="1">SUM((INDIRECT(CO$9&amp;ROW()):(INDIRECT(CO$10&amp;ROW()))))</f>
        <v>#N/A</v>
      </c>
      <c r="CP58" s="28" t="e">
        <f ca="1">SUM((INDIRECT(CP$9&amp;ROW()):(INDIRECT(CP$10&amp;ROW()))))</f>
        <v>#N/A</v>
      </c>
      <c r="CQ58" s="28" t="e">
        <f ca="1">SUM((INDIRECT(CQ$9&amp;ROW()):(INDIRECT(CQ$10&amp;ROW()))))</f>
        <v>#REF!</v>
      </c>
      <c r="CR58" s="28" t="e">
        <f ca="1">SUM((INDIRECT(CR$9&amp;ROW()):(INDIRECT(CR$10&amp;ROW()))))</f>
        <v>#REF!</v>
      </c>
      <c r="CT58" s="28">
        <f ca="1">SUM((INDIRECT(CT$9&amp;ROW()):(INDIRECT(CT$10&amp;ROW()))))</f>
        <v>0</v>
      </c>
    </row>
    <row r="59" spans="1:98" ht="15" outlineLevel="1" thickBot="1">
      <c r="A59" t="s">
        <v>9</v>
      </c>
      <c r="B59" t="s">
        <v>25</v>
      </c>
      <c r="C59" s="74" t="s">
        <v>144</v>
      </c>
      <c r="E59" s="491">
        <v>1262</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98"/>
      <c r="BC59" s="63"/>
      <c r="BD59" s="28">
        <f t="shared" si="35"/>
        <v>1262</v>
      </c>
      <c r="CJ59" s="74" t="s">
        <v>144</v>
      </c>
      <c r="CK59" s="28">
        <f ca="1">SUM((INDIRECT(CK$9&amp;ROW()):(INDIRECT(CK$10&amp;ROW()))))</f>
        <v>1262</v>
      </c>
      <c r="CL59" s="28">
        <f ca="1">SUM((INDIRECT(CL$9&amp;ROW()):(INDIRECT(CL$10&amp;ROW()))))</f>
        <v>0</v>
      </c>
      <c r="CM59" s="28">
        <f ca="1">SUM((INDIRECT(CM$9&amp;ROW()):(INDIRECT(CM$10&amp;ROW()))))</f>
        <v>0</v>
      </c>
      <c r="CN59" s="28" t="e">
        <f ca="1">SUM((INDIRECT(CN$9&amp;ROW()):(INDIRECT(CN$10&amp;ROW()))))</f>
        <v>#N/A</v>
      </c>
      <c r="CO59" s="28" t="e">
        <f ca="1">SUM((INDIRECT(CO$9&amp;ROW()):(INDIRECT(CO$10&amp;ROW()))))</f>
        <v>#N/A</v>
      </c>
      <c r="CP59" s="28" t="e">
        <f ca="1">SUM((INDIRECT(CP$9&amp;ROW()):(INDIRECT(CP$10&amp;ROW()))))</f>
        <v>#N/A</v>
      </c>
      <c r="CQ59" s="28" t="e">
        <f ca="1">SUM((INDIRECT(CQ$9&amp;ROW()):(INDIRECT(CQ$10&amp;ROW()))))</f>
        <v>#REF!</v>
      </c>
      <c r="CR59" s="28" t="e">
        <f ca="1">SUM((INDIRECT(CR$9&amp;ROW()):(INDIRECT(CR$10&amp;ROW()))))</f>
        <v>#REF!</v>
      </c>
      <c r="CT59" s="28">
        <f ca="1">SUM((INDIRECT(CT$9&amp;ROW()):(INDIRECT(CT$10&amp;ROW()))))</f>
        <v>0</v>
      </c>
    </row>
    <row r="60" spans="1:98" outlineLevel="1">
      <c r="A60" t="s">
        <v>9</v>
      </c>
      <c r="B60" t="s">
        <v>24</v>
      </c>
      <c r="C60" s="72" t="s">
        <v>145</v>
      </c>
      <c r="E60" s="492"/>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98"/>
      <c r="BC60" s="63"/>
      <c r="BD60" s="28">
        <f t="shared" si="35"/>
        <v>0</v>
      </c>
      <c r="CJ60" s="72" t="s">
        <v>145</v>
      </c>
      <c r="CK60" s="28">
        <f ca="1">SUM((INDIRECT(CK$9&amp;ROW()):(INDIRECT(CK$10&amp;ROW()))))</f>
        <v>0</v>
      </c>
      <c r="CL60" s="28">
        <f ca="1">SUM((INDIRECT(CL$9&amp;ROW()):(INDIRECT(CL$10&amp;ROW()))))</f>
        <v>0</v>
      </c>
      <c r="CM60" s="28">
        <f ca="1">SUM((INDIRECT(CM$9&amp;ROW()):(INDIRECT(CM$10&amp;ROW()))))</f>
        <v>0</v>
      </c>
      <c r="CN60" s="28" t="e">
        <f ca="1">SUM((INDIRECT(CN$9&amp;ROW()):(INDIRECT(CN$10&amp;ROW()))))</f>
        <v>#N/A</v>
      </c>
      <c r="CO60" s="28" t="e">
        <f ca="1">SUM((INDIRECT(CO$9&amp;ROW()):(INDIRECT(CO$10&amp;ROW()))))</f>
        <v>#N/A</v>
      </c>
      <c r="CP60" s="28" t="e">
        <f ca="1">SUM((INDIRECT(CP$9&amp;ROW()):(INDIRECT(CP$10&amp;ROW()))))</f>
        <v>#N/A</v>
      </c>
      <c r="CQ60" s="28" t="e">
        <f ca="1">SUM((INDIRECT(CQ$9&amp;ROW()):(INDIRECT(CQ$10&amp;ROW()))))</f>
        <v>#REF!</v>
      </c>
      <c r="CR60" s="28" t="e">
        <f ca="1">SUM((INDIRECT(CR$9&amp;ROW()):(INDIRECT(CR$10&amp;ROW()))))</f>
        <v>#REF!</v>
      </c>
      <c r="CT60" s="28">
        <f ca="1">SUM((INDIRECT(CT$9&amp;ROW()):(INDIRECT(CT$10&amp;ROW()))))</f>
        <v>0</v>
      </c>
    </row>
    <row r="61" spans="1:98" outlineLevel="1">
      <c r="A61" t="s">
        <v>9</v>
      </c>
      <c r="B61" t="s">
        <v>24</v>
      </c>
      <c r="C61" s="73" t="s">
        <v>206</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98"/>
      <c r="BC61" s="63"/>
      <c r="BD61" s="28">
        <f t="shared" si="35"/>
        <v>0</v>
      </c>
      <c r="CJ61" s="73" t="s">
        <v>206</v>
      </c>
      <c r="CK61" s="28">
        <f ca="1">SUM((INDIRECT(CK$9&amp;ROW()):(INDIRECT(CK$10&amp;ROW()))))</f>
        <v>0</v>
      </c>
      <c r="CL61" s="28">
        <f ca="1">SUM((INDIRECT(CL$9&amp;ROW()):(INDIRECT(CL$10&amp;ROW()))))</f>
        <v>0</v>
      </c>
      <c r="CM61" s="28">
        <f ca="1">SUM((INDIRECT(CM$9&amp;ROW()):(INDIRECT(CM$10&amp;ROW()))))</f>
        <v>0</v>
      </c>
      <c r="CN61" s="28" t="e">
        <f ca="1">SUM((INDIRECT(CN$9&amp;ROW()):(INDIRECT(CN$10&amp;ROW()))))</f>
        <v>#N/A</v>
      </c>
      <c r="CO61" s="28" t="e">
        <f ca="1">SUM((INDIRECT(CO$9&amp;ROW()):(INDIRECT(CO$10&amp;ROW()))))</f>
        <v>#N/A</v>
      </c>
      <c r="CP61" s="28" t="e">
        <f ca="1">SUM((INDIRECT(CP$9&amp;ROW()):(INDIRECT(CP$10&amp;ROW()))))</f>
        <v>#N/A</v>
      </c>
      <c r="CQ61" s="28" t="e">
        <f ca="1">SUM((INDIRECT(CQ$9&amp;ROW()):(INDIRECT(CQ$10&amp;ROW()))))</f>
        <v>#REF!</v>
      </c>
      <c r="CR61" s="28" t="e">
        <f ca="1">SUM((INDIRECT(CR$9&amp;ROW()):(INDIRECT(CR$10&amp;ROW()))))</f>
        <v>#REF!</v>
      </c>
      <c r="CT61" s="28">
        <f ca="1">SUM((INDIRECT(CT$9&amp;ROW()):(INDIRECT(CT$10&amp;ROW()))))</f>
        <v>0</v>
      </c>
    </row>
    <row r="62" spans="1:98" ht="15" outlineLevel="1" thickBot="1">
      <c r="A62" t="s">
        <v>9</v>
      </c>
      <c r="B62" t="s">
        <v>24</v>
      </c>
      <c r="C62" s="74" t="s">
        <v>136</v>
      </c>
      <c r="E62" s="492">
        <v>358.34</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98"/>
      <c r="BC62" s="63"/>
      <c r="BD62" s="28">
        <f t="shared" si="35"/>
        <v>358.34</v>
      </c>
      <c r="CJ62" s="74" t="s">
        <v>136</v>
      </c>
      <c r="CK62" s="28">
        <f ca="1">SUM((INDIRECT(CK$9&amp;ROW()):(INDIRECT(CK$10&amp;ROW()))))</f>
        <v>358.34</v>
      </c>
      <c r="CL62" s="28">
        <f ca="1">SUM((INDIRECT(CL$9&amp;ROW()):(INDIRECT(CL$10&amp;ROW()))))</f>
        <v>0</v>
      </c>
      <c r="CM62" s="28">
        <f ca="1">SUM((INDIRECT(CM$9&amp;ROW()):(INDIRECT(CM$10&amp;ROW()))))</f>
        <v>0</v>
      </c>
      <c r="CN62" s="28" t="e">
        <f ca="1">SUM((INDIRECT(CN$9&amp;ROW()):(INDIRECT(CN$10&amp;ROW()))))</f>
        <v>#N/A</v>
      </c>
      <c r="CO62" s="28" t="e">
        <f ca="1">SUM((INDIRECT(CO$9&amp;ROW()):(INDIRECT(CO$10&amp;ROW()))))</f>
        <v>#N/A</v>
      </c>
      <c r="CP62" s="28" t="e">
        <f ca="1">SUM((INDIRECT(CP$9&amp;ROW()):(INDIRECT(CP$10&amp;ROW()))))</f>
        <v>#N/A</v>
      </c>
      <c r="CQ62" s="28" t="e">
        <f ca="1">SUM((INDIRECT(CQ$9&amp;ROW()):(INDIRECT(CQ$10&amp;ROW()))))</f>
        <v>#REF!</v>
      </c>
      <c r="CR62" s="28" t="e">
        <f ca="1">SUM((INDIRECT(CR$9&amp;ROW()):(INDIRECT(CR$10&amp;ROW()))))</f>
        <v>#REF!</v>
      </c>
      <c r="CT62" s="28">
        <f ca="1">SUM((INDIRECT(CT$9&amp;ROW()):(INDIRECT(CT$10&amp;ROW()))))</f>
        <v>0</v>
      </c>
    </row>
    <row r="63" spans="1:98" ht="15" outlineLevel="1" thickBot="1">
      <c r="A63" t="s">
        <v>9</v>
      </c>
      <c r="B63" t="s">
        <v>558</v>
      </c>
      <c r="C63" s="74" t="s">
        <v>564</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99"/>
      <c r="BC63" s="179"/>
      <c r="BD63" s="28">
        <v>0</v>
      </c>
      <c r="CJ63" s="74" t="s">
        <v>564</v>
      </c>
      <c r="CK63" s="28"/>
      <c r="CL63" s="28"/>
      <c r="CM63" s="28"/>
      <c r="CN63" s="28"/>
      <c r="CO63" s="28"/>
      <c r="CP63" s="28"/>
      <c r="CQ63" s="28"/>
      <c r="CR63" s="28"/>
      <c r="CT63" s="28">
        <f ca="1">SUM((INDIRECT(CT$9&amp;ROW()):(INDIRECT(CT$10&amp;ROW()))))</f>
        <v>0</v>
      </c>
    </row>
    <row r="64" spans="1:98" ht="15" outlineLevel="1" thickBot="1">
      <c r="A64" t="s">
        <v>9</v>
      </c>
      <c r="B64" t="s">
        <v>558</v>
      </c>
      <c r="C64" s="74" t="s">
        <v>549</v>
      </c>
      <c r="E64"/>
      <c r="F64"/>
      <c r="G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99"/>
      <c r="BC64" s="179"/>
      <c r="BD64" s="28"/>
      <c r="CJ64" s="74" t="s">
        <v>549</v>
      </c>
      <c r="CK64" s="28"/>
      <c r="CL64" s="28"/>
      <c r="CM64" s="28"/>
      <c r="CN64" s="28"/>
      <c r="CO64" s="28"/>
      <c r="CP64" s="28"/>
      <c r="CQ64" s="28"/>
      <c r="CR64" s="28"/>
      <c r="CT64" s="28">
        <f ca="1">SUM((INDIRECT(CT$9&amp;ROW()):(INDIRECT(CT$10&amp;ROW()))))</f>
        <v>0</v>
      </c>
    </row>
    <row r="65" spans="1:106" outlineLevel="2">
      <c r="C65" s="2"/>
      <c r="E65"/>
      <c r="F65"/>
      <c r="G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99"/>
      <c r="BC65" s="179"/>
      <c r="BD65" s="28"/>
      <c r="CK65" s="28"/>
      <c r="CL65" s="28"/>
      <c r="CM65" s="28"/>
      <c r="CN65" s="28"/>
      <c r="CO65" s="28"/>
      <c r="CP65" s="28"/>
      <c r="CQ65" s="28"/>
      <c r="CR65" s="28"/>
    </row>
    <row r="66" spans="1:106" outlineLevel="1">
      <c r="C66" s="9" t="s">
        <v>14</v>
      </c>
      <c r="D66" s="28">
        <v>0</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200"/>
      <c r="BC66" s="184"/>
      <c r="BD66" s="28">
        <f>SUM(D66:BC66)</f>
        <v>0</v>
      </c>
      <c r="CJ66" s="4" t="str">
        <f>+A67</f>
        <v>EUROS</v>
      </c>
      <c r="CK66" s="28">
        <f t="shared" ref="CK66:CR66" ca="1" si="36">SUM(CK47:CK63)</f>
        <v>1665.34</v>
      </c>
      <c r="CL66" s="28">
        <f t="shared" ca="1" si="36"/>
        <v>0</v>
      </c>
      <c r="CM66" s="28">
        <f t="shared" ca="1" si="36"/>
        <v>105</v>
      </c>
      <c r="CN66" s="28" t="e">
        <f t="shared" ca="1" si="36"/>
        <v>#N/A</v>
      </c>
      <c r="CO66" s="28" t="e">
        <f t="shared" ca="1" si="36"/>
        <v>#N/A</v>
      </c>
      <c r="CP66" s="28" t="e">
        <f t="shared" ca="1" si="36"/>
        <v>#N/A</v>
      </c>
      <c r="CQ66" s="28" t="e">
        <f t="shared" ca="1" si="36"/>
        <v>#REF!</v>
      </c>
      <c r="CR66" s="28" t="e">
        <f t="shared" ca="1" si="36"/>
        <v>#REF!</v>
      </c>
      <c r="CS66" s="61" t="e">
        <f ca="1">SUM(CK66:CR66)</f>
        <v>#N/A</v>
      </c>
      <c r="CT66" s="28">
        <f ca="1">SUM((INDIRECT(CT$9&amp;ROW()):(INDIRECT(CT$10&amp;ROW()))))</f>
        <v>0</v>
      </c>
    </row>
    <row r="67" spans="1:106">
      <c r="A67" s="9" t="s">
        <v>75</v>
      </c>
      <c r="CJ67">
        <v>0</v>
      </c>
      <c r="CK67" s="28"/>
      <c r="CL67" s="28"/>
      <c r="CM67" s="28"/>
      <c r="CN67" s="28"/>
      <c r="CO67" s="28"/>
      <c r="CP67" s="28"/>
      <c r="CQ67" s="28"/>
      <c r="CR67" s="28"/>
    </row>
    <row r="68" spans="1:106">
      <c r="CJ68">
        <v>0</v>
      </c>
    </row>
    <row r="69" spans="1:106" outlineLevel="1">
      <c r="E69" s="2" t="str">
        <f>E$8</f>
        <v>Lundi</v>
      </c>
      <c r="F69" s="2" t="str">
        <f t="shared" ref="F69:BA69" si="37">F$8</f>
        <v>mardi</v>
      </c>
      <c r="G69" s="2" t="str">
        <f t="shared" si="37"/>
        <v>Mer</v>
      </c>
      <c r="H69" s="2" t="str">
        <f t="shared" si="37"/>
        <v>Jeu</v>
      </c>
      <c r="I69" s="2" t="str">
        <f t="shared" si="37"/>
        <v>Ven</v>
      </c>
      <c r="J69" s="2" t="str">
        <f t="shared" si="37"/>
        <v>Sam</v>
      </c>
      <c r="K69" s="2" t="str">
        <f t="shared" si="37"/>
        <v>Dim</v>
      </c>
      <c r="L69" s="2" t="str">
        <f t="shared" si="37"/>
        <v>Lundi</v>
      </c>
      <c r="M69" s="2" t="str">
        <f t="shared" si="37"/>
        <v>mardi</v>
      </c>
      <c r="N69" s="2" t="str">
        <f t="shared" si="37"/>
        <v>Mer</v>
      </c>
      <c r="O69" s="2" t="str">
        <f t="shared" si="37"/>
        <v>Jeu</v>
      </c>
      <c r="P69" s="2" t="str">
        <f t="shared" si="37"/>
        <v>Ven</v>
      </c>
      <c r="Q69" s="2" t="str">
        <f t="shared" si="37"/>
        <v>Sam</v>
      </c>
      <c r="R69" s="2" t="str">
        <f t="shared" si="37"/>
        <v>Dim</v>
      </c>
      <c r="S69" s="2" t="str">
        <f t="shared" si="37"/>
        <v>Lundi</v>
      </c>
      <c r="T69" s="2" t="str">
        <f t="shared" si="37"/>
        <v>mardi</v>
      </c>
      <c r="U69" s="2" t="str">
        <f t="shared" si="37"/>
        <v>Mer</v>
      </c>
      <c r="V69" s="2" t="str">
        <f t="shared" si="37"/>
        <v>Jeu</v>
      </c>
      <c r="W69" s="2" t="str">
        <f t="shared" si="37"/>
        <v>Ven</v>
      </c>
      <c r="X69" s="2" t="str">
        <f t="shared" si="37"/>
        <v>Sam</v>
      </c>
      <c r="Y69" s="2" t="str">
        <f t="shared" si="37"/>
        <v>Dim</v>
      </c>
      <c r="Z69" s="2" t="str">
        <f t="shared" si="37"/>
        <v>Lundi</v>
      </c>
      <c r="AA69" s="2" t="str">
        <f t="shared" si="37"/>
        <v>mardi</v>
      </c>
      <c r="AB69" s="2" t="str">
        <f t="shared" si="37"/>
        <v>Mer</v>
      </c>
      <c r="AC69" s="2" t="str">
        <f t="shared" si="37"/>
        <v>Jeu</v>
      </c>
      <c r="AD69" s="2" t="str">
        <f t="shared" si="37"/>
        <v>Ven</v>
      </c>
      <c r="AE69" s="2" t="str">
        <f t="shared" si="37"/>
        <v>Sam</v>
      </c>
      <c r="AF69" s="2" t="str">
        <f t="shared" si="37"/>
        <v>Dim</v>
      </c>
      <c r="AG69" s="2" t="str">
        <f t="shared" si="37"/>
        <v>Lundi</v>
      </c>
      <c r="AH69" s="2" t="str">
        <f t="shared" si="37"/>
        <v>mardi</v>
      </c>
      <c r="AI69" s="2" t="str">
        <f t="shared" si="37"/>
        <v>Mer</v>
      </c>
      <c r="AJ69" s="2" t="str">
        <f t="shared" si="37"/>
        <v>Jeu</v>
      </c>
      <c r="AK69" s="2" t="str">
        <f t="shared" si="37"/>
        <v>Ven</v>
      </c>
      <c r="AL69" s="2" t="str">
        <f t="shared" si="37"/>
        <v>Sam</v>
      </c>
      <c r="AM69" s="2" t="str">
        <f t="shared" si="37"/>
        <v>Dim</v>
      </c>
      <c r="AN69" s="2" t="str">
        <f t="shared" si="37"/>
        <v>Lundi</v>
      </c>
      <c r="AO69" s="2" t="str">
        <f t="shared" si="37"/>
        <v>mardi</v>
      </c>
      <c r="AP69" s="2" t="str">
        <f t="shared" si="37"/>
        <v>Mer</v>
      </c>
      <c r="AQ69" s="2" t="str">
        <f t="shared" si="37"/>
        <v>Jeu</v>
      </c>
      <c r="AR69" s="2" t="str">
        <f t="shared" si="37"/>
        <v>Ven</v>
      </c>
      <c r="AS69" s="2" t="str">
        <f t="shared" si="37"/>
        <v>Sam</v>
      </c>
      <c r="AT69" s="2" t="str">
        <f t="shared" si="37"/>
        <v>Dim</v>
      </c>
      <c r="AU69" s="2" t="str">
        <f t="shared" si="37"/>
        <v>Lundi</v>
      </c>
      <c r="AV69" s="2" t="str">
        <f t="shared" si="37"/>
        <v>mardi</v>
      </c>
      <c r="AW69" s="2" t="str">
        <f t="shared" si="37"/>
        <v>Mer</v>
      </c>
      <c r="AX69" s="2" t="str">
        <f t="shared" si="37"/>
        <v>Jeu</v>
      </c>
      <c r="AY69" s="2" t="str">
        <f t="shared" si="37"/>
        <v>Ven</v>
      </c>
      <c r="AZ69" s="2" t="str">
        <f t="shared" si="37"/>
        <v>Sam</v>
      </c>
      <c r="BA69" s="2" t="str">
        <f t="shared" si="37"/>
        <v>Dim</v>
      </c>
      <c r="BB69" s="11">
        <f t="shared" ref="BB69:BC69" si="38">BB$8</f>
        <v>0</v>
      </c>
      <c r="BC69" s="177">
        <f t="shared" si="38"/>
        <v>0</v>
      </c>
      <c r="CJ69">
        <v>0</v>
      </c>
    </row>
    <row r="70" spans="1:106" outlineLevel="1">
      <c r="E70" s="39">
        <f>E$9</f>
        <v>45082</v>
      </c>
      <c r="F70" s="39">
        <f t="shared" ref="F70:BA70" si="39">F$9</f>
        <v>45083</v>
      </c>
      <c r="G70" s="39">
        <f t="shared" si="39"/>
        <v>45084</v>
      </c>
      <c r="H70" s="39">
        <f t="shared" si="39"/>
        <v>45085</v>
      </c>
      <c r="I70" s="39">
        <f t="shared" si="39"/>
        <v>45086</v>
      </c>
      <c r="J70" s="39">
        <f t="shared" si="39"/>
        <v>45087</v>
      </c>
      <c r="K70" s="39">
        <f t="shared" si="39"/>
        <v>45088</v>
      </c>
      <c r="L70" s="39">
        <f t="shared" si="39"/>
        <v>45089</v>
      </c>
      <c r="M70" s="39">
        <f t="shared" si="39"/>
        <v>45090</v>
      </c>
      <c r="N70" s="39">
        <f t="shared" si="39"/>
        <v>45091</v>
      </c>
      <c r="O70" s="39">
        <f t="shared" si="39"/>
        <v>45092</v>
      </c>
      <c r="P70" s="39">
        <f t="shared" si="39"/>
        <v>45093</v>
      </c>
      <c r="Q70" s="39">
        <f t="shared" si="39"/>
        <v>45094</v>
      </c>
      <c r="R70" s="39">
        <f t="shared" si="39"/>
        <v>45095</v>
      </c>
      <c r="S70" s="39">
        <f t="shared" si="39"/>
        <v>45096</v>
      </c>
      <c r="T70" s="39">
        <f t="shared" si="39"/>
        <v>45097</v>
      </c>
      <c r="U70" s="39">
        <f t="shared" si="39"/>
        <v>45098</v>
      </c>
      <c r="V70" s="39">
        <f t="shared" si="39"/>
        <v>45099</v>
      </c>
      <c r="W70" s="39">
        <f t="shared" si="39"/>
        <v>45100</v>
      </c>
      <c r="X70" s="39">
        <f t="shared" si="39"/>
        <v>45101</v>
      </c>
      <c r="Y70" s="39">
        <f t="shared" si="39"/>
        <v>45102</v>
      </c>
      <c r="Z70" s="39">
        <f t="shared" si="39"/>
        <v>45103</v>
      </c>
      <c r="AA70" s="39">
        <f t="shared" si="39"/>
        <v>45104</v>
      </c>
      <c r="AB70" s="39">
        <f t="shared" si="39"/>
        <v>45105</v>
      </c>
      <c r="AC70" s="39">
        <f t="shared" si="39"/>
        <v>45106</v>
      </c>
      <c r="AD70" s="39">
        <f t="shared" si="39"/>
        <v>45107</v>
      </c>
      <c r="AE70" s="39">
        <f t="shared" si="39"/>
        <v>45108</v>
      </c>
      <c r="AF70" s="39">
        <f t="shared" si="39"/>
        <v>45109</v>
      </c>
      <c r="AG70" s="39">
        <f t="shared" si="39"/>
        <v>45110</v>
      </c>
      <c r="AH70" s="39">
        <f t="shared" si="39"/>
        <v>45111</v>
      </c>
      <c r="AI70" s="39">
        <f t="shared" si="39"/>
        <v>45112</v>
      </c>
      <c r="AJ70" s="39">
        <f t="shared" si="39"/>
        <v>45113</v>
      </c>
      <c r="AK70" s="39">
        <f t="shared" si="39"/>
        <v>45114</v>
      </c>
      <c r="AL70" s="39">
        <f t="shared" si="39"/>
        <v>45115</v>
      </c>
      <c r="AM70" s="39">
        <f t="shared" si="39"/>
        <v>45116</v>
      </c>
      <c r="AN70" s="39">
        <f t="shared" si="39"/>
        <v>45117</v>
      </c>
      <c r="AO70" s="39">
        <f t="shared" si="39"/>
        <v>45118</v>
      </c>
      <c r="AP70" s="39">
        <f t="shared" si="39"/>
        <v>45119</v>
      </c>
      <c r="AQ70" s="39">
        <f t="shared" si="39"/>
        <v>45120</v>
      </c>
      <c r="AR70" s="39">
        <f t="shared" si="39"/>
        <v>45121</v>
      </c>
      <c r="AS70" s="39">
        <f t="shared" si="39"/>
        <v>45122</v>
      </c>
      <c r="AT70" s="39">
        <f t="shared" si="39"/>
        <v>45123</v>
      </c>
      <c r="AU70" s="39">
        <f t="shared" si="39"/>
        <v>45124</v>
      </c>
      <c r="AV70" s="39">
        <f t="shared" si="39"/>
        <v>45125</v>
      </c>
      <c r="AW70" s="39">
        <f t="shared" si="39"/>
        <v>45126</v>
      </c>
      <c r="AX70" s="39">
        <f t="shared" si="39"/>
        <v>45127</v>
      </c>
      <c r="AY70" s="39">
        <f t="shared" si="39"/>
        <v>45128</v>
      </c>
      <c r="AZ70" s="39">
        <f t="shared" si="39"/>
        <v>45129</v>
      </c>
      <c r="BA70" s="39">
        <f t="shared" si="39"/>
        <v>45130</v>
      </c>
      <c r="BB70" s="197">
        <f t="shared" ref="BB70:BC70" si="40">BB$9</f>
        <v>0</v>
      </c>
      <c r="BC70" s="183">
        <f t="shared" si="40"/>
        <v>0</v>
      </c>
      <c r="CJ70">
        <v>0</v>
      </c>
      <c r="CV70" s="2" t="s">
        <v>986</v>
      </c>
      <c r="CY70" s="2" t="s">
        <v>987</v>
      </c>
    </row>
    <row r="71" spans="1:106" ht="15" outlineLevel="1" thickBot="1">
      <c r="E71" s="2" t="str">
        <f>+E$7</f>
        <v>Nbre jours</v>
      </c>
      <c r="F71" s="2">
        <f t="shared" ref="F71:BA71" si="41">+F$7</f>
        <v>1</v>
      </c>
      <c r="G71" s="2">
        <f t="shared" si="41"/>
        <v>2</v>
      </c>
      <c r="H71" s="2">
        <f t="shared" si="41"/>
        <v>3</v>
      </c>
      <c r="I71" s="2">
        <f t="shared" si="41"/>
        <v>4</v>
      </c>
      <c r="J71" s="2">
        <f t="shared" si="41"/>
        <v>5</v>
      </c>
      <c r="K71" s="2">
        <f t="shared" si="41"/>
        <v>6</v>
      </c>
      <c r="L71" s="2">
        <f t="shared" si="41"/>
        <v>7</v>
      </c>
      <c r="M71" s="2">
        <f t="shared" si="41"/>
        <v>8</v>
      </c>
      <c r="N71" s="2">
        <f t="shared" si="41"/>
        <v>9</v>
      </c>
      <c r="O71" s="2">
        <f t="shared" si="41"/>
        <v>10</v>
      </c>
      <c r="P71" s="2">
        <f t="shared" si="41"/>
        <v>11</v>
      </c>
      <c r="Q71" s="2">
        <f t="shared" si="41"/>
        <v>12</v>
      </c>
      <c r="R71" s="2">
        <f t="shared" si="41"/>
        <v>13</v>
      </c>
      <c r="S71" s="2">
        <f t="shared" si="41"/>
        <v>14</v>
      </c>
      <c r="T71" s="2">
        <f t="shared" si="41"/>
        <v>15</v>
      </c>
      <c r="U71" s="2">
        <f t="shared" si="41"/>
        <v>16</v>
      </c>
      <c r="V71" s="2">
        <f t="shared" si="41"/>
        <v>17</v>
      </c>
      <c r="W71" s="2">
        <f t="shared" si="41"/>
        <v>18</v>
      </c>
      <c r="X71" s="2">
        <f t="shared" si="41"/>
        <v>19</v>
      </c>
      <c r="Y71" s="2">
        <f t="shared" si="41"/>
        <v>20</v>
      </c>
      <c r="Z71" s="2">
        <f t="shared" si="41"/>
        <v>21</v>
      </c>
      <c r="AA71" s="2">
        <f t="shared" si="41"/>
        <v>22</v>
      </c>
      <c r="AB71" s="2">
        <f t="shared" si="41"/>
        <v>23</v>
      </c>
      <c r="AC71" s="2">
        <f t="shared" si="41"/>
        <v>24</v>
      </c>
      <c r="AD71" s="2">
        <f t="shared" si="41"/>
        <v>25</v>
      </c>
      <c r="AE71" s="2">
        <f t="shared" si="41"/>
        <v>26</v>
      </c>
      <c r="AF71" s="2">
        <f t="shared" si="41"/>
        <v>27</v>
      </c>
      <c r="AG71" s="2">
        <f t="shared" si="41"/>
        <v>28</v>
      </c>
      <c r="AH71" s="2">
        <f t="shared" si="41"/>
        <v>29</v>
      </c>
      <c r="AI71" s="2">
        <f t="shared" si="41"/>
        <v>30</v>
      </c>
      <c r="AJ71" s="2">
        <f t="shared" si="41"/>
        <v>31</v>
      </c>
      <c r="AK71" s="2">
        <f t="shared" si="41"/>
        <v>32</v>
      </c>
      <c r="AL71" s="2">
        <f t="shared" si="41"/>
        <v>33</v>
      </c>
      <c r="AM71" s="2">
        <f t="shared" si="41"/>
        <v>34</v>
      </c>
      <c r="AN71" s="2">
        <f t="shared" si="41"/>
        <v>35</v>
      </c>
      <c r="AO71" s="2">
        <f t="shared" si="41"/>
        <v>36</v>
      </c>
      <c r="AP71" s="2">
        <f t="shared" si="41"/>
        <v>37</v>
      </c>
      <c r="AQ71" s="2">
        <f t="shared" si="41"/>
        <v>38</v>
      </c>
      <c r="AR71" s="2">
        <f t="shared" si="41"/>
        <v>39</v>
      </c>
      <c r="AS71" s="2">
        <f t="shared" si="41"/>
        <v>40</v>
      </c>
      <c r="AT71" s="2">
        <f t="shared" si="41"/>
        <v>41</v>
      </c>
      <c r="AU71" s="2">
        <f t="shared" si="41"/>
        <v>42</v>
      </c>
      <c r="AV71" s="2">
        <f t="shared" si="41"/>
        <v>43</v>
      </c>
      <c r="AW71" s="2">
        <f t="shared" si="41"/>
        <v>44</v>
      </c>
      <c r="AX71" s="2">
        <f t="shared" si="41"/>
        <v>45</v>
      </c>
      <c r="AY71" s="2">
        <f t="shared" si="41"/>
        <v>46</v>
      </c>
      <c r="AZ71" s="2">
        <f t="shared" si="41"/>
        <v>47</v>
      </c>
      <c r="BA71" s="2">
        <f t="shared" si="41"/>
        <v>48</v>
      </c>
      <c r="BB71" s="11">
        <f t="shared" ref="BB71:BC71" si="42">BB$7</f>
        <v>0</v>
      </c>
      <c r="BC71" s="177">
        <f t="shared" si="42"/>
        <v>0</v>
      </c>
      <c r="CJ71">
        <v>0</v>
      </c>
      <c r="CK71" s="118" t="str">
        <f>+CK$11</f>
        <v>France</v>
      </c>
      <c r="CL71" s="118" t="str">
        <f>CL$33</f>
        <v>JUIN 25 jrs</v>
      </c>
      <c r="CM71" s="118" t="str">
        <f>CM$33</f>
        <v>JUIL 22 jrs</v>
      </c>
      <c r="CN71" s="118" t="e">
        <f>CN$33</f>
        <v>#N/A</v>
      </c>
      <c r="CO71" s="118" t="e">
        <f>CO$33</f>
        <v>#N/A</v>
      </c>
      <c r="CP71" s="118" t="e">
        <f>CP$33</f>
        <v>#N/A</v>
      </c>
      <c r="CQ71" s="118" t="str">
        <f>+CQ$11</f>
        <v>SEPT</v>
      </c>
      <c r="CR71" s="118" t="str">
        <f>+CR$11</f>
        <v>OCT</v>
      </c>
      <c r="CV71" s="4">
        <v>120</v>
      </c>
      <c r="CY71" s="4">
        <v>45</v>
      </c>
    </row>
    <row r="72" spans="1:106" outlineLevel="1">
      <c r="A72" t="s">
        <v>205</v>
      </c>
      <c r="B72" t="s">
        <v>328</v>
      </c>
      <c r="C72" s="72" t="s">
        <v>205</v>
      </c>
      <c r="D72" s="6">
        <v>0</v>
      </c>
      <c r="E72" s="6">
        <f t="shared" ref="E72:T87" si="43">+SUMIF($C$12:$C$29,$C72,E$12:E$29)/E$6+SUMIF($C$47:$C$63,$C72,E$47:E$64)</f>
        <v>0</v>
      </c>
      <c r="F72" s="6">
        <f t="shared" si="43"/>
        <v>0</v>
      </c>
      <c r="G72" s="6">
        <f t="shared" si="43"/>
        <v>27.185628742514968</v>
      </c>
      <c r="H72" s="6">
        <f t="shared" ref="H72:M81" ca="1" si="44">+SUMIF($C$12:$C$29,$C72,H$12:H$29)/H$6+SUMIF($C$47:$C$63,$C72,H$47:H$61)</f>
        <v>10.179640718562874</v>
      </c>
      <c r="I72" s="6">
        <f t="shared" ca="1" si="44"/>
        <v>11.177644710578843</v>
      </c>
      <c r="J72" s="6">
        <f t="shared" ca="1" si="44"/>
        <v>18.363273453093811</v>
      </c>
      <c r="K72" s="6">
        <f t="shared" ca="1" si="44"/>
        <v>4.5908183632734527</v>
      </c>
      <c r="L72" s="6">
        <f t="shared" ca="1" si="44"/>
        <v>0</v>
      </c>
      <c r="M72" s="6">
        <f t="shared" ca="1" si="44"/>
        <v>19.161676646706585</v>
      </c>
      <c r="N72" s="6">
        <f t="shared" si="43"/>
        <v>0</v>
      </c>
      <c r="O72" s="6">
        <f t="shared" si="43"/>
        <v>1.5968063872255489</v>
      </c>
      <c r="P72" s="6">
        <f t="shared" si="43"/>
        <v>0</v>
      </c>
      <c r="Q72" s="6">
        <f t="shared" si="43"/>
        <v>1.5968063872255489</v>
      </c>
      <c r="R72" s="6">
        <f t="shared" si="43"/>
        <v>0</v>
      </c>
      <c r="S72" s="6">
        <f t="shared" si="43"/>
        <v>0</v>
      </c>
      <c r="T72" s="6">
        <f t="shared" si="43"/>
        <v>3.992015968063872</v>
      </c>
      <c r="U72" s="6">
        <f t="shared" ref="U72:BA75" si="45">+SUMIF($C$12:$C$29,$C72,U$12:U$29)/U$6+SUMIF($C$47:$C$63,$C72,U$47:U$64)</f>
        <v>0</v>
      </c>
      <c r="V72" s="6">
        <f t="shared" si="45"/>
        <v>11.976047904191617</v>
      </c>
      <c r="W72" s="6">
        <f t="shared" si="45"/>
        <v>5.9880239520958085</v>
      </c>
      <c r="X72" s="6">
        <f t="shared" si="45"/>
        <v>0</v>
      </c>
      <c r="Y72" s="6">
        <f t="shared" si="45"/>
        <v>0</v>
      </c>
      <c r="Z72" s="6">
        <f t="shared" si="45"/>
        <v>1.1881188118811881</v>
      </c>
      <c r="AA72" s="6">
        <f t="shared" si="45"/>
        <v>0</v>
      </c>
      <c r="AB72" s="6">
        <f t="shared" si="45"/>
        <v>4.7524752475247523</v>
      </c>
      <c r="AC72" s="6">
        <f t="shared" si="45"/>
        <v>0</v>
      </c>
      <c r="AD72" s="6">
        <f t="shared" si="45"/>
        <v>0</v>
      </c>
      <c r="AE72" s="6">
        <f t="shared" si="45"/>
        <v>3.3663366336633662</v>
      </c>
      <c r="AF72" s="6">
        <f t="shared" si="45"/>
        <v>7.9207920792079207</v>
      </c>
      <c r="AG72" s="6">
        <f t="shared" si="45"/>
        <v>1.306930693069307</v>
      </c>
      <c r="AH72" s="6">
        <f t="shared" si="45"/>
        <v>0</v>
      </c>
      <c r="AI72" s="6">
        <f t="shared" si="45"/>
        <v>0.79207920792079212</v>
      </c>
      <c r="AJ72" s="6">
        <f t="shared" si="45"/>
        <v>2.7722772277227721</v>
      </c>
      <c r="AK72" s="6">
        <f t="shared" si="45"/>
        <v>3.9603960396039604</v>
      </c>
      <c r="AL72" s="6">
        <f t="shared" si="45"/>
        <v>4.3564356435643568</v>
      </c>
      <c r="AM72" s="6">
        <f t="shared" si="45"/>
        <v>0</v>
      </c>
      <c r="AN72" s="6">
        <f t="shared" si="45"/>
        <v>1.171875</v>
      </c>
      <c r="AO72" s="6">
        <f t="shared" si="45"/>
        <v>9.2578125</v>
      </c>
      <c r="AP72" s="6">
        <f t="shared" si="45"/>
        <v>9.375</v>
      </c>
      <c r="AQ72" s="6">
        <f t="shared" si="45"/>
        <v>4.296875</v>
      </c>
      <c r="AR72" s="6">
        <f t="shared" si="45"/>
        <v>0</v>
      </c>
      <c r="AS72" s="6">
        <f t="shared" si="45"/>
        <v>0</v>
      </c>
      <c r="AT72" s="6">
        <f t="shared" si="45"/>
        <v>0</v>
      </c>
      <c r="AU72" s="6">
        <f t="shared" si="45"/>
        <v>6.25</v>
      </c>
      <c r="AV72" s="6">
        <f t="shared" si="45"/>
        <v>3.3203125</v>
      </c>
      <c r="AW72" s="6">
        <f t="shared" si="45"/>
        <v>0</v>
      </c>
      <c r="AX72" s="6">
        <f t="shared" si="45"/>
        <v>3.125</v>
      </c>
      <c r="AY72" s="6">
        <f t="shared" si="45"/>
        <v>0</v>
      </c>
      <c r="AZ72" s="6">
        <f t="shared" si="45"/>
        <v>25.390625</v>
      </c>
      <c r="BA72" s="6">
        <f t="shared" si="45"/>
        <v>0</v>
      </c>
      <c r="BB72" s="198"/>
      <c r="BC72" s="63"/>
      <c r="BD72" s="28">
        <f t="shared" ref="BD72:BD90" ca="1" si="46">SUM(E72:BC72)</f>
        <v>208.41172481769135</v>
      </c>
      <c r="CJ72" s="72" t="s">
        <v>205</v>
      </c>
      <c r="CK72" s="63">
        <f ca="1">SUM((INDIRECT(CK$9&amp;ROW()):(INDIRECT(CK$10&amp;ROW()))))</f>
        <v>0</v>
      </c>
      <c r="CL72" s="63">
        <f ca="1">SUM((INDIRECT(CL$9&amp;ROW()):(INDIRECT(CL$10&amp;ROW()))))</f>
        <v>121.74897729293887</v>
      </c>
      <c r="CM72" s="63">
        <f ca="1">SUM((INDIRECT(CM$9&amp;ROW()):(INDIRECT(CM$10&amp;ROW()))))</f>
        <v>86.662747524752476</v>
      </c>
      <c r="CN72" s="63" t="e">
        <f ca="1">SUM((INDIRECT(CN$9&amp;ROW()):(INDIRECT(CN$10&amp;ROW()))))</f>
        <v>#N/A</v>
      </c>
      <c r="CO72" s="63" t="e">
        <f ca="1">SUM((INDIRECT(CO$9&amp;ROW()):(INDIRECT(CO$10&amp;ROW()))))</f>
        <v>#N/A</v>
      </c>
      <c r="CP72" s="63" t="e">
        <f ca="1">SUM((INDIRECT(CP$9&amp;ROW()):(INDIRECT(CP$10&amp;ROW()))))</f>
        <v>#N/A</v>
      </c>
      <c r="CQ72" s="63" t="e">
        <f ca="1">SUM((INDIRECT(CQ$9&amp;ROW()):(INDIRECT(CQ$10&amp;ROW()))))</f>
        <v>#REF!</v>
      </c>
      <c r="CR72" s="63" t="e">
        <f ca="1">SUM((INDIRECT(CR$9&amp;ROW()):(INDIRECT(CR$10&amp;ROW()))))</f>
        <v>#REF!</v>
      </c>
      <c r="CT72" s="28">
        <f ca="1">SUM((INDIRECT(CT$9&amp;ROW()):(INDIRECT(CT$10&amp;ROW()))))</f>
        <v>208.41172481769135</v>
      </c>
      <c r="CV72" s="14">
        <f ca="1">+CT72/CV$71</f>
        <v>1.7367643734807612</v>
      </c>
    </row>
    <row r="73" spans="1:106" outlineLevel="1">
      <c r="A73" t="s">
        <v>203</v>
      </c>
      <c r="B73" t="s">
        <v>328</v>
      </c>
      <c r="C73" s="73" t="s">
        <v>203</v>
      </c>
      <c r="D73" s="6">
        <v>0</v>
      </c>
      <c r="E73" s="6">
        <f t="shared" si="43"/>
        <v>0</v>
      </c>
      <c r="F73" s="6">
        <f t="shared" si="43"/>
        <v>0</v>
      </c>
      <c r="G73" s="6">
        <f t="shared" si="43"/>
        <v>1.5968063872255489</v>
      </c>
      <c r="H73" s="6">
        <f t="shared" ca="1" si="44"/>
        <v>5.5888223552894214</v>
      </c>
      <c r="I73" s="6">
        <f t="shared" ca="1" si="44"/>
        <v>5.1896207584830334</v>
      </c>
      <c r="J73" s="6">
        <f t="shared" ca="1" si="44"/>
        <v>0</v>
      </c>
      <c r="K73" s="6">
        <f t="shared" ca="1" si="44"/>
        <v>13.972055888223553</v>
      </c>
      <c r="L73" s="6">
        <f t="shared" ca="1" si="44"/>
        <v>6.7864271457085827</v>
      </c>
      <c r="M73" s="6">
        <f t="shared" ca="1" si="44"/>
        <v>0</v>
      </c>
      <c r="N73" s="6">
        <f t="shared" si="43"/>
        <v>6.3872255489021956</v>
      </c>
      <c r="O73" s="6">
        <f t="shared" si="43"/>
        <v>6.3872255489021956</v>
      </c>
      <c r="P73" s="6">
        <f t="shared" si="43"/>
        <v>12.654690618762475</v>
      </c>
      <c r="Q73" s="6">
        <f t="shared" si="43"/>
        <v>0</v>
      </c>
      <c r="R73" s="6">
        <f t="shared" si="43"/>
        <v>7.584830339321357</v>
      </c>
      <c r="S73" s="6">
        <f t="shared" si="43"/>
        <v>27.944111776447105</v>
      </c>
      <c r="T73" s="6">
        <f t="shared" si="43"/>
        <v>7.9840319361277441</v>
      </c>
      <c r="U73" s="6">
        <f t="shared" si="45"/>
        <v>4.9900199600798398</v>
      </c>
      <c r="V73" s="6">
        <f t="shared" si="45"/>
        <v>4.9900199600798398</v>
      </c>
      <c r="W73" s="6">
        <f t="shared" si="45"/>
        <v>8.7824351297405183</v>
      </c>
      <c r="X73" s="6">
        <f t="shared" si="45"/>
        <v>11.881188118811881</v>
      </c>
      <c r="Y73" s="6">
        <f t="shared" si="45"/>
        <v>0</v>
      </c>
      <c r="Z73" s="6">
        <f t="shared" si="45"/>
        <v>10.495049504950495</v>
      </c>
      <c r="AA73" s="6">
        <f t="shared" si="45"/>
        <v>8.3168316831683171</v>
      </c>
      <c r="AB73" s="6">
        <f t="shared" si="45"/>
        <v>3.3663366336633662</v>
      </c>
      <c r="AC73" s="6">
        <f t="shared" si="45"/>
        <v>0</v>
      </c>
      <c r="AD73" s="6">
        <f t="shared" si="45"/>
        <v>0</v>
      </c>
      <c r="AE73" s="6">
        <f t="shared" si="45"/>
        <v>19.801980198019802</v>
      </c>
      <c r="AF73" s="6">
        <f t="shared" si="45"/>
        <v>21.980198019801982</v>
      </c>
      <c r="AG73" s="6">
        <f t="shared" si="45"/>
        <v>7.9207920792079207</v>
      </c>
      <c r="AH73" s="6">
        <f t="shared" si="45"/>
        <v>0</v>
      </c>
      <c r="AI73" s="6">
        <f t="shared" si="45"/>
        <v>0</v>
      </c>
      <c r="AJ73" s="6">
        <f t="shared" si="45"/>
        <v>0</v>
      </c>
      <c r="AK73" s="6">
        <f t="shared" si="45"/>
        <v>11.089108910891088</v>
      </c>
      <c r="AL73" s="6">
        <f t="shared" si="45"/>
        <v>0</v>
      </c>
      <c r="AM73" s="6">
        <f t="shared" si="45"/>
        <v>0</v>
      </c>
      <c r="AN73" s="6">
        <f t="shared" si="45"/>
        <v>12.109375</v>
      </c>
      <c r="AO73" s="6">
        <f t="shared" si="45"/>
        <v>20.3125</v>
      </c>
      <c r="AP73" s="6">
        <f t="shared" si="45"/>
        <v>14.0625</v>
      </c>
      <c r="AQ73" s="6">
        <f t="shared" si="45"/>
        <v>5.46875</v>
      </c>
      <c r="AR73" s="6">
        <f t="shared" si="45"/>
        <v>17.96875</v>
      </c>
      <c r="AS73" s="6">
        <f t="shared" si="45"/>
        <v>5.859375</v>
      </c>
      <c r="AT73" s="6">
        <f t="shared" si="45"/>
        <v>20.5078125</v>
      </c>
      <c r="AU73" s="6">
        <f t="shared" si="45"/>
        <v>71.484375</v>
      </c>
      <c r="AV73" s="6">
        <f t="shared" si="45"/>
        <v>3.125</v>
      </c>
      <c r="AW73" s="6">
        <f t="shared" si="45"/>
        <v>15.0390625</v>
      </c>
      <c r="AX73" s="6">
        <f t="shared" si="45"/>
        <v>3.125</v>
      </c>
      <c r="AY73" s="6">
        <f t="shared" si="45"/>
        <v>18.5546875</v>
      </c>
      <c r="AZ73" s="6">
        <f t="shared" si="45"/>
        <v>5.859375</v>
      </c>
      <c r="BA73" s="6">
        <f t="shared" si="45"/>
        <v>0</v>
      </c>
      <c r="BB73" s="198">
        <f t="shared" ref="BB73:BC87" si="47">+SUMIF($C$12:$C$27,$C73,BB$12:BB$27)/TAUXmoyen+SUMIF($C$46:$C$63,$C73,BB$46:BB$63)</f>
        <v>0</v>
      </c>
      <c r="BC73" s="63">
        <f t="shared" si="47"/>
        <v>0</v>
      </c>
      <c r="BD73" s="28">
        <f t="shared" ca="1" si="46"/>
        <v>429.16637100180822</v>
      </c>
      <c r="CJ73" s="73" t="s">
        <v>203</v>
      </c>
      <c r="CK73" s="63">
        <f ca="1">SUM((INDIRECT(CK$9&amp;ROW()):(INDIRECT(CK$10&amp;ROW()))))</f>
        <v>0</v>
      </c>
      <c r="CL73" s="63">
        <f ca="1">SUM((INDIRECT(CL$9&amp;ROW()):(INDIRECT(CL$10&amp;ROW()))))</f>
        <v>154.89772929388744</v>
      </c>
      <c r="CM73" s="63">
        <f ca="1">SUM((INDIRECT(CM$9&amp;ROW()):(INDIRECT(CM$10&amp;ROW()))))</f>
        <v>274.26864170792078</v>
      </c>
      <c r="CN73" s="63" t="e">
        <f ca="1">SUM((INDIRECT(CN$9&amp;ROW()):(INDIRECT(CN$10&amp;ROW()))))</f>
        <v>#N/A</v>
      </c>
      <c r="CO73" s="63" t="e">
        <f ca="1">SUM((INDIRECT(CO$9&amp;ROW()):(INDIRECT(CO$10&amp;ROW()))))</f>
        <v>#N/A</v>
      </c>
      <c r="CP73" s="63" t="e">
        <f ca="1">SUM((INDIRECT(CP$9&amp;ROW()):(INDIRECT(CP$10&amp;ROW()))))</f>
        <v>#N/A</v>
      </c>
      <c r="CQ73" s="63" t="e">
        <f ca="1">SUM((INDIRECT(CQ$9&amp;ROW()):(INDIRECT(CQ$10&amp;ROW()))))</f>
        <v>#REF!</v>
      </c>
      <c r="CR73" s="63" t="e">
        <f ca="1">SUM((INDIRECT(CR$9&amp;ROW()):(INDIRECT(CR$10&amp;ROW()))))</f>
        <v>#REF!</v>
      </c>
      <c r="CT73" s="28">
        <f ca="1">SUM((INDIRECT(CT$9&amp;ROW()):(INDIRECT(CT$10&amp;ROW()))))</f>
        <v>429.16637100180822</v>
      </c>
      <c r="CV73" s="14">
        <f t="shared" ref="CV73:CV89" ca="1" si="48">+CT73/CV$71</f>
        <v>3.5763864250150683</v>
      </c>
    </row>
    <row r="74" spans="1:106" outlineLevel="1">
      <c r="A74" t="s">
        <v>204</v>
      </c>
      <c r="B74" t="s">
        <v>328</v>
      </c>
      <c r="C74" s="73" t="s">
        <v>204</v>
      </c>
      <c r="D74" s="6"/>
      <c r="E74" s="6">
        <f t="shared" si="43"/>
        <v>0</v>
      </c>
      <c r="F74" s="6">
        <f t="shared" si="43"/>
        <v>0</v>
      </c>
      <c r="G74" s="6">
        <f t="shared" si="43"/>
        <v>5.9880239520958085</v>
      </c>
      <c r="H74" s="6">
        <f t="shared" ca="1" si="44"/>
        <v>0</v>
      </c>
      <c r="I74" s="6">
        <f t="shared" ca="1" si="44"/>
        <v>5.9880239520958085</v>
      </c>
      <c r="J74" s="6">
        <f t="shared" ca="1" si="44"/>
        <v>3.992015968063872</v>
      </c>
      <c r="K74" s="6">
        <f t="shared" ca="1" si="44"/>
        <v>3.992015968063872</v>
      </c>
      <c r="L74" s="6">
        <f t="shared" ca="1" si="44"/>
        <v>5.5888223552894214</v>
      </c>
      <c r="M74" s="6">
        <f t="shared" ca="1" si="44"/>
        <v>4.7904191616766463</v>
      </c>
      <c r="N74" s="6">
        <f t="shared" si="43"/>
        <v>0</v>
      </c>
      <c r="O74" s="6">
        <f t="shared" si="43"/>
        <v>4.9900199600798398</v>
      </c>
      <c r="P74" s="6">
        <f t="shared" si="43"/>
        <v>8.3832335329341312</v>
      </c>
      <c r="Q74" s="6">
        <f t="shared" si="43"/>
        <v>5.5888223552894214</v>
      </c>
      <c r="R74" s="6">
        <f t="shared" si="43"/>
        <v>5.5888223552894214</v>
      </c>
      <c r="S74" s="6">
        <f t="shared" si="43"/>
        <v>6.3872255489021956</v>
      </c>
      <c r="T74" s="6">
        <f t="shared" si="43"/>
        <v>3.5928143712574849</v>
      </c>
      <c r="U74" s="6">
        <f t="shared" si="45"/>
        <v>0</v>
      </c>
      <c r="V74" s="6">
        <f t="shared" si="45"/>
        <v>0</v>
      </c>
      <c r="W74" s="6">
        <f t="shared" si="45"/>
        <v>12.774451097804391</v>
      </c>
      <c r="X74" s="6">
        <f t="shared" si="45"/>
        <v>4.9504950495049505</v>
      </c>
      <c r="Y74" s="6">
        <f t="shared" si="45"/>
        <v>5.9405940594059405</v>
      </c>
      <c r="Z74" s="6">
        <f t="shared" si="45"/>
        <v>7.1287128712871288</v>
      </c>
      <c r="AA74" s="6">
        <f t="shared" si="45"/>
        <v>1.7821782178217822</v>
      </c>
      <c r="AB74" s="6">
        <f t="shared" si="45"/>
        <v>7.1287128712871288</v>
      </c>
      <c r="AC74" s="6">
        <f t="shared" si="45"/>
        <v>4.9504950495049505</v>
      </c>
      <c r="AD74" s="6">
        <f t="shared" si="45"/>
        <v>14.059405940594059</v>
      </c>
      <c r="AE74" s="6">
        <f t="shared" si="45"/>
        <v>10.297029702970297</v>
      </c>
      <c r="AF74" s="6">
        <f t="shared" si="45"/>
        <v>0</v>
      </c>
      <c r="AG74" s="6">
        <f t="shared" si="45"/>
        <v>5.5445544554455441</v>
      </c>
      <c r="AH74" s="6">
        <f t="shared" si="45"/>
        <v>5.9405940594059405</v>
      </c>
      <c r="AI74" s="6">
        <f t="shared" si="45"/>
        <v>18.217821782178216</v>
      </c>
      <c r="AJ74" s="6">
        <f t="shared" si="45"/>
        <v>14.059405940594059</v>
      </c>
      <c r="AK74" s="6">
        <f t="shared" si="45"/>
        <v>12.277227722772277</v>
      </c>
      <c r="AL74" s="6">
        <f t="shared" si="45"/>
        <v>23.762376237623762</v>
      </c>
      <c r="AM74" s="6">
        <f t="shared" si="45"/>
        <v>0</v>
      </c>
      <c r="AN74" s="6">
        <f t="shared" si="45"/>
        <v>0</v>
      </c>
      <c r="AO74" s="6">
        <f t="shared" si="45"/>
        <v>19.53125</v>
      </c>
      <c r="AP74" s="6">
        <f t="shared" si="45"/>
        <v>0</v>
      </c>
      <c r="AQ74" s="6">
        <f t="shared" si="45"/>
        <v>9.765625</v>
      </c>
      <c r="AR74" s="6">
        <f t="shared" si="45"/>
        <v>6.4453125</v>
      </c>
      <c r="AS74" s="6">
        <f t="shared" si="45"/>
        <v>17.578125</v>
      </c>
      <c r="AT74" s="6">
        <f t="shared" si="45"/>
        <v>8.59375</v>
      </c>
      <c r="AU74" s="6">
        <f t="shared" si="45"/>
        <v>0</v>
      </c>
      <c r="AV74" s="6">
        <f t="shared" si="45"/>
        <v>0</v>
      </c>
      <c r="AW74" s="6">
        <f t="shared" si="45"/>
        <v>7.2265625</v>
      </c>
      <c r="AX74" s="6">
        <f t="shared" si="45"/>
        <v>3.125</v>
      </c>
      <c r="AY74" s="6">
        <f t="shared" si="45"/>
        <v>6.8359375</v>
      </c>
      <c r="AZ74" s="6">
        <f t="shared" si="45"/>
        <v>6.25</v>
      </c>
      <c r="BA74" s="6">
        <f t="shared" si="45"/>
        <v>0</v>
      </c>
      <c r="BB74" s="198">
        <f t="shared" si="47"/>
        <v>0</v>
      </c>
      <c r="BC74" s="63">
        <f t="shared" si="47"/>
        <v>0</v>
      </c>
      <c r="BD74" s="28">
        <f t="shared" ca="1" si="46"/>
        <v>299.03587703923836</v>
      </c>
      <c r="CJ74" s="73" t="s">
        <v>204</v>
      </c>
      <c r="CK74" s="63">
        <f ca="1">SUM((INDIRECT(CK$9&amp;ROW()):(INDIRECT(CK$10&amp;ROW()))))</f>
        <v>0</v>
      </c>
      <c r="CL74" s="63">
        <f ca="1">SUM((INDIRECT(CL$9&amp;ROW()):(INDIRECT(CL$10&amp;ROW()))))</f>
        <v>123.58530463824827</v>
      </c>
      <c r="CM74" s="63">
        <f ca="1">SUM((INDIRECT(CM$9&amp;ROW()):(INDIRECT(CM$10&amp;ROW()))))</f>
        <v>175.4505724009901</v>
      </c>
      <c r="CN74" s="63" t="e">
        <f ca="1">SUM((INDIRECT(CN$9&amp;ROW()):(INDIRECT(CN$10&amp;ROW()))))</f>
        <v>#N/A</v>
      </c>
      <c r="CO74" s="63" t="e">
        <f ca="1">SUM((INDIRECT(CO$9&amp;ROW()):(INDIRECT(CO$10&amp;ROW()))))</f>
        <v>#N/A</v>
      </c>
      <c r="CP74" s="63" t="e">
        <f ca="1">SUM((INDIRECT(CP$9&amp;ROW()):(INDIRECT(CP$10&amp;ROW()))))</f>
        <v>#N/A</v>
      </c>
      <c r="CQ74" s="63" t="e">
        <f ca="1">SUM((INDIRECT(CQ$9&amp;ROW()):(INDIRECT(CQ$10&amp;ROW()))))</f>
        <v>#REF!</v>
      </c>
      <c r="CR74" s="63" t="e">
        <f ca="1">SUM((INDIRECT(CR$9&amp;ROW()):(INDIRECT(CR$10&amp;ROW()))))</f>
        <v>#REF!</v>
      </c>
      <c r="CT74" s="28">
        <f ca="1">SUM((INDIRECT(CT$9&amp;ROW()):(INDIRECT(CT$10&amp;ROW()))))</f>
        <v>299.03587703923836</v>
      </c>
      <c r="CV74" s="14">
        <f t="shared" ca="1" si="48"/>
        <v>2.4919656419936529</v>
      </c>
    </row>
    <row r="75" spans="1:106" outlineLevel="1">
      <c r="A75" t="s">
        <v>146</v>
      </c>
      <c r="B75" t="s">
        <v>328</v>
      </c>
      <c r="C75" s="73" t="s">
        <v>146</v>
      </c>
      <c r="D75" s="6"/>
      <c r="E75" s="6">
        <f t="shared" si="43"/>
        <v>5</v>
      </c>
      <c r="F75" s="6">
        <f t="shared" si="43"/>
        <v>0</v>
      </c>
      <c r="G75" s="6">
        <f t="shared" si="43"/>
        <v>6.5868263473053892</v>
      </c>
      <c r="H75" s="6">
        <f t="shared" ca="1" si="44"/>
        <v>2.1956087824351296</v>
      </c>
      <c r="I75" s="6">
        <f t="shared" ca="1" si="44"/>
        <v>3.1936127744510978</v>
      </c>
      <c r="J75" s="6">
        <f t="shared" ca="1" si="44"/>
        <v>3.1936127744510978</v>
      </c>
      <c r="K75" s="6">
        <f t="shared" ca="1" si="44"/>
        <v>2.1956087824351296</v>
      </c>
      <c r="L75" s="6">
        <f t="shared" ca="1" si="44"/>
        <v>0.99800399201596801</v>
      </c>
      <c r="M75" s="6">
        <f t="shared" ca="1" si="44"/>
        <v>2.1956087824351296</v>
      </c>
      <c r="N75" s="6">
        <f t="shared" si="43"/>
        <v>2.1956087824351296</v>
      </c>
      <c r="O75" s="6">
        <f t="shared" si="43"/>
        <v>6.5069860279441114</v>
      </c>
      <c r="P75" s="6">
        <f t="shared" si="43"/>
        <v>2.1956087824351296</v>
      </c>
      <c r="Q75" s="6">
        <f t="shared" si="43"/>
        <v>0.99800399201596801</v>
      </c>
      <c r="R75" s="6">
        <f t="shared" si="43"/>
        <v>2.1956087824351296</v>
      </c>
      <c r="S75" s="6">
        <f t="shared" si="43"/>
        <v>2.1956087824351296</v>
      </c>
      <c r="T75" s="6">
        <f t="shared" si="43"/>
        <v>0</v>
      </c>
      <c r="U75" s="6">
        <f t="shared" si="45"/>
        <v>2.1956087824351296</v>
      </c>
      <c r="V75" s="6">
        <f t="shared" si="45"/>
        <v>2.1956087824351296</v>
      </c>
      <c r="W75" s="6">
        <f t="shared" si="45"/>
        <v>0</v>
      </c>
      <c r="X75" s="6">
        <f t="shared" si="45"/>
        <v>0.99009900990099009</v>
      </c>
      <c r="Y75" s="6">
        <f t="shared" si="45"/>
        <v>1.5841584158415842</v>
      </c>
      <c r="Z75" s="6">
        <f t="shared" si="45"/>
        <v>2.5742574257425743</v>
      </c>
      <c r="AA75" s="6">
        <f t="shared" si="45"/>
        <v>7.7227722772277225</v>
      </c>
      <c r="AB75" s="6">
        <f t="shared" si="45"/>
        <v>5.5445544554455441</v>
      </c>
      <c r="AC75" s="6">
        <f t="shared" si="45"/>
        <v>0</v>
      </c>
      <c r="AD75" s="6">
        <f t="shared" si="45"/>
        <v>4.7524752475247523</v>
      </c>
      <c r="AE75" s="6">
        <f t="shared" si="45"/>
        <v>5.9405940594059405</v>
      </c>
      <c r="AF75" s="6">
        <f t="shared" si="45"/>
        <v>1.1881188118811881</v>
      </c>
      <c r="AG75" s="6">
        <f t="shared" si="45"/>
        <v>3.9603960396039604</v>
      </c>
      <c r="AH75" s="6">
        <f t="shared" si="45"/>
        <v>0</v>
      </c>
      <c r="AI75" s="6">
        <f t="shared" si="45"/>
        <v>3.1683168316831685</v>
      </c>
      <c r="AJ75" s="6">
        <f t="shared" si="45"/>
        <v>2.1782178217821784</v>
      </c>
      <c r="AK75" s="6">
        <f t="shared" si="45"/>
        <v>7.1287128712871288</v>
      </c>
      <c r="AL75" s="6">
        <f t="shared" si="45"/>
        <v>4.1584158415841586</v>
      </c>
      <c r="AM75" s="6">
        <f t="shared" si="45"/>
        <v>8.0078125</v>
      </c>
      <c r="AN75" s="6">
        <f t="shared" si="45"/>
        <v>4.1015625</v>
      </c>
      <c r="AO75" s="6">
        <f t="shared" si="45"/>
        <v>0</v>
      </c>
      <c r="AP75" s="6">
        <f t="shared" si="45"/>
        <v>4.4921875</v>
      </c>
      <c r="AQ75" s="6">
        <f t="shared" si="45"/>
        <v>2.9296875</v>
      </c>
      <c r="AR75" s="6">
        <f t="shared" si="45"/>
        <v>4.6875</v>
      </c>
      <c r="AS75" s="6">
        <f t="shared" si="45"/>
        <v>4.6875</v>
      </c>
      <c r="AT75" s="6">
        <f t="shared" si="45"/>
        <v>3.125</v>
      </c>
      <c r="AU75" s="6">
        <f t="shared" si="45"/>
        <v>3.125</v>
      </c>
      <c r="AV75" s="6">
        <f t="shared" si="45"/>
        <v>1.7578125</v>
      </c>
      <c r="AW75" s="6">
        <f t="shared" si="45"/>
        <v>5.6640625</v>
      </c>
      <c r="AX75" s="6">
        <f t="shared" si="45"/>
        <v>4.296875</v>
      </c>
      <c r="AY75" s="6">
        <f t="shared" si="45"/>
        <v>4.296875</v>
      </c>
      <c r="AZ75" s="6">
        <f t="shared" si="45"/>
        <v>0.5859375</v>
      </c>
      <c r="BA75" s="6">
        <f t="shared" si="45"/>
        <v>0</v>
      </c>
      <c r="BB75" s="198">
        <f t="shared" si="47"/>
        <v>0</v>
      </c>
      <c r="BC75" s="63">
        <f t="shared" si="47"/>
        <v>0</v>
      </c>
      <c r="BD75" s="28">
        <f t="shared" ca="1" si="46"/>
        <v>148.88642655901072</v>
      </c>
      <c r="CJ75" s="73" t="s">
        <v>146</v>
      </c>
      <c r="CK75" s="63">
        <f ca="1">SUM((INDIRECT(CK$9&amp;ROW()):(INDIRECT(CK$10&amp;ROW()))))</f>
        <v>5</v>
      </c>
      <c r="CL75" s="63">
        <f ca="1">SUM((INDIRECT(CL$9&amp;ROW()):(INDIRECT(CL$10&amp;ROW()))))</f>
        <v>64.405841781782968</v>
      </c>
      <c r="CM75" s="63">
        <f ca="1">SUM((INDIRECT(CM$9&amp;ROW()):(INDIRECT(CM$10&amp;ROW()))))</f>
        <v>79.480584777227719</v>
      </c>
      <c r="CN75" s="63" t="e">
        <f ca="1">SUM((INDIRECT(CN$9&amp;ROW()):(INDIRECT(CN$10&amp;ROW()))))</f>
        <v>#N/A</v>
      </c>
      <c r="CO75" s="63" t="e">
        <f ca="1">SUM((INDIRECT(CO$9&amp;ROW()):(INDIRECT(CO$10&amp;ROW()))))</f>
        <v>#N/A</v>
      </c>
      <c r="CP75" s="63" t="e">
        <f ca="1">SUM((INDIRECT(CP$9&amp;ROW()):(INDIRECT(CP$10&amp;ROW()))))</f>
        <v>#N/A</v>
      </c>
      <c r="CQ75" s="63" t="e">
        <f ca="1">SUM((INDIRECT(CQ$9&amp;ROW()):(INDIRECT(CQ$10&amp;ROW()))))</f>
        <v>#REF!</v>
      </c>
      <c r="CR75" s="63" t="e">
        <f ca="1">SUM((INDIRECT(CR$9&amp;ROW()):(INDIRECT(CR$10&amp;ROW()))))</f>
        <v>#REF!</v>
      </c>
      <c r="CT75" s="28">
        <f ca="1">SUM((INDIRECT(CT$9&amp;ROW()):(INDIRECT(CT$10&amp;ROW()))))</f>
        <v>143.88642655901072</v>
      </c>
      <c r="CV75" s="14">
        <f t="shared" ca="1" si="48"/>
        <v>1.1990535546584227</v>
      </c>
    </row>
    <row r="76" spans="1:106" ht="15" outlineLevel="1" thickBot="1">
      <c r="A76" t="s">
        <v>630</v>
      </c>
      <c r="B76" t="s">
        <v>328</v>
      </c>
      <c r="C76" s="73" t="s">
        <v>630</v>
      </c>
      <c r="D76" s="6">
        <v>0</v>
      </c>
      <c r="E76" s="6">
        <f t="shared" si="43"/>
        <v>0</v>
      </c>
      <c r="F76" s="6">
        <f t="shared" si="43"/>
        <v>0</v>
      </c>
      <c r="G76" s="6">
        <f t="shared" si="43"/>
        <v>0.59880239520958078</v>
      </c>
      <c r="H76" s="6">
        <f t="shared" ca="1" si="44"/>
        <v>0</v>
      </c>
      <c r="I76" s="6">
        <f t="shared" ca="1" si="44"/>
        <v>3.5928143712574849</v>
      </c>
      <c r="J76" s="6">
        <f t="shared" ca="1" si="44"/>
        <v>1.5968063872255489</v>
      </c>
      <c r="K76" s="6">
        <f t="shared" ca="1" si="44"/>
        <v>0</v>
      </c>
      <c r="L76" s="6">
        <f t="shared" ca="1" si="44"/>
        <v>5.788423153692615</v>
      </c>
      <c r="M76" s="6">
        <f t="shared" ca="1" si="44"/>
        <v>0</v>
      </c>
      <c r="N76" s="6">
        <f t="shared" si="43"/>
        <v>0</v>
      </c>
      <c r="O76" s="6">
        <f t="shared" si="43"/>
        <v>0</v>
      </c>
      <c r="P76" s="6">
        <f t="shared" si="43"/>
        <v>0</v>
      </c>
      <c r="Q76" s="6">
        <f t="shared" si="43"/>
        <v>6.1876247504990021</v>
      </c>
      <c r="R76" s="6">
        <f t="shared" si="43"/>
        <v>6.5868263473053892</v>
      </c>
      <c r="S76" s="6">
        <f t="shared" si="43"/>
        <v>0.59880239520958078</v>
      </c>
      <c r="T76" s="6">
        <f t="shared" si="43"/>
        <v>13.972055888223553</v>
      </c>
      <c r="U76" s="6">
        <f t="shared" ref="U76:BA79" si="49">+SUMIF($C$12:$C$29,$C76,U$12:U$29)/U$6+SUMIF($C$47:$C$63,$C76,U$47:U$64)</f>
        <v>0</v>
      </c>
      <c r="V76" s="6">
        <f t="shared" si="49"/>
        <v>0.59880239520958078</v>
      </c>
      <c r="W76" s="6">
        <f t="shared" si="49"/>
        <v>0.59880239520958078</v>
      </c>
      <c r="X76" s="6">
        <f t="shared" si="49"/>
        <v>0.59405940594059403</v>
      </c>
      <c r="Y76" s="6">
        <f t="shared" si="49"/>
        <v>8.7128712871287135</v>
      </c>
      <c r="Z76" s="6">
        <f t="shared" si="49"/>
        <v>0.59405940594059403</v>
      </c>
      <c r="AA76" s="6">
        <f t="shared" si="49"/>
        <v>0.59405940594059403</v>
      </c>
      <c r="AB76" s="6">
        <f t="shared" si="49"/>
        <v>0</v>
      </c>
      <c r="AC76" s="6">
        <f t="shared" si="49"/>
        <v>12.673267326732674</v>
      </c>
      <c r="AD76" s="6">
        <f t="shared" si="49"/>
        <v>0</v>
      </c>
      <c r="AE76" s="6">
        <f t="shared" si="49"/>
        <v>0.59405940594059403</v>
      </c>
      <c r="AF76" s="6">
        <f t="shared" si="49"/>
        <v>0.59405940594059403</v>
      </c>
      <c r="AG76" s="6">
        <f t="shared" si="49"/>
        <v>0.59405940594059403</v>
      </c>
      <c r="AH76" s="6">
        <f t="shared" si="49"/>
        <v>2.5742574257425743</v>
      </c>
      <c r="AI76" s="6">
        <f t="shared" si="49"/>
        <v>0</v>
      </c>
      <c r="AJ76" s="6">
        <f t="shared" si="49"/>
        <v>9.3069306930693063</v>
      </c>
      <c r="AK76" s="6">
        <f t="shared" si="49"/>
        <v>0.59405940594059403</v>
      </c>
      <c r="AL76" s="6">
        <f t="shared" si="49"/>
        <v>6.5346534653465342</v>
      </c>
      <c r="AM76" s="6">
        <f t="shared" si="49"/>
        <v>0.5859375</v>
      </c>
      <c r="AN76" s="6">
        <f t="shared" si="49"/>
        <v>0</v>
      </c>
      <c r="AO76" s="6">
        <f t="shared" si="49"/>
        <v>1.171875</v>
      </c>
      <c r="AP76" s="6">
        <f t="shared" si="49"/>
        <v>0.5859375</v>
      </c>
      <c r="AQ76" s="6">
        <f t="shared" si="49"/>
        <v>8.7890625</v>
      </c>
      <c r="AR76" s="6">
        <f t="shared" si="49"/>
        <v>0</v>
      </c>
      <c r="AS76" s="6">
        <f t="shared" si="49"/>
        <v>0</v>
      </c>
      <c r="AT76" s="6">
        <f t="shared" si="49"/>
        <v>0.46875</v>
      </c>
      <c r="AU76" s="6">
        <f t="shared" si="49"/>
        <v>5.2734375</v>
      </c>
      <c r="AV76" s="6">
        <f t="shared" si="49"/>
        <v>0</v>
      </c>
      <c r="AW76" s="6">
        <f t="shared" si="49"/>
        <v>0.5859375</v>
      </c>
      <c r="AX76" s="6">
        <f t="shared" si="49"/>
        <v>20.1171875</v>
      </c>
      <c r="AY76" s="6">
        <f t="shared" si="49"/>
        <v>0.5859375</v>
      </c>
      <c r="AZ76" s="6">
        <f t="shared" si="49"/>
        <v>0</v>
      </c>
      <c r="BA76" s="6">
        <f t="shared" si="49"/>
        <v>0</v>
      </c>
      <c r="BB76" s="198">
        <f t="shared" si="47"/>
        <v>0</v>
      </c>
      <c r="BC76" s="63">
        <f t="shared" si="47"/>
        <v>0</v>
      </c>
      <c r="BD76" s="28">
        <f t="shared" ca="1" si="46"/>
        <v>122.24421901864586</v>
      </c>
      <c r="CJ76" s="73" t="s">
        <v>630</v>
      </c>
      <c r="CK76" s="63">
        <f ca="1">SUM((INDIRECT(CK$9&amp;ROW()):(INDIRECT(CK$10&amp;ROW()))))</f>
        <v>0</v>
      </c>
      <c r="CL76" s="63">
        <f ca="1">SUM((INDIRECT(CL$9&amp;ROW()):(INDIRECT(CL$10&amp;ROW()))))</f>
        <v>63.288077310725072</v>
      </c>
      <c r="CM76" s="63">
        <f ca="1">SUM((INDIRECT(CM$9&amp;ROW()):(INDIRECT(CM$10&amp;ROW()))))</f>
        <v>58.956141707920793</v>
      </c>
      <c r="CN76" s="63" t="e">
        <f ca="1">SUM((INDIRECT(CN$9&amp;ROW()):(INDIRECT(CN$10&amp;ROW()))))</f>
        <v>#N/A</v>
      </c>
      <c r="CO76" s="63" t="e">
        <f ca="1">SUM((INDIRECT(CO$9&amp;ROW()):(INDIRECT(CO$10&amp;ROW()))))</f>
        <v>#N/A</v>
      </c>
      <c r="CP76" s="63" t="e">
        <f ca="1">SUM((INDIRECT(CP$9&amp;ROW()):(INDIRECT(CP$10&amp;ROW()))))</f>
        <v>#N/A</v>
      </c>
      <c r="CQ76" s="63" t="e">
        <f ca="1">SUM((INDIRECT(CQ$9&amp;ROW()):(INDIRECT(CQ$10&amp;ROW()))))</f>
        <v>#REF!</v>
      </c>
      <c r="CR76" s="63" t="e">
        <f ca="1">SUM((INDIRECT(CR$9&amp;ROW()):(INDIRECT(CR$10&amp;ROW()))))</f>
        <v>#REF!</v>
      </c>
      <c r="CT76" s="28">
        <f ca="1">SUM((INDIRECT(CT$9&amp;ROW()):(INDIRECT(CT$10&amp;ROW()))))</f>
        <v>122.24421901864586</v>
      </c>
      <c r="CV76" s="14">
        <f t="shared" ca="1" si="48"/>
        <v>1.0187018251553821</v>
      </c>
      <c r="CW76" s="14">
        <f ca="1">SUM(CV72:CV76)</f>
        <v>10.022871820303289</v>
      </c>
      <c r="CY76" s="142">
        <f ca="1">CW76*CY$71</f>
        <v>451.029231913648</v>
      </c>
      <c r="DB76">
        <v>1100</v>
      </c>
    </row>
    <row r="77" spans="1:106" outlineLevel="1">
      <c r="A77" t="s">
        <v>560</v>
      </c>
      <c r="B77" t="s">
        <v>559</v>
      </c>
      <c r="C77" s="72" t="s">
        <v>149</v>
      </c>
      <c r="D77" s="6">
        <v>0</v>
      </c>
      <c r="E77" s="6">
        <f t="shared" si="43"/>
        <v>0</v>
      </c>
      <c r="F77" s="6">
        <f t="shared" si="43"/>
        <v>0</v>
      </c>
      <c r="G77" s="6">
        <f t="shared" si="43"/>
        <v>3.6829566673105396</v>
      </c>
      <c r="H77" s="6">
        <f t="shared" ca="1" si="44"/>
        <v>1.2877470864722169</v>
      </c>
      <c r="I77" s="6">
        <f t="shared" ca="1" si="44"/>
        <v>4.0821582641169272</v>
      </c>
      <c r="J77" s="6">
        <f t="shared" ca="1" si="44"/>
        <v>1.2877470864722169</v>
      </c>
      <c r="K77" s="6">
        <f t="shared" ca="1" si="44"/>
        <v>1.2877470864722169</v>
      </c>
      <c r="L77" s="6">
        <f t="shared" ca="1" si="44"/>
        <v>0</v>
      </c>
      <c r="M77" s="6">
        <f t="shared" ca="1" si="44"/>
        <v>0</v>
      </c>
      <c r="N77" s="6">
        <f t="shared" si="43"/>
        <v>0</v>
      </c>
      <c r="O77" s="6">
        <f t="shared" si="43"/>
        <v>0</v>
      </c>
      <c r="P77" s="6">
        <f t="shared" si="43"/>
        <v>0</v>
      </c>
      <c r="Q77" s="6">
        <f t="shared" si="43"/>
        <v>0.39920159680638723</v>
      </c>
      <c r="R77" s="6">
        <f t="shared" si="43"/>
        <v>0</v>
      </c>
      <c r="S77" s="6">
        <f t="shared" si="43"/>
        <v>0</v>
      </c>
      <c r="T77" s="6">
        <f t="shared" si="43"/>
        <v>0</v>
      </c>
      <c r="U77" s="6">
        <f t="shared" si="49"/>
        <v>2.3952095808383231</v>
      </c>
      <c r="V77" s="6">
        <f t="shared" si="49"/>
        <v>0</v>
      </c>
      <c r="W77" s="6">
        <f t="shared" si="49"/>
        <v>0</v>
      </c>
      <c r="X77" s="6">
        <f t="shared" si="49"/>
        <v>0</v>
      </c>
      <c r="Y77" s="6">
        <f t="shared" si="49"/>
        <v>7.9207920792079207</v>
      </c>
      <c r="Z77" s="6">
        <f t="shared" si="49"/>
        <v>3.9603960396039604</v>
      </c>
      <c r="AA77" s="6">
        <f t="shared" si="49"/>
        <v>3.1683168316831685</v>
      </c>
      <c r="AB77" s="6">
        <f t="shared" si="49"/>
        <v>0</v>
      </c>
      <c r="AC77" s="6">
        <f t="shared" si="49"/>
        <v>0</v>
      </c>
      <c r="AD77" s="6">
        <f t="shared" si="49"/>
        <v>0</v>
      </c>
      <c r="AE77" s="6">
        <f t="shared" si="49"/>
        <v>0</v>
      </c>
      <c r="AF77" s="6">
        <f t="shared" si="49"/>
        <v>0</v>
      </c>
      <c r="AG77" s="6">
        <f t="shared" si="49"/>
        <v>0</v>
      </c>
      <c r="AH77" s="6">
        <f t="shared" si="49"/>
        <v>2.9702970297029703</v>
      </c>
      <c r="AI77" s="6">
        <f t="shared" si="49"/>
        <v>0</v>
      </c>
      <c r="AJ77" s="6">
        <f t="shared" si="49"/>
        <v>0</v>
      </c>
      <c r="AK77" s="6">
        <f t="shared" si="49"/>
        <v>0</v>
      </c>
      <c r="AL77" s="6">
        <f t="shared" si="49"/>
        <v>0</v>
      </c>
      <c r="AM77" s="6">
        <f t="shared" si="49"/>
        <v>0</v>
      </c>
      <c r="AN77" s="6">
        <f t="shared" si="49"/>
        <v>0</v>
      </c>
      <c r="AO77" s="6">
        <f t="shared" si="49"/>
        <v>5.078125</v>
      </c>
      <c r="AP77" s="6">
        <f t="shared" si="49"/>
        <v>1.5625</v>
      </c>
      <c r="AQ77" s="6">
        <f t="shared" si="49"/>
        <v>0</v>
      </c>
      <c r="AR77" s="6">
        <f t="shared" si="49"/>
        <v>0</v>
      </c>
      <c r="AS77" s="6">
        <f t="shared" si="49"/>
        <v>2.34375</v>
      </c>
      <c r="AT77" s="6">
        <f t="shared" si="49"/>
        <v>0</v>
      </c>
      <c r="AU77" s="6">
        <f t="shared" si="49"/>
        <v>3.90625</v>
      </c>
      <c r="AV77" s="6">
        <f t="shared" si="49"/>
        <v>12.890625</v>
      </c>
      <c r="AW77" s="6">
        <f t="shared" si="49"/>
        <v>0</v>
      </c>
      <c r="AX77" s="6">
        <f t="shared" si="49"/>
        <v>0</v>
      </c>
      <c r="AY77" s="6">
        <f t="shared" si="49"/>
        <v>1.171875</v>
      </c>
      <c r="AZ77" s="6">
        <f t="shared" si="49"/>
        <v>6.640625</v>
      </c>
      <c r="BA77" s="6">
        <f t="shared" si="49"/>
        <v>0</v>
      </c>
      <c r="BB77" s="198">
        <f t="shared" si="47"/>
        <v>0</v>
      </c>
      <c r="BC77" s="63">
        <f t="shared" si="47"/>
        <v>0</v>
      </c>
      <c r="BD77" s="28">
        <f t="shared" ca="1" si="46"/>
        <v>66.036319348686845</v>
      </c>
      <c r="CJ77" s="72" t="s">
        <v>149</v>
      </c>
      <c r="CK77" s="63">
        <f ca="1">SUM((INDIRECT(CK$9&amp;ROW()):(INDIRECT(CK$10&amp;ROW()))))</f>
        <v>0</v>
      </c>
      <c r="CL77" s="63">
        <f ca="1">SUM((INDIRECT(CL$9&amp;ROW()):(INDIRECT(CL$10&amp;ROW()))))</f>
        <v>29.472272318983876</v>
      </c>
      <c r="CM77" s="63">
        <f ca="1">SUM((INDIRECT(CM$9&amp;ROW()):(INDIRECT(CM$10&amp;ROW()))))</f>
        <v>36.564047029702969</v>
      </c>
      <c r="CN77" s="63" t="e">
        <f ca="1">SUM((INDIRECT(CN$9&amp;ROW()):(INDIRECT(CN$10&amp;ROW()))))</f>
        <v>#N/A</v>
      </c>
      <c r="CO77" s="63" t="e">
        <f ca="1">SUM((INDIRECT(CO$9&amp;ROW()):(INDIRECT(CO$10&amp;ROW()))))</f>
        <v>#N/A</v>
      </c>
      <c r="CP77" s="63" t="e">
        <f ca="1">SUM((INDIRECT(CP$9&amp;ROW()):(INDIRECT(CP$10&amp;ROW()))))</f>
        <v>#N/A</v>
      </c>
      <c r="CQ77" s="63" t="e">
        <f ca="1">SUM((INDIRECT(CQ$9&amp;ROW()):(INDIRECT(CQ$10&amp;ROW()))))</f>
        <v>#REF!</v>
      </c>
      <c r="CR77" s="63" t="e">
        <f ca="1">SUM((INDIRECT(CR$9&amp;ROW()):(INDIRECT(CR$10&amp;ROW()))))</f>
        <v>#REF!</v>
      </c>
      <c r="CT77" s="28">
        <f ca="1">SUM((INDIRECT(CT$9&amp;ROW()):(INDIRECT(CT$10&amp;ROW()))))</f>
        <v>66.036319348686845</v>
      </c>
      <c r="CV77" s="14">
        <f t="shared" ca="1" si="48"/>
        <v>0.55030266123905702</v>
      </c>
    </row>
    <row r="78" spans="1:106" outlineLevel="1">
      <c r="A78" t="s">
        <v>629</v>
      </c>
      <c r="B78" t="s">
        <v>559</v>
      </c>
      <c r="C78" s="73" t="s">
        <v>632</v>
      </c>
      <c r="D78" s="6">
        <v>0</v>
      </c>
      <c r="E78" s="6">
        <f t="shared" si="43"/>
        <v>0</v>
      </c>
      <c r="F78" s="6">
        <f t="shared" si="43"/>
        <v>0</v>
      </c>
      <c r="G78" s="6">
        <f t="shared" si="43"/>
        <v>17.165668662674651</v>
      </c>
      <c r="H78" s="6">
        <f t="shared" ca="1" si="44"/>
        <v>1.996007984031936</v>
      </c>
      <c r="I78" s="6">
        <f t="shared" ca="1" si="44"/>
        <v>0.19960079840319361</v>
      </c>
      <c r="J78" s="6">
        <f t="shared" ca="1" si="44"/>
        <v>0.19960079840319361</v>
      </c>
      <c r="K78" s="6">
        <f t="shared" ca="1" si="44"/>
        <v>0</v>
      </c>
      <c r="L78" s="6">
        <f t="shared" ca="1" si="44"/>
        <v>0.39920159680638723</v>
      </c>
      <c r="M78" s="6">
        <f t="shared" ca="1" si="44"/>
        <v>0</v>
      </c>
      <c r="N78" s="6">
        <f t="shared" si="43"/>
        <v>0</v>
      </c>
      <c r="O78" s="6">
        <f t="shared" si="43"/>
        <v>0</v>
      </c>
      <c r="P78" s="6">
        <f t="shared" si="43"/>
        <v>0</v>
      </c>
      <c r="Q78" s="6">
        <f t="shared" si="43"/>
        <v>0</v>
      </c>
      <c r="R78" s="6">
        <f t="shared" si="43"/>
        <v>0</v>
      </c>
      <c r="S78" s="6">
        <f t="shared" si="43"/>
        <v>0</v>
      </c>
      <c r="T78" s="6">
        <f t="shared" si="43"/>
        <v>0</v>
      </c>
      <c r="U78" s="6">
        <f t="shared" si="49"/>
        <v>3.992015968063872</v>
      </c>
      <c r="V78" s="6">
        <f t="shared" si="49"/>
        <v>0</v>
      </c>
      <c r="W78" s="6">
        <f t="shared" si="49"/>
        <v>0</v>
      </c>
      <c r="X78" s="6">
        <f t="shared" si="49"/>
        <v>0</v>
      </c>
      <c r="Y78" s="6">
        <f t="shared" si="49"/>
        <v>0</v>
      </c>
      <c r="Z78" s="6">
        <f t="shared" si="49"/>
        <v>0</v>
      </c>
      <c r="AA78" s="6">
        <f t="shared" si="49"/>
        <v>0</v>
      </c>
      <c r="AB78" s="6">
        <f t="shared" si="49"/>
        <v>0</v>
      </c>
      <c r="AC78" s="6">
        <f t="shared" si="49"/>
        <v>3.9603960396039604</v>
      </c>
      <c r="AD78" s="6">
        <f t="shared" si="49"/>
        <v>0</v>
      </c>
      <c r="AE78" s="6">
        <f t="shared" si="49"/>
        <v>0</v>
      </c>
      <c r="AF78" s="6">
        <f t="shared" si="49"/>
        <v>4.3564356435643568</v>
      </c>
      <c r="AG78" s="6">
        <f t="shared" si="49"/>
        <v>0</v>
      </c>
      <c r="AH78" s="6">
        <f t="shared" si="49"/>
        <v>0</v>
      </c>
      <c r="AI78" s="6">
        <f t="shared" si="49"/>
        <v>0</v>
      </c>
      <c r="AJ78" s="6">
        <f t="shared" si="49"/>
        <v>0</v>
      </c>
      <c r="AK78" s="6">
        <f t="shared" si="49"/>
        <v>0</v>
      </c>
      <c r="AL78" s="6">
        <f t="shared" si="49"/>
        <v>0</v>
      </c>
      <c r="AM78" s="6">
        <f t="shared" si="49"/>
        <v>0</v>
      </c>
      <c r="AN78" s="6">
        <f t="shared" si="49"/>
        <v>2.734375</v>
      </c>
      <c r="AO78" s="6">
        <f t="shared" si="49"/>
        <v>0</v>
      </c>
      <c r="AP78" s="6">
        <f t="shared" si="49"/>
        <v>3.90625</v>
      </c>
      <c r="AQ78" s="6">
        <f t="shared" si="49"/>
        <v>0</v>
      </c>
      <c r="AR78" s="6">
        <f t="shared" si="49"/>
        <v>0</v>
      </c>
      <c r="AS78" s="6">
        <f t="shared" si="49"/>
        <v>0</v>
      </c>
      <c r="AT78" s="6">
        <f t="shared" si="49"/>
        <v>0</v>
      </c>
      <c r="AU78" s="6">
        <f t="shared" si="49"/>
        <v>0</v>
      </c>
      <c r="AV78" s="6">
        <f t="shared" si="49"/>
        <v>0</v>
      </c>
      <c r="AW78" s="6">
        <f t="shared" si="49"/>
        <v>0</v>
      </c>
      <c r="AX78" s="6">
        <f t="shared" si="49"/>
        <v>2.734375</v>
      </c>
      <c r="AY78" s="6">
        <f t="shared" si="49"/>
        <v>0</v>
      </c>
      <c r="AZ78" s="6">
        <f t="shared" si="49"/>
        <v>3.90625</v>
      </c>
      <c r="BA78" s="6">
        <f t="shared" si="49"/>
        <v>0</v>
      </c>
      <c r="BB78" s="198">
        <f t="shared" si="47"/>
        <v>0</v>
      </c>
      <c r="BC78" s="63">
        <f t="shared" si="47"/>
        <v>0</v>
      </c>
      <c r="BD78" s="28">
        <f t="shared" ca="1" si="46"/>
        <v>45.550177491551551</v>
      </c>
      <c r="CJ78" s="73" t="s">
        <v>632</v>
      </c>
      <c r="CK78" s="63">
        <f ca="1">SUM((INDIRECT(CK$9&amp;ROW()):(INDIRECT(CK$10&amp;ROW()))))</f>
        <v>0</v>
      </c>
      <c r="CL78" s="63">
        <f ca="1">SUM((INDIRECT(CL$9&amp;ROW()):(INDIRECT(CL$10&amp;ROW()))))</f>
        <v>27.912491847987194</v>
      </c>
      <c r="CM78" s="63">
        <f ca="1">SUM((INDIRECT(CM$9&amp;ROW()):(INDIRECT(CM$10&amp;ROW()))))</f>
        <v>17.637685643564357</v>
      </c>
      <c r="CN78" s="63" t="e">
        <f ca="1">SUM((INDIRECT(CN$9&amp;ROW()):(INDIRECT(CN$10&amp;ROW()))))</f>
        <v>#N/A</v>
      </c>
      <c r="CO78" s="63" t="e">
        <f ca="1">SUM((INDIRECT(CO$9&amp;ROW()):(INDIRECT(CO$10&amp;ROW()))))</f>
        <v>#N/A</v>
      </c>
      <c r="CP78" s="63" t="e">
        <f ca="1">SUM((INDIRECT(CP$9&amp;ROW()):(INDIRECT(CP$10&amp;ROW()))))</f>
        <v>#N/A</v>
      </c>
      <c r="CQ78" s="63" t="e">
        <f ca="1">SUM((INDIRECT(CQ$9&amp;ROW()):(INDIRECT(CQ$10&amp;ROW()))))</f>
        <v>#REF!</v>
      </c>
      <c r="CR78" s="63" t="e">
        <f ca="1">SUM((INDIRECT(CR$9&amp;ROW()):(INDIRECT(CR$10&amp;ROW()))))</f>
        <v>#REF!</v>
      </c>
      <c r="CT78" s="28">
        <f ca="1">SUM((INDIRECT(CT$9&amp;ROW()):(INDIRECT(CT$10&amp;ROW()))))</f>
        <v>45.550177491551551</v>
      </c>
      <c r="CV78" s="14">
        <f t="shared" ca="1" si="48"/>
        <v>0.37958481242959624</v>
      </c>
    </row>
    <row r="79" spans="1:106" ht="15" outlineLevel="1" thickBot="1">
      <c r="A79" t="s">
        <v>149</v>
      </c>
      <c r="B79" t="s">
        <v>559</v>
      </c>
      <c r="C79" s="74" t="s">
        <v>629</v>
      </c>
      <c r="D79" s="6">
        <v>0</v>
      </c>
      <c r="E79" s="6">
        <f t="shared" si="43"/>
        <v>0</v>
      </c>
      <c r="F79" s="6">
        <f t="shared" si="43"/>
        <v>18.163672654690618</v>
      </c>
      <c r="G79" s="6">
        <f t="shared" si="43"/>
        <v>18.163672654690618</v>
      </c>
      <c r="H79" s="6">
        <f t="shared" ca="1" si="44"/>
        <v>18.163672654690618</v>
      </c>
      <c r="I79" s="6">
        <f t="shared" ca="1" si="44"/>
        <v>18.163672654690618</v>
      </c>
      <c r="J79" s="6">
        <f t="shared" ca="1" si="44"/>
        <v>18.163672654690618</v>
      </c>
      <c r="K79" s="6">
        <f t="shared" ca="1" si="44"/>
        <v>18.163672654690618</v>
      </c>
      <c r="L79" s="6">
        <f t="shared" ca="1" si="44"/>
        <v>18.163672654690618</v>
      </c>
      <c r="M79" s="6">
        <f t="shared" ca="1" si="44"/>
        <v>18.163672654690618</v>
      </c>
      <c r="N79" s="6">
        <f t="shared" si="43"/>
        <v>18.163672654690618</v>
      </c>
      <c r="O79" s="6">
        <f t="shared" si="43"/>
        <v>18.163672654690618</v>
      </c>
      <c r="P79" s="6">
        <f t="shared" si="43"/>
        <v>18.163672654690618</v>
      </c>
      <c r="Q79" s="6">
        <f t="shared" si="43"/>
        <v>18.163672654690618</v>
      </c>
      <c r="R79" s="6">
        <f t="shared" si="43"/>
        <v>18.163672654690618</v>
      </c>
      <c r="S79" s="6">
        <f t="shared" si="43"/>
        <v>18.163672654690618</v>
      </c>
      <c r="T79" s="6">
        <f t="shared" si="43"/>
        <v>18.163672654690618</v>
      </c>
      <c r="U79" s="6">
        <f t="shared" si="49"/>
        <v>18.163672654690618</v>
      </c>
      <c r="V79" s="6">
        <f t="shared" si="49"/>
        <v>18.163672654690618</v>
      </c>
      <c r="W79" s="6">
        <f t="shared" si="49"/>
        <v>18.163672654690618</v>
      </c>
      <c r="X79" s="6">
        <f t="shared" si="49"/>
        <v>18.019801980198018</v>
      </c>
      <c r="Y79" s="6">
        <f t="shared" si="49"/>
        <v>18.019801980198018</v>
      </c>
      <c r="Z79" s="6">
        <f t="shared" si="49"/>
        <v>18.019801980198018</v>
      </c>
      <c r="AA79" s="6">
        <f t="shared" si="49"/>
        <v>18.019801980198018</v>
      </c>
      <c r="AB79" s="6">
        <f t="shared" si="49"/>
        <v>18.019801980198018</v>
      </c>
      <c r="AC79" s="6">
        <f t="shared" si="49"/>
        <v>18.019801980198018</v>
      </c>
      <c r="AD79" s="6">
        <f t="shared" si="49"/>
        <v>18.019801980198018</v>
      </c>
      <c r="AE79" s="6">
        <f t="shared" si="49"/>
        <v>18.019801980198018</v>
      </c>
      <c r="AF79" s="6">
        <f t="shared" si="49"/>
        <v>18.019801980198018</v>
      </c>
      <c r="AG79" s="6">
        <f t="shared" si="49"/>
        <v>18.019801980198018</v>
      </c>
      <c r="AH79" s="6">
        <f t="shared" si="49"/>
        <v>18.019801980198018</v>
      </c>
      <c r="AI79" s="6">
        <f t="shared" si="49"/>
        <v>18.019801980198018</v>
      </c>
      <c r="AJ79" s="6">
        <f t="shared" si="49"/>
        <v>17.821782178217823</v>
      </c>
      <c r="AK79" s="6">
        <f t="shared" si="49"/>
        <v>14.059405940594059</v>
      </c>
      <c r="AL79" s="6">
        <f t="shared" si="49"/>
        <v>14.059405940594059</v>
      </c>
      <c r="AM79" s="6">
        <f t="shared" si="49"/>
        <v>13.8671875</v>
      </c>
      <c r="AN79" s="6">
        <f t="shared" si="49"/>
        <v>13.8671875</v>
      </c>
      <c r="AO79" s="6">
        <f t="shared" si="49"/>
        <v>13.8671875</v>
      </c>
      <c r="AP79" s="6">
        <f t="shared" si="49"/>
        <v>13.8671875</v>
      </c>
      <c r="AQ79" s="6">
        <f t="shared" si="49"/>
        <v>13.8671875</v>
      </c>
      <c r="AR79" s="6">
        <f t="shared" si="49"/>
        <v>13.8671875</v>
      </c>
      <c r="AS79" s="6">
        <f t="shared" si="49"/>
        <v>13.8671875</v>
      </c>
      <c r="AT79" s="6">
        <f t="shared" si="49"/>
        <v>13.8671875</v>
      </c>
      <c r="AU79" s="6">
        <f t="shared" si="49"/>
        <v>13.8671875</v>
      </c>
      <c r="AV79" s="6">
        <f t="shared" si="49"/>
        <v>13.8671875</v>
      </c>
      <c r="AW79" s="6">
        <f t="shared" si="49"/>
        <v>13.8671875</v>
      </c>
      <c r="AX79" s="6">
        <f t="shared" si="49"/>
        <v>13.8671875</v>
      </c>
      <c r="AY79" s="6">
        <f t="shared" si="49"/>
        <v>13.8671875</v>
      </c>
      <c r="AZ79" s="6">
        <f t="shared" si="49"/>
        <v>56.0546875</v>
      </c>
      <c r="BA79" s="6">
        <f t="shared" si="49"/>
        <v>0</v>
      </c>
      <c r="BB79" s="198">
        <f t="shared" si="47"/>
        <v>0</v>
      </c>
      <c r="BC79" s="63">
        <f t="shared" si="47"/>
        <v>0</v>
      </c>
      <c r="BD79" s="28">
        <f t="shared" ca="1" si="46"/>
        <v>825.45245060621323</v>
      </c>
      <c r="CJ79" s="74" t="s">
        <v>629</v>
      </c>
      <c r="CK79" s="63">
        <f ca="1">SUM((INDIRECT(CK$9&amp;ROW()):(INDIRECT(CK$10&amp;ROW()))))</f>
        <v>0</v>
      </c>
      <c r="CL79" s="63">
        <f ca="1">SUM((INDIRECT(CL$9&amp;ROW()):(INDIRECT(CL$10&amp;ROW()))))</f>
        <v>453.08472164581718</v>
      </c>
      <c r="CM79" s="63">
        <f ca="1">SUM((INDIRECT(CM$9&amp;ROW()):(INDIRECT(CM$10&amp;ROW()))))</f>
        <v>372.36772896039605</v>
      </c>
      <c r="CN79" s="63" t="e">
        <f ca="1">SUM((INDIRECT(CN$9&amp;ROW()):(INDIRECT(CN$10&amp;ROW()))))</f>
        <v>#N/A</v>
      </c>
      <c r="CO79" s="63" t="e">
        <f ca="1">SUM((INDIRECT(CO$9&amp;ROW()):(INDIRECT(CO$10&amp;ROW()))))</f>
        <v>#N/A</v>
      </c>
      <c r="CP79" s="63" t="e">
        <f ca="1">SUM((INDIRECT(CP$9&amp;ROW()):(INDIRECT(CP$10&amp;ROW()))))</f>
        <v>#N/A</v>
      </c>
      <c r="CQ79" s="63" t="e">
        <f ca="1">SUM((INDIRECT(CQ$9&amp;ROW()):(INDIRECT(CQ$10&amp;ROW()))))</f>
        <v>#REF!</v>
      </c>
      <c r="CR79" s="63" t="e">
        <f ca="1">SUM((INDIRECT(CR$9&amp;ROW()):(INDIRECT(CR$10&amp;ROW()))))</f>
        <v>#REF!</v>
      </c>
      <c r="CT79" s="28">
        <f ca="1">SUM((INDIRECT(CT$9&amp;ROW()):(INDIRECT(CT$10&amp;ROW()))))</f>
        <v>825.45245060621323</v>
      </c>
      <c r="CV79" s="14">
        <f t="shared" ca="1" si="48"/>
        <v>6.8787704217184436</v>
      </c>
      <c r="CW79" s="14">
        <f ca="1">SUM(CV77:CV79)</f>
        <v>7.8086578953870971</v>
      </c>
      <c r="CY79" s="142">
        <f ca="1">CW79*CY$71</f>
        <v>351.38960529241939</v>
      </c>
      <c r="DB79">
        <v>750</v>
      </c>
    </row>
    <row r="80" spans="1:106" outlineLevel="1">
      <c r="A80" t="s">
        <v>23</v>
      </c>
      <c r="B80" t="s">
        <v>23</v>
      </c>
      <c r="C80" s="72" t="s">
        <v>23</v>
      </c>
      <c r="D80" s="6">
        <v>0</v>
      </c>
      <c r="E80" s="6">
        <f t="shared" si="43"/>
        <v>0</v>
      </c>
      <c r="F80" s="6">
        <f t="shared" si="43"/>
        <v>0</v>
      </c>
      <c r="G80" s="6">
        <f t="shared" si="43"/>
        <v>0</v>
      </c>
      <c r="H80" s="6">
        <f t="shared" ca="1" si="44"/>
        <v>0</v>
      </c>
      <c r="I80" s="6">
        <f t="shared" ca="1" si="44"/>
        <v>0</v>
      </c>
      <c r="J80" s="6">
        <f t="shared" ca="1" si="44"/>
        <v>0</v>
      </c>
      <c r="K80" s="6">
        <f t="shared" ca="1" si="44"/>
        <v>0</v>
      </c>
      <c r="L80" s="6">
        <f t="shared" ca="1" si="44"/>
        <v>0</v>
      </c>
      <c r="M80" s="6">
        <f t="shared" ca="1" si="44"/>
        <v>0</v>
      </c>
      <c r="N80" s="6">
        <f t="shared" si="43"/>
        <v>0</v>
      </c>
      <c r="O80" s="6">
        <f t="shared" si="43"/>
        <v>0</v>
      </c>
      <c r="P80" s="6">
        <f t="shared" si="43"/>
        <v>0</v>
      </c>
      <c r="Q80" s="6">
        <f t="shared" si="43"/>
        <v>0</v>
      </c>
      <c r="R80" s="6">
        <f t="shared" si="43"/>
        <v>0</v>
      </c>
      <c r="S80" s="6">
        <f t="shared" si="43"/>
        <v>0</v>
      </c>
      <c r="T80" s="6">
        <f t="shared" si="43"/>
        <v>0</v>
      </c>
      <c r="U80" s="6">
        <f t="shared" ref="U80:BA83" si="50">+SUMIF($C$12:$C$29,$C80,U$12:U$29)/U$6+SUMIF($C$47:$C$63,$C80,U$47:U$64)</f>
        <v>0</v>
      </c>
      <c r="V80" s="6">
        <f t="shared" si="50"/>
        <v>0</v>
      </c>
      <c r="W80" s="6">
        <f t="shared" si="50"/>
        <v>0</v>
      </c>
      <c r="X80" s="6">
        <f t="shared" si="50"/>
        <v>0</v>
      </c>
      <c r="Y80" s="6">
        <f t="shared" si="50"/>
        <v>83.168316831683171</v>
      </c>
      <c r="Z80" s="6">
        <f t="shared" si="50"/>
        <v>0</v>
      </c>
      <c r="AA80" s="6">
        <f t="shared" si="50"/>
        <v>0</v>
      </c>
      <c r="AB80" s="6">
        <f t="shared" si="50"/>
        <v>0</v>
      </c>
      <c r="AC80" s="6">
        <f t="shared" si="50"/>
        <v>33.267326732673268</v>
      </c>
      <c r="AD80" s="6">
        <f t="shared" si="50"/>
        <v>0</v>
      </c>
      <c r="AE80" s="6">
        <f t="shared" si="50"/>
        <v>0</v>
      </c>
      <c r="AF80" s="6">
        <f t="shared" si="50"/>
        <v>0</v>
      </c>
      <c r="AG80" s="6">
        <f t="shared" si="50"/>
        <v>0</v>
      </c>
      <c r="AH80" s="6">
        <f t="shared" si="50"/>
        <v>0</v>
      </c>
      <c r="AI80" s="6">
        <f t="shared" si="50"/>
        <v>0</v>
      </c>
      <c r="AJ80" s="6">
        <f t="shared" si="50"/>
        <v>0</v>
      </c>
      <c r="AK80" s="6">
        <f t="shared" si="50"/>
        <v>0</v>
      </c>
      <c r="AL80" s="6">
        <f t="shared" si="50"/>
        <v>0</v>
      </c>
      <c r="AM80" s="6">
        <f t="shared" si="50"/>
        <v>0</v>
      </c>
      <c r="AN80" s="6">
        <f t="shared" si="50"/>
        <v>0</v>
      </c>
      <c r="AO80" s="6">
        <f t="shared" si="50"/>
        <v>14.0625</v>
      </c>
      <c r="AP80" s="6">
        <f t="shared" si="50"/>
        <v>89.84375</v>
      </c>
      <c r="AQ80" s="6">
        <f t="shared" si="50"/>
        <v>0</v>
      </c>
      <c r="AR80" s="6">
        <f t="shared" si="50"/>
        <v>0</v>
      </c>
      <c r="AS80" s="6">
        <f t="shared" si="50"/>
        <v>0</v>
      </c>
      <c r="AT80" s="6">
        <f t="shared" si="50"/>
        <v>0</v>
      </c>
      <c r="AU80" s="6">
        <f t="shared" si="50"/>
        <v>0</v>
      </c>
      <c r="AV80" s="6">
        <f t="shared" si="50"/>
        <v>0</v>
      </c>
      <c r="AW80" s="6">
        <f t="shared" si="50"/>
        <v>0</v>
      </c>
      <c r="AX80" s="6">
        <f t="shared" si="50"/>
        <v>0</v>
      </c>
      <c r="AY80" s="6">
        <f t="shared" si="50"/>
        <v>0</v>
      </c>
      <c r="AZ80" s="6">
        <f t="shared" si="50"/>
        <v>156.25</v>
      </c>
      <c r="BA80" s="6">
        <f t="shared" si="50"/>
        <v>0</v>
      </c>
      <c r="BB80" s="198">
        <f t="shared" si="47"/>
        <v>0</v>
      </c>
      <c r="BC80" s="63">
        <f t="shared" si="47"/>
        <v>0</v>
      </c>
      <c r="BD80" s="28">
        <f t="shared" ca="1" si="46"/>
        <v>376.59189356435644</v>
      </c>
      <c r="CJ80" s="72" t="s">
        <v>23</v>
      </c>
      <c r="CK80" s="63">
        <f ca="1">SUM((INDIRECT(CK$9&amp;ROW()):(INDIRECT(CK$10&amp;ROW()))))</f>
        <v>0</v>
      </c>
      <c r="CL80" s="63">
        <f ca="1">SUM((INDIRECT(CL$9&amp;ROW()):(INDIRECT(CL$10&amp;ROW()))))</f>
        <v>116.43564356435644</v>
      </c>
      <c r="CM80" s="63">
        <f ca="1">SUM((INDIRECT(CM$9&amp;ROW()):(INDIRECT(CM$10&amp;ROW()))))</f>
        <v>260.15625</v>
      </c>
      <c r="CN80" s="63" t="e">
        <f ca="1">SUM((INDIRECT(CN$9&amp;ROW()):(INDIRECT(CN$10&amp;ROW()))))</f>
        <v>#N/A</v>
      </c>
      <c r="CO80" s="63" t="e">
        <f ca="1">SUM((INDIRECT(CO$9&amp;ROW()):(INDIRECT(CO$10&amp;ROW()))))</f>
        <v>#N/A</v>
      </c>
      <c r="CP80" s="63" t="e">
        <f ca="1">SUM((INDIRECT(CP$9&amp;ROW()):(INDIRECT(CP$10&amp;ROW()))))</f>
        <v>#N/A</v>
      </c>
      <c r="CQ80" s="63" t="e">
        <f ca="1">SUM((INDIRECT(CQ$9&amp;ROW()):(INDIRECT(CQ$10&amp;ROW()))))</f>
        <v>#REF!</v>
      </c>
      <c r="CR80" s="63" t="e">
        <f ca="1">SUM((INDIRECT(CR$9&amp;ROW()):(INDIRECT(CR$10&amp;ROW()))))</f>
        <v>#REF!</v>
      </c>
      <c r="CT80" s="28">
        <f ca="1">SUM((INDIRECT(CT$9&amp;ROW()):(INDIRECT(CT$10&amp;ROW()))))</f>
        <v>376.59189356435644</v>
      </c>
      <c r="CV80" s="14">
        <f t="shared" ca="1" si="48"/>
        <v>3.1382657797029703</v>
      </c>
    </row>
    <row r="81" spans="1:106" outlineLevel="1">
      <c r="A81" t="s">
        <v>151</v>
      </c>
      <c r="B81" t="s">
        <v>23</v>
      </c>
      <c r="C81" s="73" t="s">
        <v>151</v>
      </c>
      <c r="D81" s="6">
        <v>0</v>
      </c>
      <c r="E81" s="6">
        <f t="shared" si="43"/>
        <v>0</v>
      </c>
      <c r="F81" s="6">
        <f t="shared" si="43"/>
        <v>0</v>
      </c>
      <c r="G81" s="6">
        <f t="shared" si="43"/>
        <v>0</v>
      </c>
      <c r="H81" s="6">
        <f t="shared" ca="1" si="44"/>
        <v>0</v>
      </c>
      <c r="I81" s="6">
        <f t="shared" ca="1" si="44"/>
        <v>0</v>
      </c>
      <c r="J81" s="6">
        <f t="shared" ca="1" si="44"/>
        <v>0</v>
      </c>
      <c r="K81" s="6">
        <f t="shared" ca="1" si="44"/>
        <v>0</v>
      </c>
      <c r="L81" s="6">
        <f t="shared" ca="1" si="44"/>
        <v>0</v>
      </c>
      <c r="M81" s="6">
        <f t="shared" ca="1" si="44"/>
        <v>0</v>
      </c>
      <c r="N81" s="6">
        <f t="shared" si="43"/>
        <v>5.9880239520958085</v>
      </c>
      <c r="O81" s="6">
        <f t="shared" si="43"/>
        <v>0</v>
      </c>
      <c r="P81" s="6">
        <f t="shared" si="43"/>
        <v>0</v>
      </c>
      <c r="Q81" s="6">
        <f t="shared" si="43"/>
        <v>0</v>
      </c>
      <c r="R81" s="6">
        <f t="shared" si="43"/>
        <v>0</v>
      </c>
      <c r="S81" s="6">
        <f t="shared" si="43"/>
        <v>0</v>
      </c>
      <c r="T81" s="6">
        <f t="shared" si="43"/>
        <v>0</v>
      </c>
      <c r="U81" s="6">
        <f t="shared" si="50"/>
        <v>0</v>
      </c>
      <c r="V81" s="6">
        <f t="shared" si="50"/>
        <v>0</v>
      </c>
      <c r="W81" s="6">
        <f t="shared" si="50"/>
        <v>0</v>
      </c>
      <c r="X81" s="6">
        <f t="shared" si="50"/>
        <v>0</v>
      </c>
      <c r="Y81" s="6">
        <f t="shared" si="50"/>
        <v>0</v>
      </c>
      <c r="Z81" s="6">
        <f t="shared" si="50"/>
        <v>0</v>
      </c>
      <c r="AA81" s="6">
        <f t="shared" si="50"/>
        <v>0</v>
      </c>
      <c r="AB81" s="6">
        <f t="shared" si="50"/>
        <v>0</v>
      </c>
      <c r="AC81" s="6">
        <f t="shared" si="50"/>
        <v>0</v>
      </c>
      <c r="AD81" s="6">
        <f t="shared" si="50"/>
        <v>0</v>
      </c>
      <c r="AE81" s="6">
        <f t="shared" si="50"/>
        <v>0</v>
      </c>
      <c r="AF81" s="6">
        <f t="shared" si="50"/>
        <v>0</v>
      </c>
      <c r="AG81" s="6">
        <f t="shared" si="50"/>
        <v>0</v>
      </c>
      <c r="AH81" s="6">
        <f t="shared" si="50"/>
        <v>0</v>
      </c>
      <c r="AI81" s="6">
        <f t="shared" si="50"/>
        <v>0</v>
      </c>
      <c r="AJ81" s="6">
        <f t="shared" si="50"/>
        <v>0</v>
      </c>
      <c r="AK81" s="6">
        <f t="shared" si="50"/>
        <v>0</v>
      </c>
      <c r="AL81" s="6">
        <f t="shared" si="50"/>
        <v>0</v>
      </c>
      <c r="AM81" s="6">
        <f t="shared" si="50"/>
        <v>0</v>
      </c>
      <c r="AN81" s="6">
        <f t="shared" si="50"/>
        <v>0</v>
      </c>
      <c r="AO81" s="6">
        <f t="shared" si="50"/>
        <v>0</v>
      </c>
      <c r="AP81" s="6">
        <f t="shared" si="50"/>
        <v>0</v>
      </c>
      <c r="AQ81" s="6">
        <f t="shared" si="50"/>
        <v>0</v>
      </c>
      <c r="AR81" s="6">
        <f t="shared" si="50"/>
        <v>0</v>
      </c>
      <c r="AS81" s="6">
        <f t="shared" si="50"/>
        <v>0</v>
      </c>
      <c r="AT81" s="6">
        <f t="shared" si="50"/>
        <v>23.4375</v>
      </c>
      <c r="AU81" s="6">
        <f t="shared" si="50"/>
        <v>0</v>
      </c>
      <c r="AV81" s="6">
        <f t="shared" si="50"/>
        <v>0</v>
      </c>
      <c r="AW81" s="6">
        <f t="shared" si="50"/>
        <v>7.8125</v>
      </c>
      <c r="AX81" s="6">
        <f t="shared" si="50"/>
        <v>0</v>
      </c>
      <c r="AY81" s="6">
        <f t="shared" si="50"/>
        <v>0</v>
      </c>
      <c r="AZ81" s="6">
        <f t="shared" si="50"/>
        <v>0</v>
      </c>
      <c r="BA81" s="6">
        <f t="shared" si="50"/>
        <v>0</v>
      </c>
      <c r="BB81" s="198">
        <f t="shared" si="47"/>
        <v>0</v>
      </c>
      <c r="BC81" s="63">
        <f t="shared" si="47"/>
        <v>0</v>
      </c>
      <c r="BD81" s="28">
        <f t="shared" ca="1" si="46"/>
        <v>37.238023952095809</v>
      </c>
      <c r="CJ81" s="73" t="s">
        <v>151</v>
      </c>
      <c r="CK81" s="63">
        <f ca="1">SUM((INDIRECT(CK$9&amp;ROW()):(INDIRECT(CK$10&amp;ROW()))))</f>
        <v>0</v>
      </c>
      <c r="CL81" s="63">
        <f ca="1">SUM((INDIRECT(CL$9&amp;ROW()):(INDIRECT(CL$10&amp;ROW()))))</f>
        <v>5.9880239520958085</v>
      </c>
      <c r="CM81" s="63">
        <f ca="1">SUM((INDIRECT(CM$9&amp;ROW()):(INDIRECT(CM$10&amp;ROW()))))</f>
        <v>31.25</v>
      </c>
      <c r="CN81" s="63" t="e">
        <f ca="1">SUM((INDIRECT(CN$9&amp;ROW()):(INDIRECT(CN$10&amp;ROW()))))</f>
        <v>#N/A</v>
      </c>
      <c r="CO81" s="63" t="e">
        <f ca="1">SUM((INDIRECT(CO$9&amp;ROW()):(INDIRECT(CO$10&amp;ROW()))))</f>
        <v>#N/A</v>
      </c>
      <c r="CP81" s="63" t="e">
        <f ca="1">SUM((INDIRECT(CP$9&amp;ROW()):(INDIRECT(CP$10&amp;ROW()))))</f>
        <v>#N/A</v>
      </c>
      <c r="CQ81" s="63" t="e">
        <f ca="1">SUM((INDIRECT(CQ$9&amp;ROW()):(INDIRECT(CQ$10&amp;ROW()))))</f>
        <v>#REF!</v>
      </c>
      <c r="CR81" s="63" t="e">
        <f ca="1">SUM((INDIRECT(CR$9&amp;ROW()):(INDIRECT(CR$10&amp;ROW()))))</f>
        <v>#REF!</v>
      </c>
      <c r="CT81" s="28">
        <f ca="1">SUM((INDIRECT(CT$9&amp;ROW()):(INDIRECT(CT$10&amp;ROW()))))</f>
        <v>37.238023952095809</v>
      </c>
      <c r="CV81" s="14">
        <f t="shared" ca="1" si="48"/>
        <v>0.31031686626746507</v>
      </c>
    </row>
    <row r="82" spans="1:106" ht="15" outlineLevel="1" thickBot="1">
      <c r="A82" t="s">
        <v>8</v>
      </c>
      <c r="B82" t="s">
        <v>23</v>
      </c>
      <c r="C82" s="74" t="s">
        <v>8</v>
      </c>
      <c r="D82" s="6">
        <v>0</v>
      </c>
      <c r="E82" s="6">
        <f t="shared" si="43"/>
        <v>0</v>
      </c>
      <c r="F82" s="6">
        <f t="shared" si="43"/>
        <v>0</v>
      </c>
      <c r="G82" s="6">
        <f t="shared" si="43"/>
        <v>0</v>
      </c>
      <c r="H82" s="6">
        <f t="shared" ref="H82:M89" ca="1" si="51">+SUMIF($C$12:$C$29,$C82,H$12:H$29)/H$6+SUMIF($C$47:$C$63,$C82,H$47:H$61)</f>
        <v>0</v>
      </c>
      <c r="I82" s="6">
        <f t="shared" ca="1" si="51"/>
        <v>0</v>
      </c>
      <c r="J82" s="6">
        <f t="shared" ca="1" si="51"/>
        <v>0</v>
      </c>
      <c r="K82" s="6">
        <f t="shared" ca="1" si="51"/>
        <v>0</v>
      </c>
      <c r="L82" s="6">
        <f t="shared" ca="1" si="51"/>
        <v>0</v>
      </c>
      <c r="M82" s="6">
        <f t="shared" ca="1" si="51"/>
        <v>0</v>
      </c>
      <c r="N82" s="6">
        <f t="shared" si="43"/>
        <v>0</v>
      </c>
      <c r="O82" s="6">
        <f t="shared" si="43"/>
        <v>0</v>
      </c>
      <c r="P82" s="6">
        <f t="shared" si="43"/>
        <v>0</v>
      </c>
      <c r="Q82" s="6">
        <f t="shared" si="43"/>
        <v>0</v>
      </c>
      <c r="R82" s="6">
        <f t="shared" si="43"/>
        <v>0</v>
      </c>
      <c r="S82" s="6">
        <f t="shared" si="43"/>
        <v>0</v>
      </c>
      <c r="T82" s="6">
        <f t="shared" si="43"/>
        <v>0</v>
      </c>
      <c r="U82" s="6">
        <f t="shared" si="50"/>
        <v>0</v>
      </c>
      <c r="V82" s="6">
        <f t="shared" si="50"/>
        <v>0</v>
      </c>
      <c r="W82" s="6">
        <f t="shared" si="50"/>
        <v>0</v>
      </c>
      <c r="X82" s="6">
        <f t="shared" si="50"/>
        <v>0</v>
      </c>
      <c r="Y82" s="6">
        <f t="shared" si="50"/>
        <v>0</v>
      </c>
      <c r="Z82" s="6">
        <f t="shared" si="50"/>
        <v>0</v>
      </c>
      <c r="AA82" s="6">
        <f t="shared" si="50"/>
        <v>0</v>
      </c>
      <c r="AB82" s="6">
        <f t="shared" si="50"/>
        <v>0</v>
      </c>
      <c r="AC82" s="6">
        <f t="shared" si="50"/>
        <v>0</v>
      </c>
      <c r="AD82" s="6">
        <f t="shared" si="50"/>
        <v>0</v>
      </c>
      <c r="AE82" s="6">
        <f t="shared" si="50"/>
        <v>0</v>
      </c>
      <c r="AF82" s="6">
        <f t="shared" si="50"/>
        <v>0</v>
      </c>
      <c r="AG82" s="6">
        <f t="shared" si="50"/>
        <v>0</v>
      </c>
      <c r="AH82" s="6">
        <f t="shared" si="50"/>
        <v>0</v>
      </c>
      <c r="AI82" s="6">
        <f t="shared" si="50"/>
        <v>0</v>
      </c>
      <c r="AJ82" s="6">
        <f t="shared" si="50"/>
        <v>0</v>
      </c>
      <c r="AK82" s="6">
        <f t="shared" si="50"/>
        <v>0</v>
      </c>
      <c r="AL82" s="6">
        <f t="shared" si="50"/>
        <v>0</v>
      </c>
      <c r="AM82" s="6">
        <f t="shared" si="50"/>
        <v>0</v>
      </c>
      <c r="AN82" s="6">
        <f t="shared" si="50"/>
        <v>0</v>
      </c>
      <c r="AO82" s="6">
        <f t="shared" si="50"/>
        <v>50</v>
      </c>
      <c r="AP82" s="6">
        <f t="shared" si="50"/>
        <v>55</v>
      </c>
      <c r="AQ82" s="6">
        <f t="shared" si="50"/>
        <v>0</v>
      </c>
      <c r="AR82" s="6">
        <f t="shared" si="50"/>
        <v>0</v>
      </c>
      <c r="AS82" s="6">
        <f t="shared" si="50"/>
        <v>0</v>
      </c>
      <c r="AT82" s="6">
        <f t="shared" si="50"/>
        <v>0</v>
      </c>
      <c r="AU82" s="6">
        <f t="shared" si="50"/>
        <v>0</v>
      </c>
      <c r="AV82" s="6">
        <f t="shared" si="50"/>
        <v>0</v>
      </c>
      <c r="AW82" s="6">
        <f t="shared" si="50"/>
        <v>0</v>
      </c>
      <c r="AX82" s="6">
        <f t="shared" si="50"/>
        <v>0</v>
      </c>
      <c r="AY82" s="6">
        <f t="shared" si="50"/>
        <v>0</v>
      </c>
      <c r="AZ82" s="6">
        <f t="shared" si="50"/>
        <v>0</v>
      </c>
      <c r="BA82" s="6">
        <f t="shared" si="50"/>
        <v>0</v>
      </c>
      <c r="BB82" s="198">
        <f t="shared" si="47"/>
        <v>0</v>
      </c>
      <c r="BC82" s="63">
        <f t="shared" si="47"/>
        <v>0</v>
      </c>
      <c r="BD82" s="28">
        <f t="shared" ca="1" si="46"/>
        <v>105</v>
      </c>
      <c r="CJ82" s="74" t="s">
        <v>8</v>
      </c>
      <c r="CK82" s="63">
        <f ca="1">SUM((INDIRECT(CK$9&amp;ROW()):(INDIRECT(CK$10&amp;ROW()))))</f>
        <v>0</v>
      </c>
      <c r="CL82" s="63">
        <f ca="1">SUM((INDIRECT(CL$9&amp;ROW()):(INDIRECT(CL$10&amp;ROW()))))</f>
        <v>0</v>
      </c>
      <c r="CM82" s="63">
        <f ca="1">SUM((INDIRECT(CM$9&amp;ROW()):(INDIRECT(CM$10&amp;ROW()))))</f>
        <v>105</v>
      </c>
      <c r="CN82" s="63" t="e">
        <f ca="1">SUM((INDIRECT(CN$9&amp;ROW()):(INDIRECT(CN$10&amp;ROW()))))</f>
        <v>#N/A</v>
      </c>
      <c r="CO82" s="63" t="e">
        <f ca="1">SUM((INDIRECT(CO$9&amp;ROW()):(INDIRECT(CO$10&amp;ROW()))))</f>
        <v>#N/A</v>
      </c>
      <c r="CP82" s="63" t="e">
        <f ca="1">SUM((INDIRECT(CP$9&amp;ROW()):(INDIRECT(CP$10&amp;ROW()))))</f>
        <v>#N/A</v>
      </c>
      <c r="CQ82" s="63" t="e">
        <f ca="1">SUM((INDIRECT(CQ$9&amp;ROW()):(INDIRECT(CQ$10&amp;ROW()))))</f>
        <v>#REF!</v>
      </c>
      <c r="CR82" s="63" t="e">
        <f ca="1">SUM((INDIRECT(CR$9&amp;ROW()):(INDIRECT(CR$10&amp;ROW()))))</f>
        <v>#REF!</v>
      </c>
      <c r="CT82" s="28">
        <f ca="1">SUM((INDIRECT(CT$9&amp;ROW()):(INDIRECT(CT$10&amp;ROW()))))</f>
        <v>105</v>
      </c>
      <c r="CV82" s="14">
        <f t="shared" ca="1" si="48"/>
        <v>0.875</v>
      </c>
      <c r="CW82" s="14">
        <f ca="1">SUM(CV80:CV82)</f>
        <v>4.3235826459704354</v>
      </c>
      <c r="CY82" s="142">
        <f ca="1">CW82*CY$71</f>
        <v>194.5612190686696</v>
      </c>
      <c r="DB82">
        <v>400</v>
      </c>
    </row>
    <row r="83" spans="1:106" outlineLevel="1">
      <c r="A83" t="s">
        <v>150</v>
      </c>
      <c r="B83" t="s">
        <v>25</v>
      </c>
      <c r="C83" s="72" t="s">
        <v>150</v>
      </c>
      <c r="D83" s="6">
        <v>0</v>
      </c>
      <c r="E83" s="6">
        <f t="shared" si="43"/>
        <v>40</v>
      </c>
      <c r="F83" s="6">
        <f t="shared" si="43"/>
        <v>0</v>
      </c>
      <c r="G83" s="6">
        <f t="shared" si="43"/>
        <v>13.972055888223553</v>
      </c>
      <c r="H83" s="6">
        <f t="shared" ca="1" si="51"/>
        <v>0</v>
      </c>
      <c r="I83" s="6">
        <f t="shared" ca="1" si="51"/>
        <v>0</v>
      </c>
      <c r="J83" s="6">
        <f t="shared" ca="1" si="51"/>
        <v>0</v>
      </c>
      <c r="K83" s="6">
        <f t="shared" ca="1" si="51"/>
        <v>0</v>
      </c>
      <c r="L83" s="6">
        <f t="shared" ca="1" si="51"/>
        <v>0</v>
      </c>
      <c r="M83" s="6">
        <f t="shared" ca="1" si="51"/>
        <v>0</v>
      </c>
      <c r="N83" s="6">
        <f t="shared" si="43"/>
        <v>0</v>
      </c>
      <c r="O83" s="6">
        <f t="shared" si="43"/>
        <v>0</v>
      </c>
      <c r="P83" s="6">
        <f t="shared" si="43"/>
        <v>0</v>
      </c>
      <c r="Q83" s="6">
        <f t="shared" si="43"/>
        <v>0</v>
      </c>
      <c r="R83" s="6">
        <f t="shared" si="43"/>
        <v>0</v>
      </c>
      <c r="S83" s="6">
        <f t="shared" si="43"/>
        <v>0</v>
      </c>
      <c r="T83" s="6">
        <f t="shared" si="43"/>
        <v>0</v>
      </c>
      <c r="U83" s="6">
        <f t="shared" si="50"/>
        <v>0</v>
      </c>
      <c r="V83" s="6">
        <f t="shared" si="50"/>
        <v>0</v>
      </c>
      <c r="W83" s="6">
        <f t="shared" si="50"/>
        <v>0</v>
      </c>
      <c r="X83" s="6">
        <f t="shared" si="50"/>
        <v>0</v>
      </c>
      <c r="Y83" s="6">
        <f t="shared" si="50"/>
        <v>0</v>
      </c>
      <c r="Z83" s="6">
        <f t="shared" si="50"/>
        <v>0</v>
      </c>
      <c r="AA83" s="6">
        <f t="shared" si="50"/>
        <v>0</v>
      </c>
      <c r="AB83" s="6">
        <f t="shared" si="50"/>
        <v>0</v>
      </c>
      <c r="AC83" s="6">
        <f t="shared" si="50"/>
        <v>43.564356435643568</v>
      </c>
      <c r="AD83" s="6">
        <f t="shared" si="50"/>
        <v>0</v>
      </c>
      <c r="AE83" s="6">
        <f t="shared" si="50"/>
        <v>0</v>
      </c>
      <c r="AF83" s="6">
        <f t="shared" si="50"/>
        <v>0</v>
      </c>
      <c r="AG83" s="6">
        <f t="shared" si="50"/>
        <v>0</v>
      </c>
      <c r="AH83" s="6">
        <f t="shared" si="50"/>
        <v>0</v>
      </c>
      <c r="AI83" s="6">
        <f t="shared" si="50"/>
        <v>0</v>
      </c>
      <c r="AJ83" s="6">
        <f t="shared" si="50"/>
        <v>0</v>
      </c>
      <c r="AK83" s="6">
        <f t="shared" si="50"/>
        <v>0</v>
      </c>
      <c r="AL83" s="6">
        <f t="shared" si="50"/>
        <v>0</v>
      </c>
      <c r="AM83" s="6">
        <f t="shared" si="50"/>
        <v>0</v>
      </c>
      <c r="AN83" s="6">
        <f t="shared" si="50"/>
        <v>0</v>
      </c>
      <c r="AO83" s="6">
        <f t="shared" si="50"/>
        <v>21.875</v>
      </c>
      <c r="AP83" s="6">
        <f t="shared" si="50"/>
        <v>21.875</v>
      </c>
      <c r="AQ83" s="6">
        <f t="shared" si="50"/>
        <v>0</v>
      </c>
      <c r="AR83" s="6">
        <f t="shared" si="50"/>
        <v>0</v>
      </c>
      <c r="AS83" s="6">
        <f t="shared" si="50"/>
        <v>0</v>
      </c>
      <c r="AT83" s="6">
        <f t="shared" si="50"/>
        <v>0</v>
      </c>
      <c r="AU83" s="6">
        <f t="shared" si="50"/>
        <v>0</v>
      </c>
      <c r="AV83" s="6">
        <f t="shared" si="50"/>
        <v>0</v>
      </c>
      <c r="AW83" s="6">
        <f t="shared" si="50"/>
        <v>0</v>
      </c>
      <c r="AX83" s="6">
        <f t="shared" si="50"/>
        <v>0</v>
      </c>
      <c r="AY83" s="6">
        <f t="shared" si="50"/>
        <v>0</v>
      </c>
      <c r="AZ83" s="6">
        <f t="shared" si="50"/>
        <v>0</v>
      </c>
      <c r="BA83" s="6">
        <f t="shared" si="50"/>
        <v>0</v>
      </c>
      <c r="BB83" s="198">
        <f t="shared" si="47"/>
        <v>0</v>
      </c>
      <c r="BC83" s="63">
        <f t="shared" si="47"/>
        <v>0</v>
      </c>
      <c r="BD83" s="28">
        <f t="shared" ca="1" si="46"/>
        <v>141.28641232386713</v>
      </c>
      <c r="CJ83" s="72" t="s">
        <v>150</v>
      </c>
      <c r="CK83" s="63">
        <f ca="1">SUM((INDIRECT(CK$9&amp;ROW()):(INDIRECT(CK$10&amp;ROW()))))</f>
        <v>40</v>
      </c>
      <c r="CL83" s="63">
        <f ca="1">SUM((INDIRECT(CL$9&amp;ROW()):(INDIRECT(CL$10&amp;ROW()))))</f>
        <v>57.536412323867118</v>
      </c>
      <c r="CM83" s="63">
        <f ca="1">SUM((INDIRECT(CM$9&amp;ROW()):(INDIRECT(CM$10&amp;ROW()))))</f>
        <v>43.75</v>
      </c>
      <c r="CN83" s="63" t="e">
        <f ca="1">SUM((INDIRECT(CN$9&amp;ROW()):(INDIRECT(CN$10&amp;ROW()))))</f>
        <v>#N/A</v>
      </c>
      <c r="CO83" s="63" t="e">
        <f ca="1">SUM((INDIRECT(CO$9&amp;ROW()):(INDIRECT(CO$10&amp;ROW()))))</f>
        <v>#N/A</v>
      </c>
      <c r="CP83" s="63" t="e">
        <f ca="1">SUM((INDIRECT(CP$9&amp;ROW()):(INDIRECT(CP$10&amp;ROW()))))</f>
        <v>#N/A</v>
      </c>
      <c r="CQ83" s="63" t="e">
        <f ca="1">SUM((INDIRECT(CQ$9&amp;ROW()):(INDIRECT(CQ$10&amp;ROW()))))</f>
        <v>#REF!</v>
      </c>
      <c r="CR83" s="63" t="e">
        <f ca="1">SUM((INDIRECT(CR$9&amp;ROW()):(INDIRECT(CR$10&amp;ROW()))))</f>
        <v>#REF!</v>
      </c>
      <c r="CT83" s="28">
        <f ca="1">SUM((INDIRECT(CT$9&amp;ROW()):(INDIRECT(CT$10&amp;ROW()))))</f>
        <v>101.28641232386713</v>
      </c>
      <c r="CV83" s="14">
        <f t="shared" ca="1" si="48"/>
        <v>0.84405343603222605</v>
      </c>
    </row>
    <row r="84" spans="1:106" ht="15" outlineLevel="1" thickBot="1">
      <c r="A84" t="s">
        <v>144</v>
      </c>
      <c r="B84" t="s">
        <v>25</v>
      </c>
      <c r="C84" s="74" t="s">
        <v>144</v>
      </c>
      <c r="D84" s="6">
        <v>0</v>
      </c>
      <c r="E84" s="6">
        <f t="shared" si="43"/>
        <v>1262</v>
      </c>
      <c r="F84" s="6">
        <f t="shared" si="43"/>
        <v>0</v>
      </c>
      <c r="G84" s="6">
        <f t="shared" si="43"/>
        <v>0</v>
      </c>
      <c r="H84" s="6">
        <f t="shared" ca="1" si="51"/>
        <v>0</v>
      </c>
      <c r="I84" s="6">
        <f t="shared" ca="1" si="51"/>
        <v>0</v>
      </c>
      <c r="J84" s="6">
        <f t="shared" ca="1" si="51"/>
        <v>0</v>
      </c>
      <c r="K84" s="6">
        <f t="shared" ca="1" si="51"/>
        <v>0</v>
      </c>
      <c r="L84" s="6">
        <f t="shared" ca="1" si="51"/>
        <v>0</v>
      </c>
      <c r="M84" s="6">
        <f t="shared" ca="1" si="51"/>
        <v>0</v>
      </c>
      <c r="N84" s="6">
        <f t="shared" si="43"/>
        <v>0</v>
      </c>
      <c r="O84" s="6">
        <f t="shared" si="43"/>
        <v>0</v>
      </c>
      <c r="P84" s="6">
        <f t="shared" si="43"/>
        <v>0</v>
      </c>
      <c r="Q84" s="6">
        <f t="shared" si="43"/>
        <v>0</v>
      </c>
      <c r="R84" s="6">
        <f t="shared" si="43"/>
        <v>0</v>
      </c>
      <c r="S84" s="6">
        <f t="shared" si="43"/>
        <v>0</v>
      </c>
      <c r="T84" s="6">
        <f t="shared" si="43"/>
        <v>0</v>
      </c>
      <c r="U84" s="6">
        <f t="shared" ref="U84:BA86" si="52">+SUMIF($C$12:$C$29,$C84,U$12:U$29)/U$6+SUMIF($C$47:$C$63,$C84,U$47:U$64)</f>
        <v>0</v>
      </c>
      <c r="V84" s="6">
        <f t="shared" si="52"/>
        <v>0</v>
      </c>
      <c r="W84" s="6">
        <f t="shared" si="52"/>
        <v>0</v>
      </c>
      <c r="X84" s="6">
        <f t="shared" si="52"/>
        <v>0</v>
      </c>
      <c r="Y84" s="6">
        <f t="shared" si="52"/>
        <v>0</v>
      </c>
      <c r="Z84" s="6">
        <f t="shared" si="52"/>
        <v>0</v>
      </c>
      <c r="AA84" s="6">
        <f t="shared" si="52"/>
        <v>0</v>
      </c>
      <c r="AB84" s="6">
        <f t="shared" si="52"/>
        <v>0</v>
      </c>
      <c r="AC84" s="6">
        <f t="shared" si="52"/>
        <v>0</v>
      </c>
      <c r="AD84" s="6">
        <f t="shared" si="52"/>
        <v>0</v>
      </c>
      <c r="AE84" s="6">
        <f t="shared" si="52"/>
        <v>0</v>
      </c>
      <c r="AF84" s="6">
        <f t="shared" si="52"/>
        <v>0</v>
      </c>
      <c r="AG84" s="6">
        <f t="shared" si="52"/>
        <v>0</v>
      </c>
      <c r="AH84" s="6">
        <f t="shared" si="52"/>
        <v>0</v>
      </c>
      <c r="AI84" s="6">
        <f t="shared" si="52"/>
        <v>0</v>
      </c>
      <c r="AJ84" s="6">
        <f t="shared" si="52"/>
        <v>0</v>
      </c>
      <c r="AK84" s="6">
        <f t="shared" si="52"/>
        <v>0</v>
      </c>
      <c r="AL84" s="6">
        <f t="shared" si="52"/>
        <v>0</v>
      </c>
      <c r="AM84" s="6">
        <f t="shared" si="52"/>
        <v>0</v>
      </c>
      <c r="AN84" s="6">
        <f t="shared" si="52"/>
        <v>0</v>
      </c>
      <c r="AO84" s="6">
        <f t="shared" si="52"/>
        <v>0</v>
      </c>
      <c r="AP84" s="6">
        <f t="shared" si="52"/>
        <v>0</v>
      </c>
      <c r="AQ84" s="6">
        <f t="shared" si="52"/>
        <v>0</v>
      </c>
      <c r="AR84" s="6">
        <f t="shared" si="52"/>
        <v>0</v>
      </c>
      <c r="AS84" s="6">
        <f t="shared" si="52"/>
        <v>0</v>
      </c>
      <c r="AT84" s="6">
        <f t="shared" si="52"/>
        <v>0</v>
      </c>
      <c r="AU84" s="6">
        <f t="shared" si="52"/>
        <v>0</v>
      </c>
      <c r="AV84" s="6">
        <f t="shared" si="52"/>
        <v>0</v>
      </c>
      <c r="AW84" s="6">
        <f t="shared" si="52"/>
        <v>0</v>
      </c>
      <c r="AX84" s="6">
        <f t="shared" si="52"/>
        <v>0</v>
      </c>
      <c r="AY84" s="6">
        <f t="shared" si="52"/>
        <v>0</v>
      </c>
      <c r="AZ84" s="6">
        <f t="shared" si="52"/>
        <v>0</v>
      </c>
      <c r="BA84" s="6">
        <f t="shared" si="52"/>
        <v>0</v>
      </c>
      <c r="BB84" s="198">
        <f t="shared" si="47"/>
        <v>0</v>
      </c>
      <c r="BC84" s="63">
        <f t="shared" si="47"/>
        <v>0</v>
      </c>
      <c r="BD84" s="28">
        <f t="shared" ca="1" si="46"/>
        <v>1262</v>
      </c>
      <c r="CJ84" s="74" t="s">
        <v>144</v>
      </c>
      <c r="CK84" s="63">
        <f ca="1">SUM((INDIRECT(CK$9&amp;ROW()):(INDIRECT(CK$10&amp;ROW()))))</f>
        <v>1262</v>
      </c>
      <c r="CL84" s="63">
        <f ca="1">SUM((INDIRECT(CL$9&amp;ROW()):(INDIRECT(CL$10&amp;ROW()))))</f>
        <v>0</v>
      </c>
      <c r="CM84" s="63">
        <f ca="1">SUM((INDIRECT(CM$9&amp;ROW()):(INDIRECT(CM$10&amp;ROW()))))</f>
        <v>0</v>
      </c>
      <c r="CN84" s="63" t="e">
        <f ca="1">SUM((INDIRECT(CN$9&amp;ROW()):(INDIRECT(CN$10&amp;ROW()))))</f>
        <v>#N/A</v>
      </c>
      <c r="CO84" s="63" t="e">
        <f ca="1">SUM((INDIRECT(CO$9&amp;ROW()):(INDIRECT(CO$10&amp;ROW()))))</f>
        <v>#N/A</v>
      </c>
      <c r="CP84" s="63" t="e">
        <f ca="1">SUM((INDIRECT(CP$9&amp;ROW()):(INDIRECT(CP$10&amp;ROW()))))</f>
        <v>#N/A</v>
      </c>
      <c r="CQ84" s="63" t="e">
        <f ca="1">SUM((INDIRECT(CQ$9&amp;ROW()):(INDIRECT(CQ$10&amp;ROW()))))</f>
        <v>#REF!</v>
      </c>
      <c r="CR84" s="63" t="e">
        <f ca="1">SUM((INDIRECT(CR$9&amp;ROW()):(INDIRECT(CR$10&amp;ROW()))))</f>
        <v>#REF!</v>
      </c>
      <c r="CT84" s="28">
        <f ca="1">SUM((INDIRECT(CT$9&amp;ROW()):(INDIRECT(CT$10&amp;ROW()))))</f>
        <v>0</v>
      </c>
      <c r="CV84" s="14">
        <f t="shared" ca="1" si="48"/>
        <v>0</v>
      </c>
      <c r="CW84" s="14">
        <f ca="1">SUM(CV83:CV84)</f>
        <v>0.84405343603222605</v>
      </c>
      <c r="CY84" s="142">
        <f ca="1">CW84*CY$71</f>
        <v>37.982404621450172</v>
      </c>
      <c r="DB84">
        <v>1300</v>
      </c>
    </row>
    <row r="85" spans="1:106" outlineLevel="1">
      <c r="A85" t="s">
        <v>145</v>
      </c>
      <c r="B85" t="s">
        <v>24</v>
      </c>
      <c r="C85" s="72" t="s">
        <v>145</v>
      </c>
      <c r="D85" s="6">
        <v>0</v>
      </c>
      <c r="E85" s="6">
        <f t="shared" si="43"/>
        <v>0</v>
      </c>
      <c r="F85" s="6">
        <f t="shared" si="43"/>
        <v>0</v>
      </c>
      <c r="G85" s="6">
        <f t="shared" si="43"/>
        <v>7.9840319361277441</v>
      </c>
      <c r="H85" s="6">
        <f t="shared" ca="1" si="51"/>
        <v>0</v>
      </c>
      <c r="I85" s="6">
        <f t="shared" ca="1" si="51"/>
        <v>0</v>
      </c>
      <c r="J85" s="6">
        <f t="shared" ca="1" si="51"/>
        <v>0</v>
      </c>
      <c r="K85" s="6">
        <f t="shared" ca="1" si="51"/>
        <v>0</v>
      </c>
      <c r="L85" s="6">
        <f t="shared" ca="1" si="51"/>
        <v>0</v>
      </c>
      <c r="M85" s="6">
        <f t="shared" ca="1" si="51"/>
        <v>0</v>
      </c>
      <c r="N85" s="6">
        <f t="shared" si="43"/>
        <v>0</v>
      </c>
      <c r="O85" s="6">
        <f t="shared" si="43"/>
        <v>0</v>
      </c>
      <c r="P85" s="6">
        <f t="shared" si="43"/>
        <v>0</v>
      </c>
      <c r="Q85" s="6">
        <f t="shared" si="43"/>
        <v>0</v>
      </c>
      <c r="R85" s="6">
        <f t="shared" si="43"/>
        <v>0</v>
      </c>
      <c r="S85" s="6">
        <f t="shared" si="43"/>
        <v>0</v>
      </c>
      <c r="T85" s="6">
        <f t="shared" si="43"/>
        <v>0</v>
      </c>
      <c r="U85" s="6">
        <f t="shared" si="52"/>
        <v>0</v>
      </c>
      <c r="V85" s="6">
        <f t="shared" si="52"/>
        <v>0</v>
      </c>
      <c r="W85" s="6">
        <f t="shared" si="52"/>
        <v>0</v>
      </c>
      <c r="X85" s="6">
        <f t="shared" si="52"/>
        <v>0</v>
      </c>
      <c r="Y85" s="6">
        <f t="shared" si="52"/>
        <v>0</v>
      </c>
      <c r="Z85" s="6">
        <f t="shared" si="52"/>
        <v>27.722772277227723</v>
      </c>
      <c r="AA85" s="6">
        <f t="shared" si="52"/>
        <v>0</v>
      </c>
      <c r="AB85" s="6">
        <f t="shared" si="52"/>
        <v>0</v>
      </c>
      <c r="AC85" s="6">
        <f t="shared" si="52"/>
        <v>0</v>
      </c>
      <c r="AD85" s="6">
        <f t="shared" si="52"/>
        <v>0</v>
      </c>
      <c r="AE85" s="6">
        <f t="shared" si="52"/>
        <v>0</v>
      </c>
      <c r="AF85" s="6">
        <f t="shared" si="52"/>
        <v>0</v>
      </c>
      <c r="AG85" s="6">
        <f t="shared" si="52"/>
        <v>0</v>
      </c>
      <c r="AH85" s="6">
        <f t="shared" si="52"/>
        <v>0</v>
      </c>
      <c r="AI85" s="6">
        <f t="shared" si="52"/>
        <v>0</v>
      </c>
      <c r="AJ85" s="6">
        <f t="shared" si="52"/>
        <v>0</v>
      </c>
      <c r="AK85" s="6">
        <f t="shared" si="52"/>
        <v>0</v>
      </c>
      <c r="AL85" s="6">
        <f t="shared" si="52"/>
        <v>0</v>
      </c>
      <c r="AM85" s="6">
        <f t="shared" si="52"/>
        <v>0</v>
      </c>
      <c r="AN85" s="6">
        <f t="shared" si="52"/>
        <v>0</v>
      </c>
      <c r="AO85" s="6">
        <f t="shared" si="52"/>
        <v>0</v>
      </c>
      <c r="AP85" s="6">
        <f t="shared" si="52"/>
        <v>0</v>
      </c>
      <c r="AQ85" s="6">
        <f t="shared" si="52"/>
        <v>0</v>
      </c>
      <c r="AR85" s="6">
        <f t="shared" si="52"/>
        <v>0</v>
      </c>
      <c r="AS85" s="6">
        <f t="shared" si="52"/>
        <v>0</v>
      </c>
      <c r="AT85" s="6">
        <f t="shared" si="52"/>
        <v>0</v>
      </c>
      <c r="AU85" s="6">
        <f t="shared" si="52"/>
        <v>0</v>
      </c>
      <c r="AV85" s="6">
        <f t="shared" si="52"/>
        <v>0</v>
      </c>
      <c r="AW85" s="6">
        <f t="shared" si="52"/>
        <v>9.375</v>
      </c>
      <c r="AX85" s="6">
        <f t="shared" si="52"/>
        <v>19.53125</v>
      </c>
      <c r="AY85" s="6">
        <f t="shared" si="52"/>
        <v>7.8125</v>
      </c>
      <c r="AZ85" s="6">
        <f t="shared" si="52"/>
        <v>0</v>
      </c>
      <c r="BA85" s="6">
        <f t="shared" si="52"/>
        <v>0</v>
      </c>
      <c r="BB85" s="198">
        <f t="shared" si="47"/>
        <v>0</v>
      </c>
      <c r="BC85" s="63">
        <f t="shared" si="47"/>
        <v>0</v>
      </c>
      <c r="BD85" s="28">
        <f t="shared" ca="1" si="46"/>
        <v>72.425554213355468</v>
      </c>
      <c r="CJ85" s="72" t="s">
        <v>145</v>
      </c>
      <c r="CK85" s="63">
        <f ca="1">SUM((INDIRECT(CK$9&amp;ROW()):(INDIRECT(CK$10&amp;ROW()))))</f>
        <v>0</v>
      </c>
      <c r="CL85" s="63">
        <f ca="1">SUM((INDIRECT(CL$9&amp;ROW()):(INDIRECT(CL$10&amp;ROW()))))</f>
        <v>35.706804213355468</v>
      </c>
      <c r="CM85" s="63">
        <f ca="1">SUM((INDIRECT(CM$9&amp;ROW()):(INDIRECT(CM$10&amp;ROW()))))</f>
        <v>36.71875</v>
      </c>
      <c r="CN85" s="63" t="e">
        <f ca="1">SUM((INDIRECT(CN$9&amp;ROW()):(INDIRECT(CN$10&amp;ROW()))))</f>
        <v>#N/A</v>
      </c>
      <c r="CO85" s="63" t="e">
        <f ca="1">SUM((INDIRECT(CO$9&amp;ROW()):(INDIRECT(CO$10&amp;ROW()))))</f>
        <v>#N/A</v>
      </c>
      <c r="CP85" s="63" t="e">
        <f ca="1">SUM((INDIRECT(CP$9&amp;ROW()):(INDIRECT(CP$10&amp;ROW()))))</f>
        <v>#N/A</v>
      </c>
      <c r="CQ85" s="63" t="e">
        <f ca="1">SUM((INDIRECT(CQ$9&amp;ROW()):(INDIRECT(CQ$10&amp;ROW()))))</f>
        <v>#REF!</v>
      </c>
      <c r="CR85" s="63" t="e">
        <f ca="1">SUM((INDIRECT(CR$9&amp;ROW()):(INDIRECT(CR$10&amp;ROW()))))</f>
        <v>#REF!</v>
      </c>
      <c r="CT85" s="28">
        <f ca="1">SUM((INDIRECT(CT$9&amp;ROW()):(INDIRECT(CT$10&amp;ROW()))))</f>
        <v>72.425554213355468</v>
      </c>
      <c r="CV85" s="14">
        <f t="shared" ca="1" si="48"/>
        <v>0.6035462851112956</v>
      </c>
    </row>
    <row r="86" spans="1:106" outlineLevel="1">
      <c r="A86" t="s">
        <v>206</v>
      </c>
      <c r="B86" t="s">
        <v>24</v>
      </c>
      <c r="C86" s="73" t="s">
        <v>206</v>
      </c>
      <c r="D86" s="6">
        <v>0</v>
      </c>
      <c r="E86" s="6">
        <f t="shared" si="43"/>
        <v>0</v>
      </c>
      <c r="F86" s="6">
        <f t="shared" si="43"/>
        <v>0</v>
      </c>
      <c r="G86" s="6">
        <f t="shared" si="43"/>
        <v>0</v>
      </c>
      <c r="H86" s="6">
        <f t="shared" ca="1" si="51"/>
        <v>0</v>
      </c>
      <c r="I86" s="6">
        <f t="shared" ca="1" si="51"/>
        <v>0</v>
      </c>
      <c r="J86" s="6">
        <f t="shared" ca="1" si="51"/>
        <v>21.556886227544908</v>
      </c>
      <c r="K86" s="6">
        <f t="shared" ca="1" si="51"/>
        <v>0</v>
      </c>
      <c r="L86" s="6">
        <f t="shared" ca="1" si="51"/>
        <v>0</v>
      </c>
      <c r="M86" s="6">
        <f t="shared" ca="1" si="51"/>
        <v>59.880239520958085</v>
      </c>
      <c r="N86" s="6">
        <f t="shared" si="43"/>
        <v>0</v>
      </c>
      <c r="O86" s="6">
        <f t="shared" si="43"/>
        <v>0</v>
      </c>
      <c r="P86" s="6">
        <f t="shared" si="43"/>
        <v>0</v>
      </c>
      <c r="Q86" s="6">
        <f t="shared" si="43"/>
        <v>0</v>
      </c>
      <c r="R86" s="6">
        <f t="shared" si="43"/>
        <v>0</v>
      </c>
      <c r="S86" s="6">
        <f t="shared" si="43"/>
        <v>0</v>
      </c>
      <c r="T86" s="6">
        <f t="shared" si="43"/>
        <v>0</v>
      </c>
      <c r="U86" s="6">
        <f t="shared" si="52"/>
        <v>0</v>
      </c>
      <c r="V86" s="6">
        <f t="shared" si="52"/>
        <v>0</v>
      </c>
      <c r="W86" s="6">
        <f t="shared" si="52"/>
        <v>0</v>
      </c>
      <c r="X86" s="6">
        <f t="shared" si="52"/>
        <v>0</v>
      </c>
      <c r="Y86" s="6">
        <f t="shared" si="52"/>
        <v>0</v>
      </c>
      <c r="Z86" s="6">
        <f t="shared" si="52"/>
        <v>0</v>
      </c>
      <c r="AA86" s="6">
        <f t="shared" si="52"/>
        <v>0</v>
      </c>
      <c r="AB86" s="6">
        <f t="shared" si="52"/>
        <v>0</v>
      </c>
      <c r="AC86" s="6">
        <f t="shared" si="52"/>
        <v>0</v>
      </c>
      <c r="AD86" s="6">
        <f t="shared" si="52"/>
        <v>0</v>
      </c>
      <c r="AE86" s="6">
        <f t="shared" si="52"/>
        <v>0</v>
      </c>
      <c r="AF86" s="6">
        <f t="shared" si="52"/>
        <v>3.9603960396039604</v>
      </c>
      <c r="AG86" s="6">
        <f t="shared" si="52"/>
        <v>5.9405940594059405</v>
      </c>
      <c r="AH86" s="6">
        <f t="shared" si="52"/>
        <v>0</v>
      </c>
      <c r="AI86" s="6">
        <f t="shared" si="52"/>
        <v>0</v>
      </c>
      <c r="AJ86" s="6">
        <f t="shared" si="52"/>
        <v>0</v>
      </c>
      <c r="AK86" s="6">
        <f t="shared" si="52"/>
        <v>18.415841584158414</v>
      </c>
      <c r="AL86" s="6">
        <f t="shared" si="52"/>
        <v>0</v>
      </c>
      <c r="AM86" s="6">
        <f t="shared" si="52"/>
        <v>0</v>
      </c>
      <c r="AN86" s="6">
        <f t="shared" si="52"/>
        <v>0</v>
      </c>
      <c r="AO86" s="6">
        <f t="shared" si="52"/>
        <v>0</v>
      </c>
      <c r="AP86" s="6">
        <f t="shared" si="52"/>
        <v>0</v>
      </c>
      <c r="AQ86" s="6">
        <f t="shared" si="52"/>
        <v>46.875</v>
      </c>
      <c r="AR86" s="6">
        <f t="shared" si="52"/>
        <v>0</v>
      </c>
      <c r="AS86" s="6">
        <f t="shared" si="52"/>
        <v>5.859375</v>
      </c>
      <c r="AT86" s="6">
        <f t="shared" si="52"/>
        <v>0</v>
      </c>
      <c r="AU86" s="6">
        <f t="shared" si="52"/>
        <v>0</v>
      </c>
      <c r="AV86" s="6">
        <f t="shared" si="52"/>
        <v>0</v>
      </c>
      <c r="AW86" s="6">
        <f t="shared" si="52"/>
        <v>0</v>
      </c>
      <c r="AX86" s="6">
        <f t="shared" si="52"/>
        <v>39.0625</v>
      </c>
      <c r="AY86" s="6">
        <f t="shared" si="52"/>
        <v>0</v>
      </c>
      <c r="AZ86" s="6">
        <f t="shared" si="52"/>
        <v>0</v>
      </c>
      <c r="BA86" s="6">
        <f t="shared" si="52"/>
        <v>0</v>
      </c>
      <c r="BB86" s="198">
        <f t="shared" si="47"/>
        <v>0</v>
      </c>
      <c r="BC86" s="63">
        <f t="shared" si="47"/>
        <v>0</v>
      </c>
      <c r="BD86" s="28">
        <f t="shared" ca="1" si="46"/>
        <v>201.55083243167132</v>
      </c>
      <c r="CJ86" s="73" t="s">
        <v>206</v>
      </c>
      <c r="CK86" s="63">
        <f ca="1">SUM((INDIRECT(CK$9&amp;ROW()):(INDIRECT(CK$10&amp;ROW()))))</f>
        <v>0</v>
      </c>
      <c r="CL86" s="63">
        <f ca="1">SUM((INDIRECT(CL$9&amp;ROW()):(INDIRECT(CL$10&amp;ROW()))))</f>
        <v>81.437125748502993</v>
      </c>
      <c r="CM86" s="63">
        <f ca="1">SUM((INDIRECT(CM$9&amp;ROW()):(INDIRECT(CM$10&amp;ROW()))))</f>
        <v>120.11370668316832</v>
      </c>
      <c r="CN86" s="63" t="e">
        <f ca="1">SUM((INDIRECT(CN$9&amp;ROW()):(INDIRECT(CN$10&amp;ROW()))))</f>
        <v>#N/A</v>
      </c>
      <c r="CO86" s="63" t="e">
        <f ca="1">SUM((INDIRECT(CO$9&amp;ROW()):(INDIRECT(CO$10&amp;ROW()))))</f>
        <v>#N/A</v>
      </c>
      <c r="CP86" s="63" t="e">
        <f ca="1">SUM((INDIRECT(CP$9&amp;ROW()):(INDIRECT(CP$10&amp;ROW()))))</f>
        <v>#N/A</v>
      </c>
      <c r="CQ86" s="63" t="e">
        <f ca="1">SUM((INDIRECT(CQ$9&amp;ROW()):(INDIRECT(CQ$10&amp;ROW()))))</f>
        <v>#REF!</v>
      </c>
      <c r="CR86" s="63" t="e">
        <f ca="1">SUM((INDIRECT(CR$9&amp;ROW()):(INDIRECT(CR$10&amp;ROW()))))</f>
        <v>#REF!</v>
      </c>
      <c r="CT86" s="28">
        <f ca="1">SUM((INDIRECT(CT$9&amp;ROW()):(INDIRECT(CT$10&amp;ROW()))))</f>
        <v>201.55083243167132</v>
      </c>
      <c r="CV86" s="14">
        <f t="shared" ca="1" si="48"/>
        <v>1.6795902702639276</v>
      </c>
    </row>
    <row r="87" spans="1:106" ht="15" outlineLevel="1" thickBot="1">
      <c r="A87" t="s">
        <v>136</v>
      </c>
      <c r="B87" t="s">
        <v>24</v>
      </c>
      <c r="C87" s="74" t="s">
        <v>136</v>
      </c>
      <c r="D87" s="6"/>
      <c r="E87" s="6">
        <f t="shared" si="43"/>
        <v>358.34</v>
      </c>
      <c r="F87" s="6">
        <f t="shared" si="43"/>
        <v>0</v>
      </c>
      <c r="G87" s="6">
        <f t="shared" si="43"/>
        <v>62.67465069860279</v>
      </c>
      <c r="H87" s="6">
        <f t="shared" ca="1" si="51"/>
        <v>0</v>
      </c>
      <c r="I87" s="6">
        <f t="shared" ca="1" si="51"/>
        <v>0</v>
      </c>
      <c r="J87" s="6">
        <f t="shared" ca="1" si="51"/>
        <v>0</v>
      </c>
      <c r="K87" s="6">
        <f t="shared" ca="1" si="51"/>
        <v>11.976047904191617</v>
      </c>
      <c r="L87" s="6">
        <f t="shared" ca="1" si="51"/>
        <v>0</v>
      </c>
      <c r="M87" s="6">
        <f t="shared" ca="1" si="51"/>
        <v>0</v>
      </c>
      <c r="N87" s="6">
        <f t="shared" si="43"/>
        <v>0</v>
      </c>
      <c r="O87" s="6">
        <f t="shared" si="43"/>
        <v>0</v>
      </c>
      <c r="P87" s="6">
        <f t="shared" si="43"/>
        <v>0</v>
      </c>
      <c r="Q87" s="6">
        <f t="shared" si="43"/>
        <v>0</v>
      </c>
      <c r="R87" s="6">
        <f t="shared" si="43"/>
        <v>0</v>
      </c>
      <c r="S87" s="6">
        <f t="shared" si="43"/>
        <v>0</v>
      </c>
      <c r="T87" s="6">
        <f t="shared" ref="T87:BA89" si="53">+SUMIF($C$12:$C$29,$C87,T$12:T$29)/T$6+SUMIF($C$47:$C$63,$C87,T$47:T$64)</f>
        <v>0</v>
      </c>
      <c r="U87" s="6">
        <f t="shared" si="53"/>
        <v>0</v>
      </c>
      <c r="V87" s="6">
        <f t="shared" si="53"/>
        <v>0</v>
      </c>
      <c r="W87" s="6">
        <f t="shared" si="53"/>
        <v>0</v>
      </c>
      <c r="X87" s="6">
        <f t="shared" si="53"/>
        <v>43.564356435643568</v>
      </c>
      <c r="Y87" s="6">
        <f t="shared" si="53"/>
        <v>99.009900990099013</v>
      </c>
      <c r="Z87" s="6">
        <f t="shared" si="53"/>
        <v>0</v>
      </c>
      <c r="AA87" s="6">
        <f t="shared" si="53"/>
        <v>0</v>
      </c>
      <c r="AB87" s="6">
        <f t="shared" si="53"/>
        <v>0</v>
      </c>
      <c r="AC87" s="6">
        <f t="shared" si="53"/>
        <v>0</v>
      </c>
      <c r="AD87" s="6">
        <f t="shared" si="53"/>
        <v>0</v>
      </c>
      <c r="AE87" s="6">
        <f t="shared" si="53"/>
        <v>0</v>
      </c>
      <c r="AF87" s="6">
        <f t="shared" si="53"/>
        <v>0</v>
      </c>
      <c r="AG87" s="6">
        <f t="shared" si="53"/>
        <v>0</v>
      </c>
      <c r="AH87" s="6">
        <f t="shared" si="53"/>
        <v>0</v>
      </c>
      <c r="AI87" s="6">
        <f t="shared" si="53"/>
        <v>0</v>
      </c>
      <c r="AJ87" s="6">
        <f t="shared" si="53"/>
        <v>0</v>
      </c>
      <c r="AK87" s="6">
        <f t="shared" si="53"/>
        <v>0</v>
      </c>
      <c r="AL87" s="6">
        <f t="shared" si="53"/>
        <v>0</v>
      </c>
      <c r="AM87" s="6">
        <f t="shared" si="53"/>
        <v>0</v>
      </c>
      <c r="AN87" s="6">
        <f t="shared" si="53"/>
        <v>0</v>
      </c>
      <c r="AO87" s="6">
        <f t="shared" si="53"/>
        <v>0</v>
      </c>
      <c r="AP87" s="6">
        <f t="shared" si="53"/>
        <v>0</v>
      </c>
      <c r="AQ87" s="6">
        <f t="shared" si="53"/>
        <v>0</v>
      </c>
      <c r="AR87" s="6">
        <f t="shared" si="53"/>
        <v>0</v>
      </c>
      <c r="AS87" s="6">
        <f t="shared" si="53"/>
        <v>0</v>
      </c>
      <c r="AT87" s="6">
        <f t="shared" si="53"/>
        <v>0</v>
      </c>
      <c r="AU87" s="6">
        <f t="shared" si="53"/>
        <v>0</v>
      </c>
      <c r="AV87" s="6">
        <f t="shared" si="53"/>
        <v>-78.125</v>
      </c>
      <c r="AW87" s="6">
        <f t="shared" si="53"/>
        <v>5.46875</v>
      </c>
      <c r="AX87" s="6">
        <f t="shared" si="53"/>
        <v>0</v>
      </c>
      <c r="AY87" s="6">
        <f t="shared" si="53"/>
        <v>19.53125</v>
      </c>
      <c r="AZ87" s="6">
        <f t="shared" si="53"/>
        <v>101.5625</v>
      </c>
      <c r="BA87" s="6">
        <f t="shared" si="53"/>
        <v>0</v>
      </c>
      <c r="BB87" s="198">
        <f t="shared" si="47"/>
        <v>0</v>
      </c>
      <c r="BC87" s="63">
        <f t="shared" si="47"/>
        <v>0</v>
      </c>
      <c r="BD87" s="28">
        <f t="shared" ca="1" si="46"/>
        <v>624.00245602853693</v>
      </c>
      <c r="BE87" s="16">
        <v>0</v>
      </c>
      <c r="CJ87" s="74" t="s">
        <v>136</v>
      </c>
      <c r="CK87" s="63">
        <f ca="1">SUM((INDIRECT(CK$9&amp;ROW()):(INDIRECT(CK$10&amp;ROW()))))</f>
        <v>358.34</v>
      </c>
      <c r="CL87" s="63">
        <f ca="1">SUM((INDIRECT(CL$9&amp;ROW()):(INDIRECT(CL$10&amp;ROW()))))</f>
        <v>217.22495602853701</v>
      </c>
      <c r="CM87" s="63">
        <f ca="1">SUM((INDIRECT(CM$9&amp;ROW()):(INDIRECT(CM$10&amp;ROW()))))</f>
        <v>48.4375</v>
      </c>
      <c r="CN87" s="63" t="e">
        <f ca="1">SUM((INDIRECT(CN$9&amp;ROW()):(INDIRECT(CN$10&amp;ROW()))))</f>
        <v>#N/A</v>
      </c>
      <c r="CO87" s="63" t="e">
        <f ca="1">SUM((INDIRECT(CO$9&amp;ROW()):(INDIRECT(CO$10&amp;ROW()))))</f>
        <v>#N/A</v>
      </c>
      <c r="CP87" s="63" t="e">
        <f ca="1">SUM((INDIRECT(CP$9&amp;ROW()):(INDIRECT(CP$10&amp;ROW()))))</f>
        <v>#N/A</v>
      </c>
      <c r="CQ87" s="63" t="e">
        <f ca="1">SUM((INDIRECT(CQ$9&amp;ROW()):(INDIRECT(CQ$10&amp;ROW()))))</f>
        <v>#REF!</v>
      </c>
      <c r="CR87" s="63" t="e">
        <f ca="1">SUM((INDIRECT(CR$9&amp;ROW()):(INDIRECT(CR$10&amp;ROW()))))</f>
        <v>#REF!</v>
      </c>
      <c r="CT87" s="28">
        <f ca="1">SUM((INDIRECT(CT$9&amp;ROW()):(INDIRECT(CT$10&amp;ROW()))))</f>
        <v>265.66245602853701</v>
      </c>
      <c r="CV87" s="14">
        <f t="shared" ca="1" si="48"/>
        <v>2.2138538002378083</v>
      </c>
      <c r="CW87" s="14">
        <f ca="1">SUM(CV85:CV87)</f>
        <v>4.4969903556130308</v>
      </c>
      <c r="CY87" s="142">
        <f ca="1">CW87*CY$71</f>
        <v>202.3645660025864</v>
      </c>
      <c r="DB87">
        <v>400</v>
      </c>
    </row>
    <row r="88" spans="1:106" ht="15" outlineLevel="1" thickBot="1">
      <c r="A88" t="s">
        <v>564</v>
      </c>
      <c r="B88" t="s">
        <v>558</v>
      </c>
      <c r="C88" s="74" t="s">
        <v>564</v>
      </c>
      <c r="D88" s="6"/>
      <c r="E88" s="6">
        <f t="shared" ref="E88:T89" si="54">+SUMIF($C$12:$C$29,$C88,E$12:E$29)/E$6+SUMIF($C$47:$C$63,$C88,E$47:E$64)</f>
        <v>0</v>
      </c>
      <c r="F88" s="6">
        <f t="shared" si="54"/>
        <v>0</v>
      </c>
      <c r="G88" s="6">
        <f t="shared" si="54"/>
        <v>0</v>
      </c>
      <c r="H88" s="6">
        <f t="shared" ca="1" si="51"/>
        <v>0</v>
      </c>
      <c r="I88" s="6">
        <f t="shared" ca="1" si="51"/>
        <v>0</v>
      </c>
      <c r="J88" s="6">
        <f t="shared" ca="1" si="51"/>
        <v>0</v>
      </c>
      <c r="K88" s="6">
        <f t="shared" ca="1" si="51"/>
        <v>0</v>
      </c>
      <c r="L88" s="6">
        <f t="shared" ca="1" si="51"/>
        <v>0</v>
      </c>
      <c r="M88" s="6">
        <f t="shared" ca="1" si="51"/>
        <v>0</v>
      </c>
      <c r="N88" s="6">
        <f t="shared" si="54"/>
        <v>0</v>
      </c>
      <c r="O88" s="6">
        <f t="shared" si="54"/>
        <v>0</v>
      </c>
      <c r="P88" s="6">
        <f t="shared" si="54"/>
        <v>0</v>
      </c>
      <c r="Q88" s="6">
        <f t="shared" si="54"/>
        <v>0</v>
      </c>
      <c r="R88" s="6">
        <f t="shared" si="54"/>
        <v>0</v>
      </c>
      <c r="S88" s="6">
        <f t="shared" si="54"/>
        <v>0</v>
      </c>
      <c r="T88" s="6">
        <f t="shared" si="54"/>
        <v>0</v>
      </c>
      <c r="U88" s="6">
        <f t="shared" si="53"/>
        <v>0</v>
      </c>
      <c r="V88" s="6">
        <f t="shared" si="53"/>
        <v>0</v>
      </c>
      <c r="W88" s="6">
        <f t="shared" si="53"/>
        <v>0</v>
      </c>
      <c r="X88" s="6">
        <f t="shared" si="53"/>
        <v>0</v>
      </c>
      <c r="Y88" s="6">
        <f t="shared" si="53"/>
        <v>0</v>
      </c>
      <c r="Z88" s="6">
        <f t="shared" si="53"/>
        <v>0</v>
      </c>
      <c r="AA88" s="6">
        <f t="shared" si="53"/>
        <v>0</v>
      </c>
      <c r="AB88" s="6">
        <f t="shared" si="53"/>
        <v>0</v>
      </c>
      <c r="AC88" s="6">
        <f t="shared" si="53"/>
        <v>0</v>
      </c>
      <c r="AD88" s="6">
        <f t="shared" si="53"/>
        <v>0</v>
      </c>
      <c r="AE88" s="6">
        <f t="shared" si="53"/>
        <v>0</v>
      </c>
      <c r="AF88" s="6">
        <f t="shared" si="53"/>
        <v>0</v>
      </c>
      <c r="AG88" s="6">
        <f t="shared" si="53"/>
        <v>0</v>
      </c>
      <c r="AH88" s="6">
        <f t="shared" si="53"/>
        <v>0</v>
      </c>
      <c r="AI88" s="6">
        <f t="shared" si="53"/>
        <v>0</v>
      </c>
      <c r="AJ88" s="6">
        <f t="shared" si="53"/>
        <v>0</v>
      </c>
      <c r="AK88" s="6">
        <f t="shared" si="53"/>
        <v>0</v>
      </c>
      <c r="AL88" s="6">
        <f t="shared" si="53"/>
        <v>0</v>
      </c>
      <c r="AM88" s="6">
        <f t="shared" si="53"/>
        <v>0</v>
      </c>
      <c r="AN88" s="6">
        <f t="shared" si="53"/>
        <v>0</v>
      </c>
      <c r="AO88" s="6">
        <f t="shared" si="53"/>
        <v>0</v>
      </c>
      <c r="AP88" s="6">
        <f t="shared" si="53"/>
        <v>0</v>
      </c>
      <c r="AQ88" s="6">
        <f t="shared" si="53"/>
        <v>0</v>
      </c>
      <c r="AR88" s="6">
        <f t="shared" si="53"/>
        <v>0</v>
      </c>
      <c r="AS88" s="6">
        <f t="shared" si="53"/>
        <v>0</v>
      </c>
      <c r="AT88" s="6">
        <f t="shared" si="53"/>
        <v>0</v>
      </c>
      <c r="AU88" s="6">
        <f t="shared" si="53"/>
        <v>0</v>
      </c>
      <c r="AV88" s="6">
        <f t="shared" si="53"/>
        <v>0</v>
      </c>
      <c r="AW88" s="6">
        <f t="shared" si="53"/>
        <v>0</v>
      </c>
      <c r="AX88" s="6">
        <f t="shared" si="53"/>
        <v>0</v>
      </c>
      <c r="AY88" s="6">
        <f t="shared" si="53"/>
        <v>0</v>
      </c>
      <c r="AZ88" s="6">
        <f t="shared" si="53"/>
        <v>0</v>
      </c>
      <c r="BA88" s="6">
        <f t="shared" si="53"/>
        <v>0</v>
      </c>
      <c r="BB88" s="198"/>
      <c r="BC88" s="63"/>
      <c r="BD88" s="28">
        <f t="shared" ca="1" si="46"/>
        <v>0</v>
      </c>
      <c r="BE88" s="16"/>
      <c r="CJ88" s="74" t="s">
        <v>564</v>
      </c>
      <c r="CK88" s="63">
        <f ca="1">SUM((INDIRECT(CK$9&amp;ROW()):(INDIRECT(CK$10&amp;ROW()))))</f>
        <v>0</v>
      </c>
      <c r="CL88" s="63">
        <f ca="1">SUM((INDIRECT(CL$9&amp;ROW()):(INDIRECT(CL$10&amp;ROW()))))</f>
        <v>0</v>
      </c>
      <c r="CM88" s="63">
        <f ca="1">SUM((INDIRECT(CM$9&amp;ROW()):(INDIRECT(CM$10&amp;ROW()))))</f>
        <v>0</v>
      </c>
      <c r="CN88" s="63" t="e">
        <f ca="1">SUM((INDIRECT(CN$9&amp;ROW()):(INDIRECT(CN$10&amp;ROW()))))</f>
        <v>#N/A</v>
      </c>
      <c r="CO88" s="63" t="e">
        <f ca="1">SUM((INDIRECT(CO$9&amp;ROW()):(INDIRECT(CO$10&amp;ROW()))))</f>
        <v>#N/A</v>
      </c>
      <c r="CP88" s="63" t="e">
        <f ca="1">SUM((INDIRECT(CP$9&amp;ROW()):(INDIRECT(CP$10&amp;ROW()))))</f>
        <v>#N/A</v>
      </c>
      <c r="CQ88" s="63" t="e">
        <f ca="1">SUM((INDIRECT(CQ$9&amp;ROW()):(INDIRECT(CQ$10&amp;ROW()))))</f>
        <v>#REF!</v>
      </c>
      <c r="CR88" s="63" t="e">
        <f ca="1">SUM((INDIRECT(CR$9&amp;ROW()):(INDIRECT(CR$10&amp;ROW()))))</f>
        <v>#REF!</v>
      </c>
      <c r="CT88" s="28">
        <f ca="1">SUM((INDIRECT(CT$9&amp;ROW()):(INDIRECT(CT$10&amp;ROW()))))</f>
        <v>0</v>
      </c>
      <c r="CV88" s="14">
        <f t="shared" ca="1" si="48"/>
        <v>0</v>
      </c>
    </row>
    <row r="89" spans="1:106" ht="15" outlineLevel="1" thickBot="1">
      <c r="A89" t="s">
        <v>549</v>
      </c>
      <c r="B89" t="s">
        <v>558</v>
      </c>
      <c r="C89" s="74" t="s">
        <v>549</v>
      </c>
      <c r="D89" s="6"/>
      <c r="E89" s="6">
        <f t="shared" si="54"/>
        <v>0</v>
      </c>
      <c r="F89" s="6">
        <f t="shared" si="54"/>
        <v>0</v>
      </c>
      <c r="G89" s="6">
        <f t="shared" si="54"/>
        <v>0</v>
      </c>
      <c r="H89" s="6">
        <f t="shared" ca="1" si="51"/>
        <v>0</v>
      </c>
      <c r="I89" s="6">
        <f t="shared" ca="1" si="51"/>
        <v>0</v>
      </c>
      <c r="J89" s="6">
        <f t="shared" ca="1" si="51"/>
        <v>0</v>
      </c>
      <c r="K89" s="6">
        <f t="shared" ca="1" si="51"/>
        <v>0</v>
      </c>
      <c r="L89" s="6">
        <f t="shared" ca="1" si="51"/>
        <v>0</v>
      </c>
      <c r="M89" s="6">
        <f t="shared" ca="1" si="51"/>
        <v>0</v>
      </c>
      <c r="N89" s="6">
        <f t="shared" si="54"/>
        <v>0</v>
      </c>
      <c r="O89" s="6">
        <f t="shared" si="54"/>
        <v>0</v>
      </c>
      <c r="P89" s="6">
        <f t="shared" si="54"/>
        <v>0</v>
      </c>
      <c r="Q89" s="6">
        <f t="shared" si="54"/>
        <v>0</v>
      </c>
      <c r="R89" s="6">
        <f t="shared" si="54"/>
        <v>0</v>
      </c>
      <c r="S89" s="6">
        <f t="shared" si="54"/>
        <v>0</v>
      </c>
      <c r="T89" s="6">
        <f t="shared" si="54"/>
        <v>0</v>
      </c>
      <c r="U89" s="6">
        <f t="shared" si="53"/>
        <v>0</v>
      </c>
      <c r="V89" s="6">
        <f t="shared" si="53"/>
        <v>0</v>
      </c>
      <c r="W89" s="6">
        <f t="shared" si="53"/>
        <v>0</v>
      </c>
      <c r="X89" s="6">
        <f t="shared" si="53"/>
        <v>0</v>
      </c>
      <c r="Y89" s="6">
        <f t="shared" si="53"/>
        <v>0</v>
      </c>
      <c r="Z89" s="6">
        <f t="shared" si="53"/>
        <v>0</v>
      </c>
      <c r="AA89" s="6">
        <f t="shared" si="53"/>
        <v>0</v>
      </c>
      <c r="AB89" s="6">
        <f t="shared" si="53"/>
        <v>0</v>
      </c>
      <c r="AC89" s="6">
        <f t="shared" si="53"/>
        <v>0</v>
      </c>
      <c r="AD89" s="6">
        <f t="shared" si="53"/>
        <v>0</v>
      </c>
      <c r="AE89" s="6">
        <f t="shared" si="53"/>
        <v>0</v>
      </c>
      <c r="AF89" s="6">
        <f t="shared" si="53"/>
        <v>0</v>
      </c>
      <c r="AG89" s="6">
        <f t="shared" si="53"/>
        <v>0</v>
      </c>
      <c r="AH89" s="6">
        <f t="shared" si="53"/>
        <v>0</v>
      </c>
      <c r="AI89" s="6">
        <f t="shared" si="53"/>
        <v>0</v>
      </c>
      <c r="AJ89" s="6">
        <f t="shared" si="53"/>
        <v>0</v>
      </c>
      <c r="AK89" s="6">
        <f t="shared" si="53"/>
        <v>0</v>
      </c>
      <c r="AL89" s="6">
        <f t="shared" si="53"/>
        <v>0</v>
      </c>
      <c r="AM89" s="6">
        <f t="shared" si="53"/>
        <v>0</v>
      </c>
      <c r="AN89" s="6">
        <f t="shared" si="53"/>
        <v>0</v>
      </c>
      <c r="AO89" s="6">
        <f t="shared" si="53"/>
        <v>0</v>
      </c>
      <c r="AP89" s="6">
        <f t="shared" si="53"/>
        <v>0</v>
      </c>
      <c r="AQ89" s="6">
        <f t="shared" si="53"/>
        <v>0</v>
      </c>
      <c r="AR89" s="6">
        <f t="shared" si="53"/>
        <v>0</v>
      </c>
      <c r="AS89" s="6">
        <f t="shared" si="53"/>
        <v>0</v>
      </c>
      <c r="AT89" s="6">
        <f t="shared" si="53"/>
        <v>0</v>
      </c>
      <c r="AU89" s="6">
        <f t="shared" si="53"/>
        <v>0</v>
      </c>
      <c r="AV89" s="6">
        <f t="shared" si="53"/>
        <v>0</v>
      </c>
      <c r="AW89" s="6">
        <f t="shared" si="53"/>
        <v>0</v>
      </c>
      <c r="AX89" s="6">
        <f t="shared" si="53"/>
        <v>0</v>
      </c>
      <c r="AY89" s="6">
        <f t="shared" si="53"/>
        <v>0</v>
      </c>
      <c r="AZ89" s="6">
        <f t="shared" si="53"/>
        <v>0</v>
      </c>
      <c r="BA89" s="6">
        <f t="shared" si="53"/>
        <v>0</v>
      </c>
      <c r="BB89" s="198"/>
      <c r="BC89" s="63"/>
      <c r="BD89" s="28">
        <f t="shared" ca="1" si="46"/>
        <v>0</v>
      </c>
      <c r="BE89" s="16"/>
      <c r="CJ89" s="74" t="s">
        <v>549</v>
      </c>
      <c r="CK89" s="63">
        <f ca="1">SUM((INDIRECT(CK$9&amp;ROW()):(INDIRECT(CK$10&amp;ROW()))))</f>
        <v>0</v>
      </c>
      <c r="CL89" s="63">
        <f ca="1">SUM((INDIRECT(CL$9&amp;ROW()):(INDIRECT(CL$10&amp;ROW()))))</f>
        <v>0</v>
      </c>
      <c r="CM89" s="63">
        <f ca="1">SUM((INDIRECT(CM$9&amp;ROW()):(INDIRECT(CM$10&amp;ROW()))))</f>
        <v>0</v>
      </c>
      <c r="CN89" s="63" t="e">
        <f ca="1">SUM((INDIRECT(CN$9&amp;ROW()):(INDIRECT(CN$10&amp;ROW()))))</f>
        <v>#N/A</v>
      </c>
      <c r="CO89" s="63" t="e">
        <f ca="1">SUM((INDIRECT(CO$9&amp;ROW()):(INDIRECT(CO$10&amp;ROW()))))</f>
        <v>#N/A</v>
      </c>
      <c r="CP89" s="63" t="e">
        <f ca="1">SUM((INDIRECT(CP$9&amp;ROW()):(INDIRECT(CP$10&amp;ROW()))))</f>
        <v>#N/A</v>
      </c>
      <c r="CQ89" s="63" t="e">
        <f ca="1">SUM((INDIRECT(CQ$9&amp;ROW()):(INDIRECT(CQ$10&amp;ROW()))))</f>
        <v>#REF!</v>
      </c>
      <c r="CR89" s="63" t="e">
        <f ca="1">SUM((INDIRECT(CR$9&amp;ROW()):(INDIRECT(CR$10&amp;ROW()))))</f>
        <v>#REF!</v>
      </c>
      <c r="CT89" s="28">
        <f ca="1">SUM((INDIRECT(CT$9&amp;ROW()):(INDIRECT(CT$10&amp;ROW()))))</f>
        <v>0</v>
      </c>
      <c r="CV89" s="14">
        <f t="shared" ca="1" si="48"/>
        <v>0</v>
      </c>
    </row>
    <row r="90" spans="1:106" outlineLevel="1">
      <c r="C90" s="2"/>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f>+SUMIF($C$12:$C$29,$C90,AV$12:AV$29)/AV$6+SUMIF($C$46:$C$63,$C90,AV$47:AV$64)</f>
        <v>0</v>
      </c>
      <c r="AW90" s="6">
        <f t="shared" ref="AW90:BA90" si="55">+SUMIF($C$12:$C$29,$C90,AW$12:AW$29)/AW$6+SUMIF($C$46:$C$63,$C90,AW$47:AW$64)</f>
        <v>0</v>
      </c>
      <c r="AX90" s="6">
        <f t="shared" si="55"/>
        <v>0</v>
      </c>
      <c r="AY90" s="6">
        <f t="shared" si="55"/>
        <v>0</v>
      </c>
      <c r="AZ90" s="6">
        <f t="shared" si="55"/>
        <v>0</v>
      </c>
      <c r="BA90" s="6">
        <f t="shared" si="55"/>
        <v>0</v>
      </c>
      <c r="BB90" s="198"/>
      <c r="BC90" s="63"/>
      <c r="BD90" s="28">
        <f t="shared" si="46"/>
        <v>0</v>
      </c>
      <c r="BE90" s="16"/>
      <c r="CJ90" s="2"/>
      <c r="CK90" s="2"/>
      <c r="CL90" s="2"/>
      <c r="CM90" s="2"/>
      <c r="CN90" s="2"/>
      <c r="CO90" s="2"/>
      <c r="CP90" s="2"/>
      <c r="CQ90" s="2"/>
      <c r="CR90" s="2"/>
      <c r="CS90" s="2"/>
      <c r="CV90" s="142"/>
    </row>
    <row r="91" spans="1:106" outlineLevel="1">
      <c r="C91" s="9" t="s">
        <v>14</v>
      </c>
      <c r="D91" s="28">
        <v>0</v>
      </c>
      <c r="E91" s="28">
        <f t="shared" ref="E91:BA91" si="56">SUM(E72:E89)</f>
        <v>1665.34</v>
      </c>
      <c r="F91" s="28">
        <f t="shared" si="56"/>
        <v>18.163672654690618</v>
      </c>
      <c r="G91" s="28">
        <f t="shared" si="56"/>
        <v>165.59912433198119</v>
      </c>
      <c r="H91" s="28">
        <f t="shared" ca="1" si="56"/>
        <v>39.411499581482197</v>
      </c>
      <c r="I91" s="28">
        <f t="shared" ca="1" si="56"/>
        <v>51.587148284077003</v>
      </c>
      <c r="J91" s="28">
        <f t="shared" ca="1" si="56"/>
        <v>68.353615349945258</v>
      </c>
      <c r="K91" s="28">
        <f t="shared" ca="1" si="56"/>
        <v>56.177966647350459</v>
      </c>
      <c r="L91" s="28">
        <f t="shared" ca="1" si="56"/>
        <v>37.724550898203596</v>
      </c>
      <c r="M91" s="28">
        <f t="shared" ca="1" si="56"/>
        <v>104.19161676646706</v>
      </c>
      <c r="N91" s="28">
        <f t="shared" si="56"/>
        <v>32.734530938123754</v>
      </c>
      <c r="O91" s="28">
        <f t="shared" si="56"/>
        <v>37.644710578842314</v>
      </c>
      <c r="P91" s="28">
        <f t="shared" si="56"/>
        <v>41.397205588822359</v>
      </c>
      <c r="Q91" s="28">
        <f t="shared" si="56"/>
        <v>32.934131736526943</v>
      </c>
      <c r="R91" s="28">
        <f t="shared" si="56"/>
        <v>40.119760479041915</v>
      </c>
      <c r="S91" s="28">
        <f t="shared" si="56"/>
        <v>55.289421157684629</v>
      </c>
      <c r="T91" s="28">
        <f t="shared" si="56"/>
        <v>47.704590818363272</v>
      </c>
      <c r="U91" s="28">
        <f t="shared" si="56"/>
        <v>31.736526946107784</v>
      </c>
      <c r="V91" s="28">
        <f t="shared" si="56"/>
        <v>37.924151696606785</v>
      </c>
      <c r="W91" s="28">
        <f t="shared" si="56"/>
        <v>46.307385229540913</v>
      </c>
      <c r="X91" s="28">
        <f t="shared" si="56"/>
        <v>80</v>
      </c>
      <c r="Y91" s="28">
        <f t="shared" si="56"/>
        <v>224.35643564356434</v>
      </c>
      <c r="Z91" s="28">
        <f t="shared" si="56"/>
        <v>71.683168316831683</v>
      </c>
      <c r="AA91" s="28">
        <f t="shared" si="56"/>
        <v>39.603960396039604</v>
      </c>
      <c r="AB91" s="28">
        <f t="shared" si="56"/>
        <v>38.811881188118811</v>
      </c>
      <c r="AC91" s="28">
        <f t="shared" si="56"/>
        <v>116.43564356435644</v>
      </c>
      <c r="AD91" s="28">
        <f t="shared" si="56"/>
        <v>36.831683168316829</v>
      </c>
      <c r="AE91" s="28">
        <f t="shared" si="56"/>
        <v>58.019801980198011</v>
      </c>
      <c r="AF91" s="28">
        <f t="shared" si="56"/>
        <v>58.019801980198025</v>
      </c>
      <c r="AG91" s="28">
        <f t="shared" si="56"/>
        <v>43.287128712871279</v>
      </c>
      <c r="AH91" s="28">
        <f t="shared" si="56"/>
        <v>29.504950495049503</v>
      </c>
      <c r="AI91" s="28">
        <f t="shared" si="56"/>
        <v>40.198019801980195</v>
      </c>
      <c r="AJ91" s="28">
        <f t="shared" si="56"/>
        <v>46.138613861386141</v>
      </c>
      <c r="AK91" s="28">
        <f t="shared" si="56"/>
        <v>67.524752475247524</v>
      </c>
      <c r="AL91" s="28">
        <f t="shared" si="56"/>
        <v>52.871287128712879</v>
      </c>
      <c r="AM91" s="28">
        <f t="shared" si="56"/>
        <v>22.4609375</v>
      </c>
      <c r="AN91" s="28">
        <f t="shared" si="56"/>
        <v>33.984375</v>
      </c>
      <c r="AO91" s="28">
        <f t="shared" si="56"/>
        <v>155.15625</v>
      </c>
      <c r="AP91" s="28">
        <f t="shared" si="56"/>
        <v>214.5703125</v>
      </c>
      <c r="AQ91" s="28">
        <f t="shared" si="56"/>
        <v>91.9921875</v>
      </c>
      <c r="AR91" s="28">
        <f t="shared" si="56"/>
        <v>42.96875</v>
      </c>
      <c r="AS91" s="28">
        <f t="shared" si="56"/>
        <v>50.1953125</v>
      </c>
      <c r="AT91" s="28">
        <f t="shared" si="56"/>
        <v>70</v>
      </c>
      <c r="AU91" s="28">
        <f t="shared" si="56"/>
        <v>103.90625</v>
      </c>
      <c r="AV91" s="28">
        <f t="shared" si="56"/>
        <v>-43.1640625</v>
      </c>
      <c r="AW91" s="28">
        <f t="shared" si="56"/>
        <v>65.0390625</v>
      </c>
      <c r="AX91" s="28">
        <f t="shared" si="56"/>
        <v>108.984375</v>
      </c>
      <c r="AY91" s="28">
        <f t="shared" si="56"/>
        <v>72.65625</v>
      </c>
      <c r="AZ91" s="28">
        <f t="shared" si="56"/>
        <v>362.5</v>
      </c>
      <c r="BA91" s="28">
        <f t="shared" si="56"/>
        <v>0</v>
      </c>
      <c r="BB91" s="200">
        <f>SUM(BB72:BB87)</f>
        <v>0</v>
      </c>
      <c r="BC91" s="184">
        <f>SUM(BC72:BC87)</f>
        <v>0</v>
      </c>
      <c r="BD91" s="28">
        <f ca="1">SUM(D91:BC91)</f>
        <v>4964.8787383967292</v>
      </c>
      <c r="BE91" s="13"/>
      <c r="CJ91" s="28" t="str">
        <f>+A93</f>
        <v>DONG + EUROS</v>
      </c>
      <c r="CK91" s="28">
        <f ca="1">SUM((INDIRECT(CK$9&amp;ROW()):(INDIRECT(CK$10&amp;ROW()))))</f>
        <v>1665.34</v>
      </c>
      <c r="CL91" s="28">
        <f ca="1">SUM((INDIRECT(CL$9&amp;ROW()):(INDIRECT(CL$10&amp;ROW()))))</f>
        <v>1552.7243819610858</v>
      </c>
      <c r="CM91" s="28">
        <f ca="1">SUM((INDIRECT(CM$9&amp;ROW()):(INDIRECT(CM$10&amp;ROW()))))</f>
        <v>1746.8143564356435</v>
      </c>
      <c r="CN91" s="28" t="e">
        <f ca="1">SUM((INDIRECT(CN$9&amp;ROW()):(INDIRECT(CN$10&amp;ROW()))))</f>
        <v>#N/A</v>
      </c>
      <c r="CO91" s="28" t="e">
        <f ca="1">SUM((INDIRECT(CO$9&amp;ROW()):(INDIRECT(CO$10&amp;ROW()))))</f>
        <v>#N/A</v>
      </c>
      <c r="CP91" s="28" t="e">
        <f ca="1">SUM((INDIRECT(CP$9&amp;ROW()):(INDIRECT(CP$10&amp;ROW()))))</f>
        <v>#N/A</v>
      </c>
      <c r="CQ91" s="28" t="e">
        <f ca="1">SUM((INDIRECT(CQ$9&amp;ROW()):(INDIRECT(CQ$10&amp;ROW()))))</f>
        <v>#REF!</v>
      </c>
      <c r="CR91" s="28" t="e">
        <f ca="1">SUM((INDIRECT(CR$9&amp;ROW()):(INDIRECT(CR$10&amp;ROW()))))</f>
        <v>#REF!</v>
      </c>
      <c r="CT91" s="28">
        <f ca="1">SUM((INDIRECT(CT$9&amp;ROW()):(INDIRECT(CT$10&amp;ROW()))))</f>
        <v>3299.5387383967295</v>
      </c>
      <c r="CV91" s="142"/>
    </row>
    <row r="92" spans="1:106" outlineLevel="1">
      <c r="D92" s="2">
        <v>0</v>
      </c>
      <c r="E92" s="6">
        <f t="shared" ref="E92:BA92" si="57">E66+(E40/E$6)</f>
        <v>0</v>
      </c>
      <c r="F92" s="6">
        <f t="shared" si="57"/>
        <v>18.163672654690618</v>
      </c>
      <c r="G92" s="6">
        <f t="shared" si="57"/>
        <v>165.59912433198119</v>
      </c>
      <c r="H92" s="6">
        <f t="shared" si="57"/>
        <v>39.411499581482197</v>
      </c>
      <c r="I92" s="6">
        <f t="shared" si="57"/>
        <v>51.587148284077003</v>
      </c>
      <c r="J92" s="6">
        <f t="shared" si="57"/>
        <v>68.353615349945272</v>
      </c>
      <c r="K92" s="6">
        <f t="shared" si="57"/>
        <v>56.177966647350459</v>
      </c>
      <c r="L92" s="6">
        <f t="shared" si="57"/>
        <v>37.724550898203589</v>
      </c>
      <c r="M92" s="6">
        <f t="shared" si="57"/>
        <v>104.19161676646706</v>
      </c>
      <c r="N92" s="6">
        <f t="shared" si="57"/>
        <v>32.734530938123754</v>
      </c>
      <c r="O92" s="6">
        <f t="shared" si="57"/>
        <v>37.644710578842314</v>
      </c>
      <c r="P92" s="6">
        <f t="shared" si="57"/>
        <v>41.397205588822352</v>
      </c>
      <c r="Q92" s="6">
        <f t="shared" si="57"/>
        <v>32.934131736526943</v>
      </c>
      <c r="R92" s="6">
        <f t="shared" si="57"/>
        <v>40.119760479041915</v>
      </c>
      <c r="S92" s="6">
        <f t="shared" si="57"/>
        <v>55.289421157684629</v>
      </c>
      <c r="T92" s="6">
        <f t="shared" si="57"/>
        <v>47.704590818363272</v>
      </c>
      <c r="U92" s="6">
        <f t="shared" si="57"/>
        <v>31.736526946107784</v>
      </c>
      <c r="V92" s="6">
        <f t="shared" si="57"/>
        <v>37.924151696606785</v>
      </c>
      <c r="W92" s="6">
        <f t="shared" si="57"/>
        <v>46.30738522954092</v>
      </c>
      <c r="X92" s="6">
        <f t="shared" si="57"/>
        <v>80</v>
      </c>
      <c r="Y92" s="6">
        <f t="shared" si="57"/>
        <v>224.35643564356437</v>
      </c>
      <c r="Z92" s="6">
        <f t="shared" si="57"/>
        <v>71.683168316831683</v>
      </c>
      <c r="AA92" s="6">
        <f t="shared" si="57"/>
        <v>39.603960396039604</v>
      </c>
      <c r="AB92" s="6">
        <f t="shared" si="57"/>
        <v>38.811881188118811</v>
      </c>
      <c r="AC92" s="6">
        <f t="shared" si="57"/>
        <v>116.43564356435644</v>
      </c>
      <c r="AD92" s="6">
        <f t="shared" si="57"/>
        <v>36.831683168316829</v>
      </c>
      <c r="AE92" s="6">
        <f t="shared" si="57"/>
        <v>58.019801980198018</v>
      </c>
      <c r="AF92" s="6">
        <f t="shared" si="57"/>
        <v>58.019801980198018</v>
      </c>
      <c r="AG92" s="6">
        <f t="shared" si="57"/>
        <v>43.287128712871286</v>
      </c>
      <c r="AH92" s="6">
        <f t="shared" si="57"/>
        <v>29.504950495049506</v>
      </c>
      <c r="AI92" s="6">
        <f t="shared" si="57"/>
        <v>40.198019801980195</v>
      </c>
      <c r="AJ92" s="6">
        <f t="shared" si="57"/>
        <v>46.138613861386141</v>
      </c>
      <c r="AK92" s="6">
        <f t="shared" si="57"/>
        <v>67.524752475247524</v>
      </c>
      <c r="AL92" s="6">
        <f t="shared" si="57"/>
        <v>52.871287128712872</v>
      </c>
      <c r="AM92" s="6">
        <f t="shared" si="57"/>
        <v>22.4609375</v>
      </c>
      <c r="AN92" s="6">
        <f t="shared" si="57"/>
        <v>33.984375</v>
      </c>
      <c r="AO92" s="6">
        <f t="shared" si="57"/>
        <v>105.15625</v>
      </c>
      <c r="AP92" s="6">
        <f t="shared" si="57"/>
        <v>159.5703125</v>
      </c>
      <c r="AQ92" s="6">
        <f t="shared" si="57"/>
        <v>91.9921875</v>
      </c>
      <c r="AR92" s="6">
        <f t="shared" si="57"/>
        <v>42.96875</v>
      </c>
      <c r="AS92" s="6">
        <f t="shared" si="57"/>
        <v>50.1953125</v>
      </c>
      <c r="AT92" s="6">
        <f t="shared" si="57"/>
        <v>70</v>
      </c>
      <c r="AU92" s="6">
        <f t="shared" si="57"/>
        <v>103.90625</v>
      </c>
      <c r="AV92" s="6">
        <f t="shared" si="57"/>
        <v>-43.1640625</v>
      </c>
      <c r="AW92" s="6">
        <f t="shared" si="57"/>
        <v>65.0390625</v>
      </c>
      <c r="AX92" s="6">
        <f t="shared" si="57"/>
        <v>108.984375</v>
      </c>
      <c r="AY92" s="6">
        <f t="shared" si="57"/>
        <v>72.65625</v>
      </c>
      <c r="AZ92" s="6">
        <f t="shared" si="57"/>
        <v>362.5</v>
      </c>
      <c r="BA92" s="6">
        <f t="shared" si="57"/>
        <v>0</v>
      </c>
      <c r="BB92" s="198">
        <f>BB66+(BB40/TAUXmoyen)</f>
        <v>0</v>
      </c>
      <c r="BC92" s="63">
        <f>BC66+(BC40/TAUXmoyen)</f>
        <v>0</v>
      </c>
      <c r="BD92" s="6">
        <f>SUM(D92:BC92)</f>
        <v>3194.5387383967291</v>
      </c>
      <c r="CJ92">
        <v>0</v>
      </c>
    </row>
    <row r="93" spans="1:106">
      <c r="A93" s="9" t="s">
        <v>97</v>
      </c>
      <c r="D93" s="2"/>
      <c r="CJ93" s="228" t="s">
        <v>332</v>
      </c>
      <c r="CK93" s="229">
        <f t="shared" ref="CK93:CQ93" ca="1" si="58">+CK123</f>
        <v>0</v>
      </c>
      <c r="CL93" s="229">
        <f t="shared" ca="1" si="58"/>
        <v>1539.6515909832538</v>
      </c>
      <c r="CM93" s="229">
        <f t="shared" ca="1" si="58"/>
        <v>1652.1850117800016</v>
      </c>
      <c r="CN93" s="229" t="e">
        <f t="shared" ca="1" si="58"/>
        <v>#N/A</v>
      </c>
      <c r="CO93" s="229" t="e">
        <f t="shared" ca="1" si="58"/>
        <v>#N/A</v>
      </c>
      <c r="CP93" s="229" t="e">
        <f t="shared" ca="1" si="58"/>
        <v>#N/A</v>
      </c>
      <c r="CQ93" s="229" t="e">
        <f t="shared" ca="1" si="58"/>
        <v>#REF!</v>
      </c>
      <c r="CR93" s="229" t="e">
        <f ca="1">+CR123</f>
        <v>#REF!</v>
      </c>
    </row>
    <row r="94" spans="1:106">
      <c r="A94" s="9"/>
      <c r="D94" s="2"/>
      <c r="CJ94" s="228" t="s">
        <v>333</v>
      </c>
      <c r="CK94" s="229">
        <f t="shared" ref="CK94:CR94" ca="1" si="59">CK66</f>
        <v>1665.34</v>
      </c>
      <c r="CL94" s="229">
        <f t="shared" ca="1" si="59"/>
        <v>0</v>
      </c>
      <c r="CM94" s="229">
        <f t="shared" ca="1" si="59"/>
        <v>105</v>
      </c>
      <c r="CN94" s="229" t="e">
        <f t="shared" ca="1" si="59"/>
        <v>#N/A</v>
      </c>
      <c r="CO94" s="229" t="e">
        <f t="shared" ca="1" si="59"/>
        <v>#N/A</v>
      </c>
      <c r="CP94" s="229" t="e">
        <f t="shared" ca="1" si="59"/>
        <v>#N/A</v>
      </c>
      <c r="CQ94" s="229" t="e">
        <f t="shared" ca="1" si="59"/>
        <v>#REF!</v>
      </c>
      <c r="CR94" s="229" t="e">
        <f t="shared" ca="1" si="59"/>
        <v>#REF!</v>
      </c>
      <c r="CT94" s="28">
        <f ca="1">SUM((INDIRECT(CT$9&amp;ROW()):(INDIRECT(CT$10&amp;ROW()))))</f>
        <v>0</v>
      </c>
    </row>
    <row r="95" spans="1:106" outlineLevel="1">
      <c r="D95" s="2"/>
      <c r="E95" s="2" t="str">
        <f>E$8</f>
        <v>Lundi</v>
      </c>
      <c r="F95" s="2" t="str">
        <f t="shared" ref="F95:BC95" si="60">F$8</f>
        <v>mardi</v>
      </c>
      <c r="G95" s="2" t="str">
        <f t="shared" si="60"/>
        <v>Mer</v>
      </c>
      <c r="H95" s="2" t="str">
        <f t="shared" si="60"/>
        <v>Jeu</v>
      </c>
      <c r="I95" s="2" t="str">
        <f t="shared" si="60"/>
        <v>Ven</v>
      </c>
      <c r="J95" s="2" t="str">
        <f t="shared" si="60"/>
        <v>Sam</v>
      </c>
      <c r="K95" s="2" t="str">
        <f t="shared" si="60"/>
        <v>Dim</v>
      </c>
      <c r="L95" s="2" t="str">
        <f t="shared" si="60"/>
        <v>Lundi</v>
      </c>
      <c r="M95" s="2" t="str">
        <f t="shared" si="60"/>
        <v>mardi</v>
      </c>
      <c r="N95" s="2" t="str">
        <f t="shared" si="60"/>
        <v>Mer</v>
      </c>
      <c r="O95" s="2" t="str">
        <f t="shared" si="60"/>
        <v>Jeu</v>
      </c>
      <c r="P95" s="2" t="str">
        <f t="shared" si="60"/>
        <v>Ven</v>
      </c>
      <c r="Q95" s="2" t="str">
        <f t="shared" si="60"/>
        <v>Sam</v>
      </c>
      <c r="R95" s="2" t="str">
        <f t="shared" si="60"/>
        <v>Dim</v>
      </c>
      <c r="S95" s="2" t="str">
        <f t="shared" si="60"/>
        <v>Lundi</v>
      </c>
      <c r="T95" s="2" t="str">
        <f t="shared" si="60"/>
        <v>mardi</v>
      </c>
      <c r="U95" s="2" t="str">
        <f t="shared" si="60"/>
        <v>Mer</v>
      </c>
      <c r="V95" s="2" t="str">
        <f t="shared" si="60"/>
        <v>Jeu</v>
      </c>
      <c r="W95" s="2" t="str">
        <f t="shared" si="60"/>
        <v>Ven</v>
      </c>
      <c r="X95" s="2" t="str">
        <f t="shared" si="60"/>
        <v>Sam</v>
      </c>
      <c r="Y95" s="2" t="str">
        <f t="shared" si="60"/>
        <v>Dim</v>
      </c>
      <c r="Z95" s="2" t="str">
        <f t="shared" si="60"/>
        <v>Lundi</v>
      </c>
      <c r="AA95" s="2" t="str">
        <f t="shared" si="60"/>
        <v>mardi</v>
      </c>
      <c r="AB95" s="2" t="str">
        <f t="shared" si="60"/>
        <v>Mer</v>
      </c>
      <c r="AC95" s="2" t="str">
        <f t="shared" si="60"/>
        <v>Jeu</v>
      </c>
      <c r="AD95" s="2" t="str">
        <f t="shared" si="60"/>
        <v>Ven</v>
      </c>
      <c r="AE95" s="2" t="str">
        <f t="shared" si="60"/>
        <v>Sam</v>
      </c>
      <c r="AF95" s="2" t="str">
        <f t="shared" si="60"/>
        <v>Dim</v>
      </c>
      <c r="AG95" s="2" t="str">
        <f t="shared" si="60"/>
        <v>Lundi</v>
      </c>
      <c r="AH95" s="2" t="str">
        <f t="shared" si="60"/>
        <v>mardi</v>
      </c>
      <c r="AI95" s="2" t="str">
        <f t="shared" si="60"/>
        <v>Mer</v>
      </c>
      <c r="AJ95" s="2" t="str">
        <f t="shared" si="60"/>
        <v>Jeu</v>
      </c>
      <c r="AK95" s="2" t="str">
        <f t="shared" si="60"/>
        <v>Ven</v>
      </c>
      <c r="AL95" s="2" t="str">
        <f t="shared" si="60"/>
        <v>Sam</v>
      </c>
      <c r="AM95" s="2" t="str">
        <f t="shared" si="60"/>
        <v>Dim</v>
      </c>
      <c r="AN95" s="2" t="str">
        <f t="shared" si="60"/>
        <v>Lundi</v>
      </c>
      <c r="AO95" s="2" t="str">
        <f t="shared" si="60"/>
        <v>mardi</v>
      </c>
      <c r="AP95" s="2" t="str">
        <f t="shared" si="60"/>
        <v>Mer</v>
      </c>
      <c r="AQ95" s="2" t="str">
        <f t="shared" si="60"/>
        <v>Jeu</v>
      </c>
      <c r="AR95" s="2" t="str">
        <f t="shared" si="60"/>
        <v>Ven</v>
      </c>
      <c r="AS95" s="2" t="str">
        <f t="shared" si="60"/>
        <v>Sam</v>
      </c>
      <c r="AT95" s="2" t="str">
        <f t="shared" si="60"/>
        <v>Dim</v>
      </c>
      <c r="AU95" s="2" t="str">
        <f t="shared" si="60"/>
        <v>Lundi</v>
      </c>
      <c r="AV95" s="2" t="str">
        <f t="shared" si="60"/>
        <v>mardi</v>
      </c>
      <c r="AW95" s="2" t="str">
        <f t="shared" si="60"/>
        <v>Mer</v>
      </c>
      <c r="AX95" s="2" t="str">
        <f t="shared" si="60"/>
        <v>Jeu</v>
      </c>
      <c r="AY95" s="2" t="str">
        <f t="shared" si="60"/>
        <v>Ven</v>
      </c>
      <c r="AZ95" s="2" t="str">
        <f t="shared" si="60"/>
        <v>Sam</v>
      </c>
      <c r="BA95" s="2" t="str">
        <f t="shared" si="60"/>
        <v>Dim</v>
      </c>
      <c r="BB95" s="11">
        <f t="shared" si="60"/>
        <v>0</v>
      </c>
      <c r="BC95" s="177">
        <f t="shared" si="60"/>
        <v>0</v>
      </c>
      <c r="CJ95" s="228">
        <v>0</v>
      </c>
      <c r="CK95" s="229">
        <f ca="1">+CK91-CK93-CK94</f>
        <v>0</v>
      </c>
      <c r="CL95" s="229">
        <f t="shared" ref="CL95:CQ95" ca="1" si="61">+CL91-CL93-CL94</f>
        <v>13.072790977832028</v>
      </c>
      <c r="CM95" s="229">
        <f t="shared" ca="1" si="61"/>
        <v>-10.370655344358056</v>
      </c>
      <c r="CN95" s="229" t="e">
        <f t="shared" ca="1" si="61"/>
        <v>#N/A</v>
      </c>
      <c r="CO95" s="229" t="e">
        <f t="shared" ca="1" si="61"/>
        <v>#N/A</v>
      </c>
      <c r="CP95" s="229" t="e">
        <f t="shared" ca="1" si="61"/>
        <v>#N/A</v>
      </c>
      <c r="CQ95" s="229" t="e">
        <f t="shared" ca="1" si="61"/>
        <v>#REF!</v>
      </c>
      <c r="CR95" s="229" t="e">
        <f ca="1">+CR91-CR93-CR94</f>
        <v>#REF!</v>
      </c>
      <c r="CT95" s="28">
        <f ca="1">SUM((INDIRECT(CT$9&amp;ROW()):(INDIRECT(CT$10&amp;ROW()))))</f>
        <v>0</v>
      </c>
      <c r="CV95">
        <f>14*26*25</f>
        <v>9100</v>
      </c>
    </row>
    <row r="96" spans="1:106" ht="23.4" outlineLevel="1">
      <c r="E96" s="39">
        <f>E$9</f>
        <v>45082</v>
      </c>
      <c r="F96" s="39">
        <f t="shared" ref="F96:BC96" si="62">F$9</f>
        <v>45083</v>
      </c>
      <c r="G96" s="39">
        <f t="shared" si="62"/>
        <v>45084</v>
      </c>
      <c r="H96" s="39">
        <f t="shared" si="62"/>
        <v>45085</v>
      </c>
      <c r="I96" s="39">
        <f t="shared" si="62"/>
        <v>45086</v>
      </c>
      <c r="J96" s="39">
        <f t="shared" si="62"/>
        <v>45087</v>
      </c>
      <c r="K96" s="39">
        <f t="shared" si="62"/>
        <v>45088</v>
      </c>
      <c r="L96" s="39">
        <f t="shared" si="62"/>
        <v>45089</v>
      </c>
      <c r="M96" s="39">
        <f t="shared" si="62"/>
        <v>45090</v>
      </c>
      <c r="N96" s="39">
        <f t="shared" si="62"/>
        <v>45091</v>
      </c>
      <c r="O96" s="39">
        <f t="shared" si="62"/>
        <v>45092</v>
      </c>
      <c r="P96" s="39">
        <f t="shared" si="62"/>
        <v>45093</v>
      </c>
      <c r="Q96" s="39">
        <f t="shared" si="62"/>
        <v>45094</v>
      </c>
      <c r="R96" s="39">
        <f t="shared" si="62"/>
        <v>45095</v>
      </c>
      <c r="S96" s="39">
        <f t="shared" si="62"/>
        <v>45096</v>
      </c>
      <c r="T96" s="39">
        <f t="shared" si="62"/>
        <v>45097</v>
      </c>
      <c r="U96" s="39">
        <f t="shared" si="62"/>
        <v>45098</v>
      </c>
      <c r="V96" s="39">
        <f t="shared" si="62"/>
        <v>45099</v>
      </c>
      <c r="W96" s="39">
        <f t="shared" si="62"/>
        <v>45100</v>
      </c>
      <c r="X96" s="39">
        <f t="shared" si="62"/>
        <v>45101</v>
      </c>
      <c r="Y96" s="39">
        <f t="shared" si="62"/>
        <v>45102</v>
      </c>
      <c r="Z96" s="39">
        <f t="shared" si="62"/>
        <v>45103</v>
      </c>
      <c r="AA96" s="39">
        <f t="shared" si="62"/>
        <v>45104</v>
      </c>
      <c r="AB96" s="39">
        <f t="shared" si="62"/>
        <v>45105</v>
      </c>
      <c r="AC96" s="39">
        <f t="shared" si="62"/>
        <v>45106</v>
      </c>
      <c r="AD96" s="39">
        <f t="shared" si="62"/>
        <v>45107</v>
      </c>
      <c r="AE96" s="39">
        <f t="shared" si="62"/>
        <v>45108</v>
      </c>
      <c r="AF96" s="39">
        <f t="shared" si="62"/>
        <v>45109</v>
      </c>
      <c r="AG96" s="39">
        <f t="shared" si="62"/>
        <v>45110</v>
      </c>
      <c r="AH96" s="39">
        <f t="shared" si="62"/>
        <v>45111</v>
      </c>
      <c r="AI96" s="39">
        <f t="shared" si="62"/>
        <v>45112</v>
      </c>
      <c r="AJ96" s="39">
        <f t="shared" si="62"/>
        <v>45113</v>
      </c>
      <c r="AK96" s="39">
        <f t="shared" si="62"/>
        <v>45114</v>
      </c>
      <c r="AL96" s="39">
        <f t="shared" si="62"/>
        <v>45115</v>
      </c>
      <c r="AM96" s="39">
        <f t="shared" si="62"/>
        <v>45116</v>
      </c>
      <c r="AN96" s="39">
        <f t="shared" si="62"/>
        <v>45117</v>
      </c>
      <c r="AO96" s="39">
        <f t="shared" si="62"/>
        <v>45118</v>
      </c>
      <c r="AP96" s="39">
        <f t="shared" si="62"/>
        <v>45119</v>
      </c>
      <c r="AQ96" s="39">
        <f t="shared" si="62"/>
        <v>45120</v>
      </c>
      <c r="AR96" s="39">
        <f t="shared" si="62"/>
        <v>45121</v>
      </c>
      <c r="AS96" s="39">
        <f t="shared" si="62"/>
        <v>45122</v>
      </c>
      <c r="AT96" s="39">
        <f t="shared" si="62"/>
        <v>45123</v>
      </c>
      <c r="AU96" s="39">
        <f t="shared" si="62"/>
        <v>45124</v>
      </c>
      <c r="AV96" s="39">
        <f t="shared" si="62"/>
        <v>45125</v>
      </c>
      <c r="AW96" s="39">
        <f t="shared" si="62"/>
        <v>45126</v>
      </c>
      <c r="AX96" s="39">
        <f t="shared" si="62"/>
        <v>45127</v>
      </c>
      <c r="AY96" s="39">
        <f t="shared" si="62"/>
        <v>45128</v>
      </c>
      <c r="AZ96" s="39">
        <f t="shared" si="62"/>
        <v>45129</v>
      </c>
      <c r="BA96" s="39">
        <f t="shared" si="62"/>
        <v>45130</v>
      </c>
      <c r="BB96" s="197">
        <f t="shared" si="62"/>
        <v>0</v>
      </c>
      <c r="BC96" s="183">
        <f t="shared" si="62"/>
        <v>0</v>
      </c>
      <c r="BF96" s="40"/>
      <c r="CJ96">
        <v>0</v>
      </c>
      <c r="CT96" s="2">
        <v>0</v>
      </c>
      <c r="CX96">
        <v>0</v>
      </c>
    </row>
    <row r="97" spans="1:111" outlineLevel="1">
      <c r="D97" s="6"/>
      <c r="E97" s="2" t="str">
        <f>E$10</f>
        <v>Paris</v>
      </c>
      <c r="F97" s="2" t="str">
        <f t="shared" ref="F97:BC97" si="63">F$10</f>
        <v>Paris</v>
      </c>
      <c r="G97" s="2" t="str">
        <f t="shared" si="63"/>
        <v>Hanoi</v>
      </c>
      <c r="H97" s="2" t="str">
        <f t="shared" si="63"/>
        <v>Hanoi</v>
      </c>
      <c r="I97" s="2" t="str">
        <f t="shared" si="63"/>
        <v>Hanoi</v>
      </c>
      <c r="J97" s="2" t="str">
        <f t="shared" si="63"/>
        <v>Hanoi</v>
      </c>
      <c r="K97" s="2" t="str">
        <f t="shared" si="63"/>
        <v>Hanoi</v>
      </c>
      <c r="L97" s="2" t="str">
        <f t="shared" si="63"/>
        <v>Hanoi</v>
      </c>
      <c r="M97" s="2" t="str">
        <f t="shared" si="63"/>
        <v>Hanoi</v>
      </c>
      <c r="N97" s="2" t="str">
        <f t="shared" si="63"/>
        <v>Hanoi</v>
      </c>
      <c r="O97" s="2" t="str">
        <f t="shared" si="63"/>
        <v>Hanoi</v>
      </c>
      <c r="P97" s="2" t="str">
        <f t="shared" si="63"/>
        <v>Hanoi</v>
      </c>
      <c r="Q97" s="2" t="str">
        <f t="shared" si="63"/>
        <v>Hanoi</v>
      </c>
      <c r="R97" s="2" t="str">
        <f t="shared" si="63"/>
        <v>Ha Giang</v>
      </c>
      <c r="S97" s="2" t="str">
        <f t="shared" si="63"/>
        <v>Ha Giang</v>
      </c>
      <c r="T97" s="2" t="str">
        <f t="shared" si="63"/>
        <v>Hanoi</v>
      </c>
      <c r="U97" s="2" t="str">
        <f t="shared" si="63"/>
        <v>Hanoi</v>
      </c>
      <c r="V97" s="2" t="str">
        <f t="shared" si="63"/>
        <v>Hanoi</v>
      </c>
      <c r="W97" s="2" t="str">
        <f t="shared" si="63"/>
        <v>Hanoi</v>
      </c>
      <c r="X97" s="2" t="str">
        <f t="shared" si="63"/>
        <v>Hanoi</v>
      </c>
      <c r="Y97" s="2" t="str">
        <f t="shared" si="63"/>
        <v>pharmaciens</v>
      </c>
      <c r="Z97" s="2" t="str">
        <f t="shared" si="63"/>
        <v>Hanoi</v>
      </c>
      <c r="AA97" s="2" t="str">
        <f t="shared" si="63"/>
        <v>Hanoi</v>
      </c>
      <c r="AB97" s="2" t="str">
        <f t="shared" si="63"/>
        <v>Hanoi</v>
      </c>
      <c r="AC97" s="2" t="str">
        <f t="shared" si="63"/>
        <v>Thai Nguyen</v>
      </c>
      <c r="AD97" s="2" t="str">
        <f t="shared" si="63"/>
        <v>Hanoi</v>
      </c>
      <c r="AE97" s="2" t="str">
        <f t="shared" si="63"/>
        <v>Hanoi</v>
      </c>
      <c r="AF97" s="2" t="str">
        <f t="shared" si="63"/>
        <v>Hanoi</v>
      </c>
      <c r="AG97" s="2" t="str">
        <f t="shared" si="63"/>
        <v>Hanoi</v>
      </c>
      <c r="AH97" s="2" t="str">
        <f t="shared" si="63"/>
        <v>Hanoi</v>
      </c>
      <c r="AI97" s="2" t="str">
        <f t="shared" si="63"/>
        <v>Hanoi</v>
      </c>
      <c r="AJ97" s="2" t="str">
        <f t="shared" si="63"/>
        <v>Hanoi</v>
      </c>
      <c r="AK97" s="2" t="str">
        <f t="shared" si="63"/>
        <v>Hanoi</v>
      </c>
      <c r="AL97" s="2" t="str">
        <f>AL$10</f>
        <v>Hanoi</v>
      </c>
      <c r="AM97" s="2" t="str">
        <f>AM$10</f>
        <v>Hanoi</v>
      </c>
      <c r="AN97" s="2" t="str">
        <f t="shared" si="63"/>
        <v>Hanoi</v>
      </c>
      <c r="AO97" s="2" t="str">
        <f t="shared" si="63"/>
        <v>Ha Long</v>
      </c>
      <c r="AP97" s="2" t="str">
        <f t="shared" si="63"/>
        <v>Ha Long</v>
      </c>
      <c r="AQ97" s="2" t="str">
        <f t="shared" si="63"/>
        <v>Hanoi</v>
      </c>
      <c r="AR97" s="2" t="str">
        <f t="shared" si="63"/>
        <v>Hanoi</v>
      </c>
      <c r="AS97" s="2" t="str">
        <f t="shared" si="63"/>
        <v>BacNinh</v>
      </c>
      <c r="AT97" s="2" t="str">
        <f t="shared" si="63"/>
        <v>Hanoi</v>
      </c>
      <c r="AU97" s="2" t="str">
        <f t="shared" si="63"/>
        <v>Hanoi</v>
      </c>
      <c r="AV97" s="2" t="str">
        <f t="shared" si="63"/>
        <v>Hanoi</v>
      </c>
      <c r="AW97" s="2" t="str">
        <f t="shared" si="63"/>
        <v>Hanoi</v>
      </c>
      <c r="AX97" s="2" t="str">
        <f t="shared" si="63"/>
        <v>Hanoi</v>
      </c>
      <c r="AY97" s="2" t="str">
        <f t="shared" si="63"/>
        <v>Hanoi</v>
      </c>
      <c r="AZ97" s="2" t="str">
        <f t="shared" si="63"/>
        <v>Hanoi</v>
      </c>
      <c r="BA97" s="2" t="str">
        <f t="shared" si="63"/>
        <v>Bordeaux</v>
      </c>
      <c r="BB97" s="11">
        <f t="shared" si="63"/>
        <v>0</v>
      </c>
      <c r="BC97" s="177">
        <f t="shared" si="63"/>
        <v>0</v>
      </c>
      <c r="BD97" s="6"/>
      <c r="BJ97" s="4"/>
      <c r="CJ97">
        <v>0</v>
      </c>
      <c r="CK97" s="118" t="str">
        <f>+CK$11</f>
        <v>France</v>
      </c>
      <c r="CL97" s="118" t="str">
        <f>CL$33</f>
        <v>JUIN 25 jrs</v>
      </c>
      <c r="CM97" s="118" t="str">
        <f>CM$33</f>
        <v>JUIL 22 jrs</v>
      </c>
      <c r="CN97" s="118" t="e">
        <f>CN$33</f>
        <v>#N/A</v>
      </c>
      <c r="CO97" s="118" t="e">
        <f>CO$33</f>
        <v>#N/A</v>
      </c>
      <c r="CP97" s="118" t="e">
        <f>CP$33</f>
        <v>#N/A</v>
      </c>
      <c r="CQ97" s="118" t="str">
        <f>+CQ$11</f>
        <v>SEPT</v>
      </c>
      <c r="CR97" s="167" t="str">
        <f>+CR$11</f>
        <v>OCT</v>
      </c>
      <c r="CT97" s="4" t="s">
        <v>851</v>
      </c>
      <c r="DG97" s="4" t="s">
        <v>14</v>
      </c>
    </row>
    <row r="98" spans="1:111" outlineLevel="1">
      <c r="D98" s="2"/>
      <c r="E98" s="2" t="str">
        <f t="shared" ref="E98:BC98" si="64">E$7</f>
        <v>Nbre jours</v>
      </c>
      <c r="F98" s="2">
        <f t="shared" si="64"/>
        <v>1</v>
      </c>
      <c r="G98" s="2">
        <f t="shared" si="64"/>
        <v>2</v>
      </c>
      <c r="H98" s="2">
        <f t="shared" si="64"/>
        <v>3</v>
      </c>
      <c r="I98" s="2">
        <f t="shared" si="64"/>
        <v>4</v>
      </c>
      <c r="J98" s="2">
        <f t="shared" si="64"/>
        <v>5</v>
      </c>
      <c r="K98" s="2">
        <f t="shared" si="64"/>
        <v>6</v>
      </c>
      <c r="L98" s="2">
        <f t="shared" si="64"/>
        <v>7</v>
      </c>
      <c r="M98" s="2">
        <f t="shared" si="64"/>
        <v>8</v>
      </c>
      <c r="N98" s="2">
        <f t="shared" si="64"/>
        <v>9</v>
      </c>
      <c r="O98" s="2">
        <f t="shared" si="64"/>
        <v>10</v>
      </c>
      <c r="P98" s="2">
        <f t="shared" si="64"/>
        <v>11</v>
      </c>
      <c r="Q98" s="2">
        <f t="shared" si="64"/>
        <v>12</v>
      </c>
      <c r="R98" s="2">
        <f t="shared" si="64"/>
        <v>13</v>
      </c>
      <c r="S98" s="2">
        <f t="shared" si="64"/>
        <v>14</v>
      </c>
      <c r="T98" s="2">
        <f t="shared" si="64"/>
        <v>15</v>
      </c>
      <c r="U98" s="2">
        <f t="shared" si="64"/>
        <v>16</v>
      </c>
      <c r="V98" s="2">
        <f t="shared" si="64"/>
        <v>17</v>
      </c>
      <c r="W98" s="2">
        <f t="shared" si="64"/>
        <v>18</v>
      </c>
      <c r="X98" s="2">
        <f t="shared" si="64"/>
        <v>19</v>
      </c>
      <c r="Y98" s="2">
        <f t="shared" si="64"/>
        <v>20</v>
      </c>
      <c r="Z98" s="2">
        <f t="shared" si="64"/>
        <v>21</v>
      </c>
      <c r="AA98" s="2">
        <f t="shared" si="64"/>
        <v>22</v>
      </c>
      <c r="AB98" s="2">
        <f t="shared" si="64"/>
        <v>23</v>
      </c>
      <c r="AC98" s="2">
        <f t="shared" si="64"/>
        <v>24</v>
      </c>
      <c r="AD98" s="2">
        <f t="shared" si="64"/>
        <v>25</v>
      </c>
      <c r="AE98" s="2">
        <f t="shared" si="64"/>
        <v>26</v>
      </c>
      <c r="AF98" s="2">
        <f t="shared" si="64"/>
        <v>27</v>
      </c>
      <c r="AG98" s="2">
        <f t="shared" si="64"/>
        <v>28</v>
      </c>
      <c r="AH98" s="2">
        <f t="shared" si="64"/>
        <v>29</v>
      </c>
      <c r="AI98" s="2">
        <f t="shared" si="64"/>
        <v>30</v>
      </c>
      <c r="AJ98" s="2">
        <f t="shared" si="64"/>
        <v>31</v>
      </c>
      <c r="AK98" s="2">
        <f t="shared" si="64"/>
        <v>32</v>
      </c>
      <c r="AL98" s="2">
        <f t="shared" si="64"/>
        <v>33</v>
      </c>
      <c r="AM98" s="2">
        <f t="shared" si="64"/>
        <v>34</v>
      </c>
      <c r="AN98" s="2">
        <f t="shared" si="64"/>
        <v>35</v>
      </c>
      <c r="AO98" s="2">
        <f t="shared" si="64"/>
        <v>36</v>
      </c>
      <c r="AP98" s="2">
        <f t="shared" si="64"/>
        <v>37</v>
      </c>
      <c r="AQ98" s="2">
        <f t="shared" si="64"/>
        <v>38</v>
      </c>
      <c r="AR98" s="2">
        <f t="shared" si="64"/>
        <v>39</v>
      </c>
      <c r="AS98" s="2">
        <f t="shared" si="64"/>
        <v>40</v>
      </c>
      <c r="AT98" s="2">
        <f t="shared" si="64"/>
        <v>41</v>
      </c>
      <c r="AU98" s="2">
        <f t="shared" si="64"/>
        <v>42</v>
      </c>
      <c r="AV98" s="2">
        <f t="shared" si="64"/>
        <v>43</v>
      </c>
      <c r="AW98" s="2">
        <f t="shared" si="64"/>
        <v>44</v>
      </c>
      <c r="AX98" s="2">
        <f t="shared" si="64"/>
        <v>45</v>
      </c>
      <c r="AY98" s="2">
        <f t="shared" si="64"/>
        <v>46</v>
      </c>
      <c r="AZ98" s="2">
        <f t="shared" si="64"/>
        <v>47</v>
      </c>
      <c r="BA98" s="2">
        <f t="shared" si="64"/>
        <v>48</v>
      </c>
      <c r="BB98" s="11">
        <f t="shared" si="64"/>
        <v>0</v>
      </c>
      <c r="BC98" s="177">
        <f t="shared" si="64"/>
        <v>0</v>
      </c>
      <c r="BD98" s="28"/>
      <c r="BF98" s="20"/>
      <c r="BJ98" s="4"/>
      <c r="CJ98" t="s">
        <v>303</v>
      </c>
      <c r="CK98" s="312">
        <f>SUM(CL98:CM98)</f>
        <v>47</v>
      </c>
      <c r="CL98" s="396">
        <f>CL8</f>
        <v>25</v>
      </c>
      <c r="CM98" s="396">
        <f>CM8</f>
        <v>22</v>
      </c>
      <c r="CN98" s="396" t="e">
        <f>CN8</f>
        <v>#N/A</v>
      </c>
      <c r="CO98" s="396" t="e">
        <f>CO8</f>
        <v>#N/A</v>
      </c>
      <c r="CP98" s="396" t="e">
        <f>CP8</f>
        <v>#N/A</v>
      </c>
      <c r="CQ98" s="118"/>
      <c r="CR98" s="167"/>
      <c r="CT98" s="161">
        <f>CK98</f>
        <v>47</v>
      </c>
      <c r="CV98" s="4" t="s">
        <v>719</v>
      </c>
      <c r="DG98" s="4">
        <f>SUM(CV98:DE98)</f>
        <v>0</v>
      </c>
    </row>
    <row r="99" spans="1:111" outlineLevel="1">
      <c r="B99" t="s">
        <v>61</v>
      </c>
      <c r="C99" s="2" t="s">
        <v>328</v>
      </c>
      <c r="D99" s="6">
        <v>0</v>
      </c>
      <c r="E99" s="6">
        <f t="shared" ref="E99:T104" si="65">SUMIF($B$72:$B$89,$C99,E$72:E$89)</f>
        <v>5</v>
      </c>
      <c r="F99" s="6">
        <f t="shared" si="65"/>
        <v>0</v>
      </c>
      <c r="G99" s="6">
        <f t="shared" si="65"/>
        <v>41.956087824351293</v>
      </c>
      <c r="H99" s="6">
        <f t="shared" ca="1" si="65"/>
        <v>17.964071856287426</v>
      </c>
      <c r="I99" s="6">
        <f t="shared" ca="1" si="65"/>
        <v>29.141716566866268</v>
      </c>
      <c r="J99" s="6">
        <f t="shared" ca="1" si="65"/>
        <v>27.145708582834327</v>
      </c>
      <c r="K99" s="6">
        <f t="shared" ca="1" si="65"/>
        <v>24.750499001996008</v>
      </c>
      <c r="L99" s="6">
        <f t="shared" ca="1" si="65"/>
        <v>19.161676646706589</v>
      </c>
      <c r="M99" s="6">
        <f t="shared" ca="1" si="65"/>
        <v>26.147704590818361</v>
      </c>
      <c r="N99" s="6">
        <f t="shared" si="65"/>
        <v>8.5828343313373257</v>
      </c>
      <c r="O99" s="6">
        <f t="shared" si="65"/>
        <v>19.481037924151696</v>
      </c>
      <c r="P99" s="6">
        <f t="shared" si="65"/>
        <v>23.233532934131738</v>
      </c>
      <c r="Q99" s="6">
        <f t="shared" si="65"/>
        <v>14.37125748502994</v>
      </c>
      <c r="R99" s="6">
        <f t="shared" si="65"/>
        <v>21.956087824351297</v>
      </c>
      <c r="S99" s="6">
        <f t="shared" si="65"/>
        <v>37.125748502994014</v>
      </c>
      <c r="T99" s="6">
        <f t="shared" si="65"/>
        <v>29.540918163672657</v>
      </c>
      <c r="U99" s="6">
        <f t="shared" ref="U99:AJ104" si="66">SUMIF($B$72:$B$89,$C99,U$72:U$89)</f>
        <v>7.1856287425149699</v>
      </c>
      <c r="V99" s="6">
        <f t="shared" si="66"/>
        <v>19.76047904191617</v>
      </c>
      <c r="W99" s="6">
        <f t="shared" si="66"/>
        <v>28.143712574850298</v>
      </c>
      <c r="X99" s="6">
        <f t="shared" si="66"/>
        <v>18.415841584158418</v>
      </c>
      <c r="Y99" s="6">
        <f t="shared" si="66"/>
        <v>16.237623762376238</v>
      </c>
      <c r="Z99" s="6">
        <f t="shared" si="66"/>
        <v>21.980198019801978</v>
      </c>
      <c r="AA99" s="6">
        <f t="shared" si="66"/>
        <v>18.415841584158418</v>
      </c>
      <c r="AB99" s="6">
        <f t="shared" si="66"/>
        <v>20.792079207920793</v>
      </c>
      <c r="AC99" s="6">
        <f t="shared" si="66"/>
        <v>17.623762376237625</v>
      </c>
      <c r="AD99" s="6">
        <f t="shared" si="66"/>
        <v>18.811881188118811</v>
      </c>
      <c r="AE99" s="6">
        <f t="shared" si="66"/>
        <v>39.999999999999993</v>
      </c>
      <c r="AF99" s="6">
        <f t="shared" si="66"/>
        <v>31.683168316831686</v>
      </c>
      <c r="AG99" s="6">
        <f t="shared" si="66"/>
        <v>19.326732673267326</v>
      </c>
      <c r="AH99" s="6">
        <f t="shared" si="66"/>
        <v>8.5148514851485153</v>
      </c>
      <c r="AI99" s="6">
        <f t="shared" si="66"/>
        <v>22.178217821782177</v>
      </c>
      <c r="AJ99" s="6">
        <f t="shared" si="66"/>
        <v>28.316831683168317</v>
      </c>
      <c r="AK99" s="6">
        <f t="shared" ref="AK99:AZ104" si="67">SUMIF($B$72:$B$89,$C99,AK$72:AK$89)</f>
        <v>35.049504950495049</v>
      </c>
      <c r="AL99" s="6">
        <f t="shared" si="67"/>
        <v>38.811881188118818</v>
      </c>
      <c r="AM99" s="6">
        <f t="shared" si="67"/>
        <v>8.59375</v>
      </c>
      <c r="AN99" s="6">
        <f t="shared" si="67"/>
        <v>17.3828125</v>
      </c>
      <c r="AO99" s="6">
        <f t="shared" si="67"/>
        <v>50.2734375</v>
      </c>
      <c r="AP99" s="6">
        <f t="shared" si="67"/>
        <v>28.515625</v>
      </c>
      <c r="AQ99" s="6">
        <f t="shared" si="67"/>
        <v>31.25</v>
      </c>
      <c r="AR99" s="6">
        <f t="shared" si="67"/>
        <v>29.1015625</v>
      </c>
      <c r="AS99" s="6">
        <f t="shared" si="67"/>
        <v>28.125</v>
      </c>
      <c r="AT99" s="6">
        <f t="shared" si="67"/>
        <v>32.6953125</v>
      </c>
      <c r="AU99" s="6">
        <f t="shared" si="67"/>
        <v>86.1328125</v>
      </c>
      <c r="AV99" s="6">
        <f t="shared" si="67"/>
        <v>8.203125</v>
      </c>
      <c r="AW99" s="6">
        <f t="shared" si="67"/>
        <v>28.515625</v>
      </c>
      <c r="AX99" s="6">
        <f t="shared" si="67"/>
        <v>33.7890625</v>
      </c>
      <c r="AY99" s="6">
        <f t="shared" si="67"/>
        <v>30.2734375</v>
      </c>
      <c r="AZ99" s="6">
        <f t="shared" si="67"/>
        <v>38.0859375</v>
      </c>
      <c r="BA99" s="6">
        <f t="shared" ref="BA99:BA104" si="68">SUMIF($B$72:$B$89,$C99,BA$72:BA$89)</f>
        <v>0</v>
      </c>
      <c r="BB99" s="198">
        <f t="shared" ref="BB99:BC102" si="69">SUMIF($B$72:$B$87,$C99,BB$72:BB$87)</f>
        <v>0</v>
      </c>
      <c r="BC99" s="63">
        <f t="shared" si="69"/>
        <v>0</v>
      </c>
      <c r="BD99" s="28">
        <f ca="1">SUM($E99:BA99)</f>
        <v>1207.7446184363946</v>
      </c>
      <c r="BF99" s="20"/>
      <c r="BJ99" s="4"/>
      <c r="CJ99" t="s">
        <v>328</v>
      </c>
      <c r="CK99" s="6">
        <f ca="1">SUM((INDIRECT(CK$9&amp;ROW()):(INDIRECT(CK$10&amp;ROW()))))</f>
        <v>5</v>
      </c>
      <c r="CL99" s="6">
        <f ca="1">SUM((INDIRECT(CL$9&amp;ROW()):(INDIRECT(CL$10&amp;ROW()))))</f>
        <v>527.92593031758258</v>
      </c>
      <c r="CM99" s="6">
        <f ca="1">SUM((INDIRECT(CM$9&amp;ROW()):(INDIRECT(CM$10&amp;ROW()))))</f>
        <v>674.81868811881191</v>
      </c>
      <c r="CN99" s="6" t="e">
        <f ca="1">SUM((INDIRECT(CN$9&amp;ROW()):(INDIRECT(CN$10&amp;ROW()))))</f>
        <v>#N/A</v>
      </c>
      <c r="CO99" s="6" t="e">
        <f ca="1">SUM((INDIRECT(CO$9&amp;ROW()):(INDIRECT(CO$10&amp;ROW()))))</f>
        <v>#N/A</v>
      </c>
      <c r="CP99" s="6" t="e">
        <f ca="1">SUM((INDIRECT(CP$9&amp;ROW()):(INDIRECT(CP$10&amp;ROW()))))</f>
        <v>#N/A</v>
      </c>
      <c r="CQ99" s="6" t="e">
        <f ca="1">SUM((INDIRECT(CQ$9&amp;ROW()):(INDIRECT(CQ$10&amp;ROW()))))</f>
        <v>#REF!</v>
      </c>
      <c r="CR99" s="6" t="e">
        <f ca="1">SUM((INDIRECT(CR$9&amp;ROW()):(INDIRECT(CR$10&amp;ROW()))))</f>
        <v>#REF!</v>
      </c>
      <c r="CT99" s="6">
        <f ca="1">SUM((INDIRECT(CT$9&amp;ROW()):(INDIRECT(CT$10&amp;ROW()))))</f>
        <v>1202.7446184363944</v>
      </c>
      <c r="CU99" s="6">
        <f ca="1">CT99/$CT$98</f>
        <v>25.590311030561583</v>
      </c>
      <c r="CV99" s="2">
        <v>26</v>
      </c>
      <c r="CW99" s="6">
        <f ca="1">CV99-CU99</f>
        <v>0.40968896943841671</v>
      </c>
    </row>
    <row r="100" spans="1:111" outlineLevel="1">
      <c r="B100" t="s">
        <v>61</v>
      </c>
      <c r="C100" s="2" t="s">
        <v>559</v>
      </c>
      <c r="D100" s="6">
        <v>0</v>
      </c>
      <c r="E100" s="6">
        <f t="shared" si="65"/>
        <v>0</v>
      </c>
      <c r="F100" s="6">
        <f t="shared" si="65"/>
        <v>18.163672654690618</v>
      </c>
      <c r="G100" s="6">
        <f t="shared" si="65"/>
        <v>39.012297984675811</v>
      </c>
      <c r="H100" s="6">
        <f t="shared" ca="1" si="65"/>
        <v>21.447427725194771</v>
      </c>
      <c r="I100" s="6">
        <f t="shared" ca="1" si="65"/>
        <v>22.445431717210738</v>
      </c>
      <c r="J100" s="6">
        <f t="shared" ca="1" si="65"/>
        <v>19.65102053956603</v>
      </c>
      <c r="K100" s="6">
        <f t="shared" ca="1" si="65"/>
        <v>19.451419741162834</v>
      </c>
      <c r="L100" s="6">
        <f t="shared" ca="1" si="65"/>
        <v>18.562874251497007</v>
      </c>
      <c r="M100" s="6">
        <f t="shared" ca="1" si="65"/>
        <v>18.163672654690618</v>
      </c>
      <c r="N100" s="6">
        <f t="shared" si="65"/>
        <v>18.163672654690618</v>
      </c>
      <c r="O100" s="6">
        <f t="shared" si="65"/>
        <v>18.163672654690618</v>
      </c>
      <c r="P100" s="6">
        <f t="shared" si="65"/>
        <v>18.163672654690618</v>
      </c>
      <c r="Q100" s="6">
        <f t="shared" si="65"/>
        <v>18.562874251497007</v>
      </c>
      <c r="R100" s="6">
        <f t="shared" si="65"/>
        <v>18.163672654690618</v>
      </c>
      <c r="S100" s="6">
        <f t="shared" si="65"/>
        <v>18.163672654690618</v>
      </c>
      <c r="T100" s="6">
        <f t="shared" si="65"/>
        <v>18.163672654690618</v>
      </c>
      <c r="U100" s="6">
        <f t="shared" si="66"/>
        <v>24.550898203592816</v>
      </c>
      <c r="V100" s="6">
        <f t="shared" si="66"/>
        <v>18.163672654690618</v>
      </c>
      <c r="W100" s="6">
        <f t="shared" si="66"/>
        <v>18.163672654690618</v>
      </c>
      <c r="X100" s="6">
        <f t="shared" si="66"/>
        <v>18.019801980198018</v>
      </c>
      <c r="Y100" s="6">
        <f t="shared" si="66"/>
        <v>25.940594059405939</v>
      </c>
      <c r="Z100" s="6">
        <f t="shared" si="66"/>
        <v>21.980198019801978</v>
      </c>
      <c r="AA100" s="6">
        <f t="shared" si="66"/>
        <v>21.188118811881186</v>
      </c>
      <c r="AB100" s="6">
        <f t="shared" si="66"/>
        <v>18.019801980198018</v>
      </c>
      <c r="AC100" s="6">
        <f t="shared" si="66"/>
        <v>21.980198019801978</v>
      </c>
      <c r="AD100" s="6">
        <f t="shared" si="66"/>
        <v>18.019801980198018</v>
      </c>
      <c r="AE100" s="6">
        <f t="shared" si="66"/>
        <v>18.019801980198018</v>
      </c>
      <c r="AF100" s="6">
        <f t="shared" si="66"/>
        <v>22.376237623762375</v>
      </c>
      <c r="AG100" s="6">
        <f t="shared" si="66"/>
        <v>18.019801980198018</v>
      </c>
      <c r="AH100" s="6">
        <f t="shared" si="66"/>
        <v>20.990099009900987</v>
      </c>
      <c r="AI100" s="6">
        <f t="shared" si="66"/>
        <v>18.019801980198018</v>
      </c>
      <c r="AJ100" s="6">
        <f t="shared" si="66"/>
        <v>17.821782178217823</v>
      </c>
      <c r="AK100" s="6">
        <f t="shared" si="67"/>
        <v>14.059405940594059</v>
      </c>
      <c r="AL100" s="6">
        <f t="shared" si="67"/>
        <v>14.059405940594059</v>
      </c>
      <c r="AM100" s="6">
        <f t="shared" si="67"/>
        <v>13.8671875</v>
      </c>
      <c r="AN100" s="6">
        <f t="shared" si="67"/>
        <v>16.6015625</v>
      </c>
      <c r="AO100" s="6">
        <f t="shared" si="67"/>
        <v>18.9453125</v>
      </c>
      <c r="AP100" s="6">
        <f t="shared" si="67"/>
        <v>19.3359375</v>
      </c>
      <c r="AQ100" s="6">
        <f t="shared" si="67"/>
        <v>13.8671875</v>
      </c>
      <c r="AR100" s="6">
        <f t="shared" si="67"/>
        <v>13.8671875</v>
      </c>
      <c r="AS100" s="6">
        <f t="shared" si="67"/>
        <v>16.2109375</v>
      </c>
      <c r="AT100" s="6">
        <f t="shared" si="67"/>
        <v>13.8671875</v>
      </c>
      <c r="AU100" s="6">
        <f t="shared" si="67"/>
        <v>17.7734375</v>
      </c>
      <c r="AV100" s="6">
        <f t="shared" si="67"/>
        <v>26.7578125</v>
      </c>
      <c r="AW100" s="6">
        <f t="shared" si="67"/>
        <v>13.8671875</v>
      </c>
      <c r="AX100" s="6">
        <f t="shared" si="67"/>
        <v>16.6015625</v>
      </c>
      <c r="AY100" s="6">
        <f t="shared" si="67"/>
        <v>15.0390625</v>
      </c>
      <c r="AZ100" s="6">
        <f t="shared" si="67"/>
        <v>66.6015625</v>
      </c>
      <c r="BA100" s="6">
        <f t="shared" si="68"/>
        <v>0</v>
      </c>
      <c r="BB100" s="198">
        <f t="shared" si="69"/>
        <v>0</v>
      </c>
      <c r="BC100" s="63">
        <f t="shared" si="69"/>
        <v>0</v>
      </c>
      <c r="BD100" s="28">
        <f ca="1">SUM($E100:BA100)</f>
        <v>937.03894744645174</v>
      </c>
      <c r="BF100" s="20"/>
      <c r="BJ100" s="4"/>
      <c r="CJ100" t="s">
        <v>631</v>
      </c>
      <c r="CK100" s="6">
        <f ca="1">SUM((INDIRECT(CK$9&amp;ROW()):(INDIRECT(CK$10&amp;ROW()))))+SUM((INDIRECT(CK$9&amp;ROW()+1):(INDIRECT(CK$10&amp;ROW()+1))))</f>
        <v>0</v>
      </c>
      <c r="CL100" s="6">
        <f ca="1">SUM((INDIRECT(CL$9&amp;ROW()):(INDIRECT(CL$10&amp;ROW()))))+SUM((INDIRECT(CL$9&amp;ROW()+1):(INDIRECT(CL$10&amp;ROW()+1))))</f>
        <v>632.89315332924059</v>
      </c>
      <c r="CM100" s="6">
        <f ca="1">SUM((INDIRECT(CM$9&amp;ROW()):(INDIRECT(CM$10&amp;ROW()))))+SUM((INDIRECT(CM$9&amp;ROW()+1):(INDIRECT(CM$10&amp;ROW()+1))))</f>
        <v>822.97571163366331</v>
      </c>
      <c r="CN100" s="6" t="e">
        <f ca="1">SUM((INDIRECT(CN$9&amp;ROW()):(INDIRECT(CN$10&amp;ROW()))))+SUM((INDIRECT(CN$9&amp;ROW()+1):(INDIRECT(CN$10&amp;ROW()+1))))</f>
        <v>#N/A</v>
      </c>
      <c r="CO100" s="6" t="e">
        <f ca="1">SUM((INDIRECT(CO$9&amp;ROW()):(INDIRECT(CO$10&amp;ROW()))))+SUM((INDIRECT(CO$9&amp;ROW()+1):(INDIRECT(CO$10&amp;ROW()+1))))</f>
        <v>#N/A</v>
      </c>
      <c r="CP100" s="6" t="e">
        <f ca="1">SUM((INDIRECT(CP$9&amp;ROW()):(INDIRECT(CP$10&amp;ROW()))))+SUM((INDIRECT(CP$9&amp;ROW()+1):(INDIRECT(CP$10&amp;ROW()+1))))</f>
        <v>#N/A</v>
      </c>
      <c r="CQ100" s="6" t="e">
        <f ca="1">SUM((INDIRECT(CQ$9&amp;ROW()):(INDIRECT(CQ$10&amp;ROW()))))</f>
        <v>#REF!</v>
      </c>
      <c r="CR100" s="6" t="e">
        <f ca="1">SUM((INDIRECT(CR$9&amp;ROW()):(INDIRECT(CR$10&amp;ROW()))))</f>
        <v>#REF!</v>
      </c>
      <c r="CT100" s="6">
        <f ca="1">SUM((INDIRECT(CT$9&amp;ROW()):(INDIRECT(CT$10&amp;ROW()))))</f>
        <v>937.03894744645174</v>
      </c>
      <c r="CU100" s="6">
        <f ca="1">CT100/$CT$98</f>
        <v>19.936998881839397</v>
      </c>
      <c r="CV100" s="2">
        <v>30</v>
      </c>
      <c r="CW100" s="6">
        <f t="shared" ref="CW100:CW101" ca="1" si="70">CV100-CU100</f>
        <v>10.063001118160603</v>
      </c>
    </row>
    <row r="101" spans="1:111" outlineLevel="1">
      <c r="B101" t="s">
        <v>61</v>
      </c>
      <c r="C101" s="2" t="s">
        <v>23</v>
      </c>
      <c r="D101" s="6">
        <v>0</v>
      </c>
      <c r="E101" s="6">
        <f t="shared" si="65"/>
        <v>0</v>
      </c>
      <c r="F101" s="6">
        <f t="shared" si="65"/>
        <v>0</v>
      </c>
      <c r="G101" s="6">
        <f t="shared" si="65"/>
        <v>0</v>
      </c>
      <c r="H101" s="6">
        <f t="shared" ca="1" si="65"/>
        <v>0</v>
      </c>
      <c r="I101" s="6">
        <f t="shared" ca="1" si="65"/>
        <v>0</v>
      </c>
      <c r="J101" s="6">
        <f t="shared" ca="1" si="65"/>
        <v>0</v>
      </c>
      <c r="K101" s="6">
        <f t="shared" ca="1" si="65"/>
        <v>0</v>
      </c>
      <c r="L101" s="6">
        <f t="shared" ca="1" si="65"/>
        <v>0</v>
      </c>
      <c r="M101" s="6">
        <f t="shared" ca="1" si="65"/>
        <v>0</v>
      </c>
      <c r="N101" s="6">
        <f t="shared" si="65"/>
        <v>5.9880239520958085</v>
      </c>
      <c r="O101" s="6">
        <f t="shared" si="65"/>
        <v>0</v>
      </c>
      <c r="P101" s="6">
        <f t="shared" si="65"/>
        <v>0</v>
      </c>
      <c r="Q101" s="6">
        <f t="shared" si="65"/>
        <v>0</v>
      </c>
      <c r="R101" s="6">
        <f t="shared" si="65"/>
        <v>0</v>
      </c>
      <c r="S101" s="6">
        <f t="shared" si="65"/>
        <v>0</v>
      </c>
      <c r="T101" s="6">
        <f t="shared" si="65"/>
        <v>0</v>
      </c>
      <c r="U101" s="6">
        <f t="shared" si="66"/>
        <v>0</v>
      </c>
      <c r="V101" s="6">
        <f t="shared" si="66"/>
        <v>0</v>
      </c>
      <c r="W101" s="6">
        <f t="shared" si="66"/>
        <v>0</v>
      </c>
      <c r="X101" s="6">
        <f t="shared" si="66"/>
        <v>0</v>
      </c>
      <c r="Y101" s="6">
        <f t="shared" si="66"/>
        <v>83.168316831683171</v>
      </c>
      <c r="Z101" s="6">
        <f t="shared" si="66"/>
        <v>0</v>
      </c>
      <c r="AA101" s="6">
        <f t="shared" si="66"/>
        <v>0</v>
      </c>
      <c r="AB101" s="6">
        <f t="shared" si="66"/>
        <v>0</v>
      </c>
      <c r="AC101" s="6">
        <f t="shared" si="66"/>
        <v>33.267326732673268</v>
      </c>
      <c r="AD101" s="6">
        <f t="shared" si="66"/>
        <v>0</v>
      </c>
      <c r="AE101" s="6">
        <f t="shared" si="66"/>
        <v>0</v>
      </c>
      <c r="AF101" s="6">
        <f t="shared" si="66"/>
        <v>0</v>
      </c>
      <c r="AG101" s="6">
        <f t="shared" si="66"/>
        <v>0</v>
      </c>
      <c r="AH101" s="6">
        <f t="shared" si="66"/>
        <v>0</v>
      </c>
      <c r="AI101" s="6">
        <f t="shared" si="66"/>
        <v>0</v>
      </c>
      <c r="AJ101" s="6">
        <f t="shared" si="66"/>
        <v>0</v>
      </c>
      <c r="AK101" s="6">
        <f t="shared" si="67"/>
        <v>0</v>
      </c>
      <c r="AL101" s="6">
        <f t="shared" si="67"/>
        <v>0</v>
      </c>
      <c r="AM101" s="6">
        <f t="shared" si="67"/>
        <v>0</v>
      </c>
      <c r="AN101" s="6">
        <f t="shared" si="67"/>
        <v>0</v>
      </c>
      <c r="AO101" s="6">
        <f t="shared" si="67"/>
        <v>64.0625</v>
      </c>
      <c r="AP101" s="6">
        <f t="shared" si="67"/>
        <v>144.84375</v>
      </c>
      <c r="AQ101" s="6">
        <f t="shared" si="67"/>
        <v>0</v>
      </c>
      <c r="AR101" s="6">
        <f t="shared" si="67"/>
        <v>0</v>
      </c>
      <c r="AS101" s="6">
        <f t="shared" si="67"/>
        <v>0</v>
      </c>
      <c r="AT101" s="6">
        <f t="shared" si="67"/>
        <v>23.4375</v>
      </c>
      <c r="AU101" s="6">
        <f t="shared" si="67"/>
        <v>0</v>
      </c>
      <c r="AV101" s="6">
        <f t="shared" si="67"/>
        <v>0</v>
      </c>
      <c r="AW101" s="6">
        <f t="shared" si="67"/>
        <v>7.8125</v>
      </c>
      <c r="AX101" s="6">
        <f t="shared" si="67"/>
        <v>0</v>
      </c>
      <c r="AY101" s="6">
        <f t="shared" si="67"/>
        <v>0</v>
      </c>
      <c r="AZ101" s="6">
        <f t="shared" si="67"/>
        <v>156.25</v>
      </c>
      <c r="BA101" s="6">
        <f t="shared" si="68"/>
        <v>0</v>
      </c>
      <c r="BB101" s="198">
        <f t="shared" si="69"/>
        <v>0</v>
      </c>
      <c r="BC101" s="63">
        <f t="shared" si="69"/>
        <v>0</v>
      </c>
      <c r="BD101" s="28">
        <f ca="1">SUM($E101:BA101)</f>
        <v>518.82991751645227</v>
      </c>
      <c r="BE101" s="154"/>
      <c r="BF101" s="157"/>
      <c r="BJ101" s="4"/>
      <c r="CJ101" s="327" t="s">
        <v>862</v>
      </c>
      <c r="CK101" s="113">
        <f ca="1">SUM((INDIRECT(CK$9&amp;ROW()+1):(INDIRECT(CK$10&amp;ROW()+1))))</f>
        <v>1302</v>
      </c>
      <c r="CL101" s="6">
        <f ca="1">SUM((INDIRECT(CL$9&amp;ROW()+1):(INDIRECT(CL$10&amp;ROW()+1))))</f>
        <v>57.536412323867118</v>
      </c>
      <c r="CM101" s="6">
        <f ca="1">SUM((INDIRECT(CM$9&amp;ROW()+1):(INDIRECT(CM$10&amp;ROW()+1))))</f>
        <v>43.75</v>
      </c>
      <c r="CN101" s="6" t="e">
        <f ca="1">SUM((INDIRECT(CN$9&amp;ROW()+1):(INDIRECT(CN$10&amp;ROW()+1))))</f>
        <v>#N/A</v>
      </c>
      <c r="CO101" s="6" t="e">
        <f ca="1">SUM((INDIRECT(CO$9&amp;ROW()+1):(INDIRECT(CO$10&amp;ROW()+1))))</f>
        <v>#N/A</v>
      </c>
      <c r="CP101" s="6" t="e">
        <f ca="1">SUM((INDIRECT(CP$9&amp;ROW()+1):(INDIRECT(CP$10&amp;ROW()+1))))</f>
        <v>#N/A</v>
      </c>
      <c r="CQ101" s="6" t="e">
        <f ca="1">SUM((INDIRECT(CQ$9&amp;ROW()):(INDIRECT(CQ$10&amp;ROW()))))</f>
        <v>#REF!</v>
      </c>
      <c r="CR101" s="6" t="e">
        <f ca="1">SUM((INDIRECT(CR$9&amp;ROW()):(INDIRECT(CR$10&amp;ROW()))))</f>
        <v>#REF!</v>
      </c>
      <c r="CT101" s="6">
        <f ca="1">SUM((INDIRECT(CT$9&amp;ROW()):(INDIRECT(CT$10&amp;ROW()))))</f>
        <v>518.82991751645227</v>
      </c>
      <c r="CU101" s="6">
        <f ca="1">CT101/$CT$98</f>
        <v>11.038934415243665</v>
      </c>
      <c r="CV101" s="2">
        <v>9</v>
      </c>
      <c r="CW101" s="6">
        <f t="shared" ca="1" si="70"/>
        <v>-2.0389344152436646</v>
      </c>
      <c r="CX101" t="s">
        <v>720</v>
      </c>
    </row>
    <row r="102" spans="1:111" outlineLevel="1">
      <c r="B102" t="s">
        <v>61</v>
      </c>
      <c r="C102" s="2" t="s">
        <v>25</v>
      </c>
      <c r="D102" s="6">
        <v>0</v>
      </c>
      <c r="E102" s="6">
        <f t="shared" si="65"/>
        <v>1302</v>
      </c>
      <c r="F102" s="6">
        <f t="shared" si="65"/>
        <v>0</v>
      </c>
      <c r="G102" s="6">
        <f t="shared" si="65"/>
        <v>13.972055888223553</v>
      </c>
      <c r="H102" s="6">
        <f t="shared" ca="1" si="65"/>
        <v>0</v>
      </c>
      <c r="I102" s="6">
        <f t="shared" ca="1" si="65"/>
        <v>0</v>
      </c>
      <c r="J102" s="6">
        <f t="shared" ca="1" si="65"/>
        <v>0</v>
      </c>
      <c r="K102" s="6">
        <f t="shared" ca="1" si="65"/>
        <v>0</v>
      </c>
      <c r="L102" s="6">
        <f t="shared" ca="1" si="65"/>
        <v>0</v>
      </c>
      <c r="M102" s="6">
        <f t="shared" ca="1" si="65"/>
        <v>0</v>
      </c>
      <c r="N102" s="6">
        <f t="shared" si="65"/>
        <v>0</v>
      </c>
      <c r="O102" s="6">
        <f t="shared" si="65"/>
        <v>0</v>
      </c>
      <c r="P102" s="6">
        <f t="shared" si="65"/>
        <v>0</v>
      </c>
      <c r="Q102" s="6">
        <f t="shared" si="65"/>
        <v>0</v>
      </c>
      <c r="R102" s="6">
        <f t="shared" si="65"/>
        <v>0</v>
      </c>
      <c r="S102" s="6">
        <f t="shared" si="65"/>
        <v>0</v>
      </c>
      <c r="T102" s="6">
        <f t="shared" si="65"/>
        <v>0</v>
      </c>
      <c r="U102" s="6">
        <f t="shared" si="66"/>
        <v>0</v>
      </c>
      <c r="V102" s="6">
        <f t="shared" si="66"/>
        <v>0</v>
      </c>
      <c r="W102" s="6">
        <f t="shared" si="66"/>
        <v>0</v>
      </c>
      <c r="X102" s="6">
        <f t="shared" si="66"/>
        <v>0</v>
      </c>
      <c r="Y102" s="6">
        <f t="shared" si="66"/>
        <v>0</v>
      </c>
      <c r="Z102" s="6">
        <f t="shared" si="66"/>
        <v>0</v>
      </c>
      <c r="AA102" s="6">
        <f t="shared" si="66"/>
        <v>0</v>
      </c>
      <c r="AB102" s="6">
        <f t="shared" si="66"/>
        <v>0</v>
      </c>
      <c r="AC102" s="6">
        <f t="shared" si="66"/>
        <v>43.564356435643568</v>
      </c>
      <c r="AD102" s="6">
        <f t="shared" si="66"/>
        <v>0</v>
      </c>
      <c r="AE102" s="6">
        <f t="shared" si="66"/>
        <v>0</v>
      </c>
      <c r="AF102" s="6">
        <f t="shared" si="66"/>
        <v>0</v>
      </c>
      <c r="AG102" s="6">
        <f t="shared" si="66"/>
        <v>0</v>
      </c>
      <c r="AH102" s="6">
        <f t="shared" si="66"/>
        <v>0</v>
      </c>
      <c r="AI102" s="6">
        <f t="shared" si="66"/>
        <v>0</v>
      </c>
      <c r="AJ102" s="6">
        <f t="shared" si="66"/>
        <v>0</v>
      </c>
      <c r="AK102" s="6">
        <f t="shared" si="67"/>
        <v>0</v>
      </c>
      <c r="AL102" s="6">
        <f t="shared" si="67"/>
        <v>0</v>
      </c>
      <c r="AM102" s="6">
        <f t="shared" si="67"/>
        <v>0</v>
      </c>
      <c r="AN102" s="6">
        <f t="shared" si="67"/>
        <v>0</v>
      </c>
      <c r="AO102" s="6">
        <f t="shared" si="67"/>
        <v>21.875</v>
      </c>
      <c r="AP102" s="6">
        <f t="shared" si="67"/>
        <v>21.875</v>
      </c>
      <c r="AQ102" s="6">
        <f t="shared" si="67"/>
        <v>0</v>
      </c>
      <c r="AR102" s="6">
        <f t="shared" si="67"/>
        <v>0</v>
      </c>
      <c r="AS102" s="6">
        <f t="shared" si="67"/>
        <v>0</v>
      </c>
      <c r="AT102" s="6">
        <f t="shared" si="67"/>
        <v>0</v>
      </c>
      <c r="AU102" s="6">
        <f t="shared" si="67"/>
        <v>0</v>
      </c>
      <c r="AV102" s="6">
        <f t="shared" si="67"/>
        <v>0</v>
      </c>
      <c r="AW102" s="6">
        <f t="shared" si="67"/>
        <v>0</v>
      </c>
      <c r="AX102" s="6">
        <f t="shared" si="67"/>
        <v>0</v>
      </c>
      <c r="AY102" s="6">
        <f t="shared" si="67"/>
        <v>0</v>
      </c>
      <c r="AZ102" s="6">
        <f t="shared" si="67"/>
        <v>0</v>
      </c>
      <c r="BA102" s="6">
        <f t="shared" si="68"/>
        <v>0</v>
      </c>
      <c r="BB102" s="198">
        <f t="shared" si="69"/>
        <v>0</v>
      </c>
      <c r="BC102" s="63">
        <f t="shared" si="69"/>
        <v>0</v>
      </c>
      <c r="BD102" s="28">
        <f ca="1">SUM($E102:BA102)</f>
        <v>1403.2864123238671</v>
      </c>
      <c r="BE102" s="154"/>
      <c r="BF102" s="155"/>
      <c r="BJ102" s="4"/>
      <c r="CJ102" s="176" t="s">
        <v>304</v>
      </c>
      <c r="CK102" s="176">
        <f t="shared" ref="CK102:CQ102" ca="1" si="71">SUM(CK99:CK101)/CK$98</f>
        <v>27.808510638297872</v>
      </c>
      <c r="CL102" s="176">
        <f t="shared" ca="1" si="71"/>
        <v>48.734219838827613</v>
      </c>
      <c r="CM102" s="176">
        <f t="shared" ca="1" si="71"/>
        <v>70.070199988748882</v>
      </c>
      <c r="CN102" s="176" t="e">
        <f t="shared" ca="1" si="71"/>
        <v>#N/A</v>
      </c>
      <c r="CO102" s="176" t="e">
        <f t="shared" ca="1" si="71"/>
        <v>#N/A</v>
      </c>
      <c r="CP102" s="176" t="e">
        <f t="shared" ca="1" si="71"/>
        <v>#N/A</v>
      </c>
      <c r="CQ102" s="176" t="e">
        <f t="shared" ca="1" si="71"/>
        <v>#REF!</v>
      </c>
      <c r="CR102" s="176" t="e">
        <f ca="1">SUM(CR99:CR101)/CR$98</f>
        <v>#REF!</v>
      </c>
      <c r="CT102" s="230">
        <f ca="1">SUM(CT99:CT101)/CT$98</f>
        <v>56.566244327644647</v>
      </c>
      <c r="CU102" s="231">
        <f ca="1">SUM(CU99:CU101)</f>
        <v>56.566244327644647</v>
      </c>
      <c r="CV102" s="4">
        <f>SUM(CV99:CV101)</f>
        <v>65</v>
      </c>
      <c r="CW102" s="6">
        <f ca="1">CV102-CU102</f>
        <v>8.4337556723553533</v>
      </c>
    </row>
    <row r="103" spans="1:111" outlineLevel="1">
      <c r="B103" t="s">
        <v>24</v>
      </c>
      <c r="C103" s="2" t="s">
        <v>24</v>
      </c>
      <c r="D103" s="6"/>
      <c r="E103" s="6">
        <f t="shared" si="65"/>
        <v>358.34</v>
      </c>
      <c r="F103" s="6">
        <f t="shared" si="65"/>
        <v>0</v>
      </c>
      <c r="G103" s="6">
        <f t="shared" si="65"/>
        <v>70.658682634730539</v>
      </c>
      <c r="H103" s="6">
        <f t="shared" ca="1" si="65"/>
        <v>0</v>
      </c>
      <c r="I103" s="6">
        <f t="shared" ca="1" si="65"/>
        <v>0</v>
      </c>
      <c r="J103" s="6">
        <f t="shared" ca="1" si="65"/>
        <v>21.556886227544908</v>
      </c>
      <c r="K103" s="6">
        <f t="shared" ca="1" si="65"/>
        <v>11.976047904191617</v>
      </c>
      <c r="L103" s="6">
        <f t="shared" ca="1" si="65"/>
        <v>0</v>
      </c>
      <c r="M103" s="6">
        <f t="shared" ca="1" si="65"/>
        <v>59.880239520958085</v>
      </c>
      <c r="N103" s="6">
        <f t="shared" si="65"/>
        <v>0</v>
      </c>
      <c r="O103" s="6">
        <f t="shared" si="65"/>
        <v>0</v>
      </c>
      <c r="P103" s="6">
        <f t="shared" si="65"/>
        <v>0</v>
      </c>
      <c r="Q103" s="6">
        <f t="shared" si="65"/>
        <v>0</v>
      </c>
      <c r="R103" s="6">
        <f t="shared" si="65"/>
        <v>0</v>
      </c>
      <c r="S103" s="6">
        <f t="shared" si="65"/>
        <v>0</v>
      </c>
      <c r="T103" s="6">
        <f t="shared" si="65"/>
        <v>0</v>
      </c>
      <c r="U103" s="6">
        <f t="shared" si="66"/>
        <v>0</v>
      </c>
      <c r="V103" s="6">
        <f t="shared" si="66"/>
        <v>0</v>
      </c>
      <c r="W103" s="6">
        <f t="shared" si="66"/>
        <v>0</v>
      </c>
      <c r="X103" s="6">
        <f t="shared" si="66"/>
        <v>43.564356435643568</v>
      </c>
      <c r="Y103" s="6">
        <f t="shared" si="66"/>
        <v>99.009900990099013</v>
      </c>
      <c r="Z103" s="6">
        <f t="shared" si="66"/>
        <v>27.722772277227723</v>
      </c>
      <c r="AA103" s="6">
        <f t="shared" si="66"/>
        <v>0</v>
      </c>
      <c r="AB103" s="6">
        <f t="shared" si="66"/>
        <v>0</v>
      </c>
      <c r="AC103" s="6">
        <f t="shared" si="66"/>
        <v>0</v>
      </c>
      <c r="AD103" s="6">
        <f t="shared" si="66"/>
        <v>0</v>
      </c>
      <c r="AE103" s="6">
        <f t="shared" si="66"/>
        <v>0</v>
      </c>
      <c r="AF103" s="6">
        <f t="shared" si="66"/>
        <v>3.9603960396039604</v>
      </c>
      <c r="AG103" s="6">
        <f t="shared" si="66"/>
        <v>5.9405940594059405</v>
      </c>
      <c r="AH103" s="6">
        <f t="shared" si="66"/>
        <v>0</v>
      </c>
      <c r="AI103" s="6">
        <f t="shared" si="66"/>
        <v>0</v>
      </c>
      <c r="AJ103" s="6">
        <f t="shared" si="66"/>
        <v>0</v>
      </c>
      <c r="AK103" s="6">
        <f t="shared" si="67"/>
        <v>18.415841584158414</v>
      </c>
      <c r="AL103" s="6">
        <f t="shared" si="67"/>
        <v>0</v>
      </c>
      <c r="AM103" s="6">
        <f t="shared" si="67"/>
        <v>0</v>
      </c>
      <c r="AN103" s="6">
        <f t="shared" si="67"/>
        <v>0</v>
      </c>
      <c r="AO103" s="6">
        <f t="shared" si="67"/>
        <v>0</v>
      </c>
      <c r="AP103" s="6">
        <f t="shared" si="67"/>
        <v>0</v>
      </c>
      <c r="AQ103" s="6">
        <f t="shared" si="67"/>
        <v>46.875</v>
      </c>
      <c r="AR103" s="6">
        <f t="shared" si="67"/>
        <v>0</v>
      </c>
      <c r="AS103" s="6">
        <f t="shared" si="67"/>
        <v>5.859375</v>
      </c>
      <c r="AT103" s="6">
        <f t="shared" si="67"/>
        <v>0</v>
      </c>
      <c r="AU103" s="6">
        <f t="shared" si="67"/>
        <v>0</v>
      </c>
      <c r="AV103" s="6">
        <f t="shared" si="67"/>
        <v>-78.125</v>
      </c>
      <c r="AW103" s="6">
        <f t="shared" si="67"/>
        <v>14.84375</v>
      </c>
      <c r="AX103" s="6">
        <f t="shared" si="67"/>
        <v>58.59375</v>
      </c>
      <c r="AY103" s="6">
        <f t="shared" si="67"/>
        <v>27.34375</v>
      </c>
      <c r="AZ103" s="6">
        <f t="shared" si="67"/>
        <v>101.5625</v>
      </c>
      <c r="BA103" s="6">
        <f t="shared" si="68"/>
        <v>0</v>
      </c>
      <c r="BB103" s="198"/>
      <c r="BC103" s="63"/>
      <c r="BD103" s="28">
        <f ca="1">SUM($E103:BA103)</f>
        <v>897.97884267356392</v>
      </c>
      <c r="BE103" s="154"/>
      <c r="BF103" s="155"/>
      <c r="BJ103" s="4"/>
      <c r="CJ103" s="176"/>
      <c r="CK103" s="176"/>
      <c r="CL103" s="176"/>
      <c r="CM103" s="176"/>
      <c r="CN103" s="176"/>
      <c r="CO103" s="176"/>
      <c r="CP103" s="176"/>
      <c r="CQ103" s="176"/>
      <c r="CR103" s="176"/>
      <c r="CT103" s="230"/>
      <c r="CU103" s="231"/>
      <c r="CV103" s="2"/>
    </row>
    <row r="104" spans="1:111" outlineLevel="1">
      <c r="B104" t="s">
        <v>558</v>
      </c>
      <c r="C104" s="2" t="s">
        <v>558</v>
      </c>
      <c r="D104" s="6">
        <v>0</v>
      </c>
      <c r="E104" s="6">
        <f t="shared" si="65"/>
        <v>0</v>
      </c>
      <c r="F104" s="6">
        <f t="shared" si="65"/>
        <v>0</v>
      </c>
      <c r="G104" s="6">
        <f t="shared" si="65"/>
        <v>0</v>
      </c>
      <c r="H104" s="6">
        <f t="shared" ca="1" si="65"/>
        <v>0</v>
      </c>
      <c r="I104" s="6">
        <f t="shared" ca="1" si="65"/>
        <v>0</v>
      </c>
      <c r="J104" s="6">
        <f t="shared" ca="1" si="65"/>
        <v>0</v>
      </c>
      <c r="K104" s="6">
        <f t="shared" ca="1" si="65"/>
        <v>0</v>
      </c>
      <c r="L104" s="6">
        <f t="shared" ca="1" si="65"/>
        <v>0</v>
      </c>
      <c r="M104" s="6">
        <f t="shared" ca="1" si="65"/>
        <v>0</v>
      </c>
      <c r="N104" s="6">
        <f t="shared" si="65"/>
        <v>0</v>
      </c>
      <c r="O104" s="6">
        <f t="shared" si="65"/>
        <v>0</v>
      </c>
      <c r="P104" s="6">
        <f t="shared" si="65"/>
        <v>0</v>
      </c>
      <c r="Q104" s="6">
        <f t="shared" si="65"/>
        <v>0</v>
      </c>
      <c r="R104" s="6">
        <f t="shared" si="65"/>
        <v>0</v>
      </c>
      <c r="S104" s="6">
        <f t="shared" si="65"/>
        <v>0</v>
      </c>
      <c r="T104" s="6">
        <f t="shared" si="65"/>
        <v>0</v>
      </c>
      <c r="U104" s="6">
        <f t="shared" si="66"/>
        <v>0</v>
      </c>
      <c r="V104" s="6">
        <f t="shared" si="66"/>
        <v>0</v>
      </c>
      <c r="W104" s="6">
        <f t="shared" si="66"/>
        <v>0</v>
      </c>
      <c r="X104" s="6">
        <f t="shared" si="66"/>
        <v>0</v>
      </c>
      <c r="Y104" s="6">
        <f t="shared" si="66"/>
        <v>0</v>
      </c>
      <c r="Z104" s="6">
        <f t="shared" si="66"/>
        <v>0</v>
      </c>
      <c r="AA104" s="6">
        <f t="shared" si="66"/>
        <v>0</v>
      </c>
      <c r="AB104" s="6">
        <f t="shared" si="66"/>
        <v>0</v>
      </c>
      <c r="AC104" s="6">
        <f t="shared" si="66"/>
        <v>0</v>
      </c>
      <c r="AD104" s="6">
        <f t="shared" si="66"/>
        <v>0</v>
      </c>
      <c r="AE104" s="6">
        <f t="shared" si="66"/>
        <v>0</v>
      </c>
      <c r="AF104" s="6">
        <f t="shared" si="66"/>
        <v>0</v>
      </c>
      <c r="AG104" s="6">
        <f t="shared" si="66"/>
        <v>0</v>
      </c>
      <c r="AH104" s="6">
        <f t="shared" si="66"/>
        <v>0</v>
      </c>
      <c r="AI104" s="6">
        <f t="shared" si="66"/>
        <v>0</v>
      </c>
      <c r="AJ104" s="6">
        <f t="shared" si="66"/>
        <v>0</v>
      </c>
      <c r="AK104" s="6">
        <f t="shared" si="67"/>
        <v>0</v>
      </c>
      <c r="AL104" s="6">
        <f t="shared" si="67"/>
        <v>0</v>
      </c>
      <c r="AM104" s="6">
        <f t="shared" si="67"/>
        <v>0</v>
      </c>
      <c r="AN104" s="6">
        <f t="shared" si="67"/>
        <v>0</v>
      </c>
      <c r="AO104" s="6">
        <f t="shared" si="67"/>
        <v>0</v>
      </c>
      <c r="AP104" s="6">
        <f t="shared" si="67"/>
        <v>0</v>
      </c>
      <c r="AQ104" s="6">
        <f t="shared" si="67"/>
        <v>0</v>
      </c>
      <c r="AR104" s="6">
        <f t="shared" si="67"/>
        <v>0</v>
      </c>
      <c r="AS104" s="6">
        <f t="shared" si="67"/>
        <v>0</v>
      </c>
      <c r="AT104" s="6">
        <f t="shared" si="67"/>
        <v>0</v>
      </c>
      <c r="AU104" s="6">
        <f t="shared" si="67"/>
        <v>0</v>
      </c>
      <c r="AV104" s="6">
        <f t="shared" si="67"/>
        <v>0</v>
      </c>
      <c r="AW104" s="6">
        <f t="shared" si="67"/>
        <v>0</v>
      </c>
      <c r="AX104" s="6">
        <f t="shared" si="67"/>
        <v>0</v>
      </c>
      <c r="AY104" s="6">
        <f t="shared" si="67"/>
        <v>0</v>
      </c>
      <c r="AZ104" s="6">
        <f t="shared" si="67"/>
        <v>0</v>
      </c>
      <c r="BA104" s="6">
        <f t="shared" si="68"/>
        <v>0</v>
      </c>
      <c r="BB104" s="198">
        <f>SUMIF($B$72:$B$87,$C104,BB$72:BB$87)</f>
        <v>0</v>
      </c>
      <c r="BC104" s="63">
        <f>SUMIF($B$72:$B$87,$C104,BC$72:BC$87)</f>
        <v>0</v>
      </c>
      <c r="BD104" s="28">
        <f ca="1">SUM($E104:BA104)</f>
        <v>0</v>
      </c>
      <c r="BE104" s="154"/>
      <c r="BF104" s="155"/>
      <c r="BJ104" s="4"/>
      <c r="CJ104" t="s">
        <v>24</v>
      </c>
      <c r="CK104" s="6">
        <f ca="1">SUM((INDIRECT(CK$9&amp;ROW()):(INDIRECT(CK$10&amp;ROW()))))+SUM((INDIRECT(CK$9&amp;ROW()-1):(INDIRECT(CK$10&amp;ROW()-1))))</f>
        <v>358.34</v>
      </c>
      <c r="CL104" s="6">
        <f ca="1">SUM((INDIRECT(CL$9&amp;ROW()):(INDIRECT(CL$10&amp;ROW()))))+SUM((INDIRECT(CL$9&amp;ROW()-1):(INDIRECT(CL$10&amp;ROW()-1))))</f>
        <v>334.36888599039543</v>
      </c>
      <c r="CM104" s="6">
        <f ca="1">SUM((INDIRECT(CM$9&amp;ROW()):(INDIRECT(CM$10&amp;ROW()))))+SUM((INDIRECT(CM$9&amp;ROW()-1):(INDIRECT(CM$10&amp;ROW()-1))))</f>
        <v>205.26995668316832</v>
      </c>
      <c r="CN104" s="6" t="e">
        <f ca="1">SUM((INDIRECT(CN$9&amp;ROW()):(INDIRECT(CN$10&amp;ROW()))))+SUM((INDIRECT(CN$9&amp;ROW()-1):(INDIRECT(CN$10&amp;ROW()-1))))</f>
        <v>#N/A</v>
      </c>
      <c r="CO104" s="6" t="e">
        <f ca="1">SUM((INDIRECT(CO$9&amp;ROW()):(INDIRECT(CO$10&amp;ROW()))))+SUM((INDIRECT(CO$9&amp;ROW()-1):(INDIRECT(CO$10&amp;ROW()-1))))</f>
        <v>#N/A</v>
      </c>
      <c r="CP104" s="6" t="e">
        <f ca="1">SUM((INDIRECT(CP$9&amp;ROW()):(INDIRECT(CP$10&amp;ROW()))))+SUM((INDIRECT(CP$9&amp;ROW()-1):(INDIRECT(CP$10&amp;ROW()-1))))</f>
        <v>#N/A</v>
      </c>
      <c r="CQ104" s="6" t="e">
        <f ca="1">SUM((INDIRECT(CQ$9&amp;ROW()):(INDIRECT(CQ$10&amp;ROW()))))</f>
        <v>#REF!</v>
      </c>
      <c r="CR104" s="6" t="e">
        <f ca="1">SUM((INDIRECT(CR$9&amp;ROW()):(INDIRECT(CR$10&amp;ROW()))))</f>
        <v>#REF!</v>
      </c>
      <c r="CT104" s="6">
        <f ca="1">SUM((INDIRECT(CT$9&amp;ROW()):(INDIRECT(CT$10&amp;ROW()))))</f>
        <v>0</v>
      </c>
      <c r="CU104" s="6">
        <f ca="1">CT104/$CT$98</f>
        <v>0</v>
      </c>
      <c r="CV104" s="4">
        <v>8</v>
      </c>
    </row>
    <row r="105" spans="1:111" outlineLevel="1">
      <c r="C105" s="9" t="s">
        <v>14</v>
      </c>
      <c r="D105" s="28">
        <v>0</v>
      </c>
      <c r="E105" s="28">
        <f t="shared" ref="E105:BA105" si="72">SUM(E99:E104)</f>
        <v>1665.34</v>
      </c>
      <c r="F105" s="28">
        <f t="shared" si="72"/>
        <v>18.163672654690618</v>
      </c>
      <c r="G105" s="28">
        <f t="shared" si="72"/>
        <v>165.59912433198119</v>
      </c>
      <c r="H105" s="28">
        <f t="shared" ca="1" si="72"/>
        <v>39.411499581482197</v>
      </c>
      <c r="I105" s="28">
        <f t="shared" ca="1" si="72"/>
        <v>51.587148284077003</v>
      </c>
      <c r="J105" s="28">
        <f t="shared" ca="1" si="72"/>
        <v>68.353615349945272</v>
      </c>
      <c r="K105" s="28">
        <f t="shared" ca="1" si="72"/>
        <v>56.177966647350459</v>
      </c>
      <c r="L105" s="28">
        <f t="shared" ca="1" si="72"/>
        <v>37.724550898203596</v>
      </c>
      <c r="M105" s="28">
        <f t="shared" ca="1" si="72"/>
        <v>104.19161676646706</v>
      </c>
      <c r="N105" s="28">
        <f t="shared" si="72"/>
        <v>32.734530938123754</v>
      </c>
      <c r="O105" s="28">
        <f t="shared" si="72"/>
        <v>37.644710578842314</v>
      </c>
      <c r="P105" s="28">
        <f t="shared" si="72"/>
        <v>41.397205588822359</v>
      </c>
      <c r="Q105" s="28">
        <f t="shared" si="72"/>
        <v>32.93413173652695</v>
      </c>
      <c r="R105" s="28">
        <f t="shared" si="72"/>
        <v>40.119760479041915</v>
      </c>
      <c r="S105" s="28">
        <f t="shared" si="72"/>
        <v>55.289421157684629</v>
      </c>
      <c r="T105" s="28">
        <f>SUM(T99:T104)</f>
        <v>47.704590818363272</v>
      </c>
      <c r="U105" s="28">
        <f>SUM(U99:U104)</f>
        <v>31.736526946107787</v>
      </c>
      <c r="V105" s="28">
        <f t="shared" si="72"/>
        <v>37.924151696606785</v>
      </c>
      <c r="W105" s="28">
        <f t="shared" si="72"/>
        <v>46.307385229540913</v>
      </c>
      <c r="X105" s="28">
        <f t="shared" si="72"/>
        <v>80</v>
      </c>
      <c r="Y105" s="28">
        <f t="shared" si="72"/>
        <v>224.35643564356434</v>
      </c>
      <c r="Z105" s="28">
        <f t="shared" si="72"/>
        <v>71.683168316831683</v>
      </c>
      <c r="AA105" s="28">
        <f t="shared" si="72"/>
        <v>39.603960396039604</v>
      </c>
      <c r="AB105" s="28">
        <f t="shared" si="72"/>
        <v>38.811881188118811</v>
      </c>
      <c r="AC105" s="28">
        <f t="shared" si="72"/>
        <v>116.43564356435644</v>
      </c>
      <c r="AD105" s="28">
        <f t="shared" si="72"/>
        <v>36.831683168316829</v>
      </c>
      <c r="AE105" s="28">
        <f t="shared" si="72"/>
        <v>58.019801980198011</v>
      </c>
      <c r="AF105" s="28">
        <f t="shared" si="72"/>
        <v>58.019801980198025</v>
      </c>
      <c r="AG105" s="28">
        <f t="shared" si="72"/>
        <v>43.287128712871279</v>
      </c>
      <c r="AH105" s="28">
        <f t="shared" si="72"/>
        <v>29.504950495049503</v>
      </c>
      <c r="AI105" s="28">
        <f t="shared" si="72"/>
        <v>40.198019801980195</v>
      </c>
      <c r="AJ105" s="28">
        <f t="shared" si="72"/>
        <v>46.138613861386141</v>
      </c>
      <c r="AK105" s="28">
        <f t="shared" si="72"/>
        <v>67.524752475247524</v>
      </c>
      <c r="AL105" s="28">
        <f t="shared" si="72"/>
        <v>52.871287128712879</v>
      </c>
      <c r="AM105" s="28">
        <f t="shared" si="72"/>
        <v>22.4609375</v>
      </c>
      <c r="AN105" s="28">
        <f t="shared" si="72"/>
        <v>33.984375</v>
      </c>
      <c r="AO105" s="28">
        <f t="shared" si="72"/>
        <v>155.15625</v>
      </c>
      <c r="AP105" s="28">
        <f t="shared" si="72"/>
        <v>214.5703125</v>
      </c>
      <c r="AQ105" s="28">
        <f t="shared" si="72"/>
        <v>91.9921875</v>
      </c>
      <c r="AR105" s="28">
        <f t="shared" si="72"/>
        <v>42.96875</v>
      </c>
      <c r="AS105" s="28">
        <f t="shared" si="72"/>
        <v>50.1953125</v>
      </c>
      <c r="AT105" s="28">
        <f t="shared" si="72"/>
        <v>70</v>
      </c>
      <c r="AU105" s="28">
        <f t="shared" si="72"/>
        <v>103.90625</v>
      </c>
      <c r="AV105" s="28">
        <f t="shared" si="72"/>
        <v>-43.1640625</v>
      </c>
      <c r="AW105" s="28">
        <f t="shared" si="72"/>
        <v>65.0390625</v>
      </c>
      <c r="AX105" s="28">
        <f t="shared" si="72"/>
        <v>108.984375</v>
      </c>
      <c r="AY105" s="28">
        <f t="shared" si="72"/>
        <v>72.65625</v>
      </c>
      <c r="AZ105" s="28">
        <f t="shared" si="72"/>
        <v>362.5</v>
      </c>
      <c r="BA105" s="28">
        <f t="shared" si="72"/>
        <v>0</v>
      </c>
      <c r="BB105" s="200">
        <f>SUM(BB99:BB104)</f>
        <v>0</v>
      </c>
      <c r="BC105" s="184">
        <f>SUM(BC99:BC104)</f>
        <v>0</v>
      </c>
      <c r="BD105" s="28">
        <f ca="1">SUM($E105:BA105)</f>
        <v>4964.8787383967292</v>
      </c>
      <c r="BE105" s="154"/>
      <c r="BF105" s="155"/>
      <c r="BJ105" s="4"/>
      <c r="CJ105" s="9" t="s">
        <v>14</v>
      </c>
      <c r="CK105" s="28">
        <f ca="1">SUM((INDIRECT(CK$9&amp;ROW()):(INDIRECT(CK$10&amp;ROW()))))</f>
        <v>1665.34</v>
      </c>
      <c r="CL105" s="28">
        <f ca="1">SUM((INDIRECT(CL$9&amp;ROW()):(INDIRECT(CL$10&amp;ROW()))))</f>
        <v>1552.7243819610858</v>
      </c>
      <c r="CM105" s="28">
        <f ca="1">SUM((INDIRECT(CM$9&amp;ROW()):(INDIRECT(CM$10&amp;ROW()))))</f>
        <v>1746.8143564356435</v>
      </c>
      <c r="CN105" s="28" t="e">
        <f ca="1">SUM((INDIRECT(CN$9&amp;ROW()):(INDIRECT(CN$10&amp;ROW()))))</f>
        <v>#N/A</v>
      </c>
      <c r="CO105" s="28" t="e">
        <f ca="1">SUM((INDIRECT(CO$9&amp;ROW()):(INDIRECT(CO$10&amp;ROW()))))</f>
        <v>#N/A</v>
      </c>
      <c r="CP105" s="28" t="e">
        <f ca="1">SUM((INDIRECT(CP$9&amp;ROW()):(INDIRECT(CP$10&amp;ROW()))))</f>
        <v>#N/A</v>
      </c>
      <c r="CQ105" s="28" t="e">
        <f ca="1">SUM((INDIRECT(CQ$9&amp;ROW()):(INDIRECT(CQ$10&amp;ROW()))))</f>
        <v>#REF!</v>
      </c>
      <c r="CR105" s="28" t="e">
        <f ca="1">SUM((INDIRECT(CR$9&amp;ROW()):(INDIRECT(CR$10&amp;ROW()))))</f>
        <v>#REF!</v>
      </c>
      <c r="CT105" s="28">
        <f ca="1">SUM((INDIRECT(CT$9&amp;ROW()):(INDIRECT(CT$10&amp;ROW()))))</f>
        <v>3299.5387383967295</v>
      </c>
      <c r="CU105" s="6">
        <f ca="1">CT105/$CT$98</f>
        <v>70.202951880781484</v>
      </c>
      <c r="CV105" s="4">
        <f>CV102+CV104</f>
        <v>73</v>
      </c>
    </row>
    <row r="106" spans="1:111" outlineLevel="1">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198"/>
      <c r="BC106" s="63"/>
      <c r="BD106" s="153">
        <f>SUM(E106:BC106)</f>
        <v>0</v>
      </c>
      <c r="BE106" s="154"/>
      <c r="BF106" s="156"/>
      <c r="BJ106" s="4"/>
      <c r="CJ106" s="176" t="s">
        <v>14</v>
      </c>
      <c r="CK106" s="211">
        <f t="shared" ref="CK106:CQ106" ca="1" si="73">CK105/CK$98</f>
        <v>35.432765957446804</v>
      </c>
      <c r="CL106" s="176">
        <f t="shared" ca="1" si="73"/>
        <v>62.108975278443431</v>
      </c>
      <c r="CM106" s="176">
        <f t="shared" ca="1" si="73"/>
        <v>79.400652565256522</v>
      </c>
      <c r="CN106" s="176" t="e">
        <f t="shared" ca="1" si="73"/>
        <v>#N/A</v>
      </c>
      <c r="CO106" s="176" t="e">
        <f t="shared" ca="1" si="73"/>
        <v>#N/A</v>
      </c>
      <c r="CP106" s="176" t="e">
        <f t="shared" ca="1" si="73"/>
        <v>#N/A</v>
      </c>
      <c r="CQ106" s="176" t="e">
        <f t="shared" ca="1" si="73"/>
        <v>#REF!</v>
      </c>
      <c r="CR106" s="176" t="e">
        <f ca="1">CR105/CR$98</f>
        <v>#REF!</v>
      </c>
      <c r="CT106" s="230">
        <f ca="1">CT105/CT$98</f>
        <v>70.202951880781484</v>
      </c>
      <c r="CU106" s="231">
        <f ca="1">+CT106</f>
        <v>70.202951880781484</v>
      </c>
      <c r="CV106" s="2">
        <f>CV105</f>
        <v>73</v>
      </c>
    </row>
    <row r="107" spans="1:111" outlineLevel="1">
      <c r="C107" t="s">
        <v>61</v>
      </c>
      <c r="D107" s="6"/>
      <c r="E107" s="6">
        <f>SUM(E99:E102)</f>
        <v>1307</v>
      </c>
      <c r="F107" s="6">
        <f t="shared" ref="F107:BA107" si="74">SUM(F99:F102)</f>
        <v>18.163672654690618</v>
      </c>
      <c r="G107" s="6">
        <f t="shared" si="74"/>
        <v>94.940441697250648</v>
      </c>
      <c r="H107" s="6">
        <f t="shared" ca="1" si="74"/>
        <v>39.411499581482197</v>
      </c>
      <c r="I107" s="6">
        <f t="shared" ca="1" si="74"/>
        <v>51.587148284077003</v>
      </c>
      <c r="J107" s="6">
        <f t="shared" ca="1" si="74"/>
        <v>46.796729122400357</v>
      </c>
      <c r="K107" s="6">
        <f t="shared" ca="1" si="74"/>
        <v>44.201918743158842</v>
      </c>
      <c r="L107" s="6">
        <f t="shared" ca="1" si="74"/>
        <v>37.724550898203596</v>
      </c>
      <c r="M107" s="6">
        <f t="shared" ca="1" si="74"/>
        <v>44.311377245508979</v>
      </c>
      <c r="N107" s="6">
        <f t="shared" si="74"/>
        <v>32.734530938123754</v>
      </c>
      <c r="O107" s="6">
        <f t="shared" si="74"/>
        <v>37.644710578842314</v>
      </c>
      <c r="P107" s="6">
        <f t="shared" si="74"/>
        <v>41.397205588822359</v>
      </c>
      <c r="Q107" s="6">
        <f t="shared" si="74"/>
        <v>32.93413173652695</v>
      </c>
      <c r="R107" s="6">
        <f t="shared" si="74"/>
        <v>40.119760479041915</v>
      </c>
      <c r="S107" s="6">
        <f t="shared" si="74"/>
        <v>55.289421157684629</v>
      </c>
      <c r="T107" s="6">
        <f t="shared" si="74"/>
        <v>47.704590818363272</v>
      </c>
      <c r="U107" s="6">
        <f t="shared" si="74"/>
        <v>31.736526946107787</v>
      </c>
      <c r="V107" s="6">
        <f t="shared" si="74"/>
        <v>37.924151696606785</v>
      </c>
      <c r="W107" s="6">
        <f t="shared" si="74"/>
        <v>46.307385229540913</v>
      </c>
      <c r="X107" s="6">
        <f t="shared" si="74"/>
        <v>36.43564356435644</v>
      </c>
      <c r="Y107" s="6">
        <f t="shared" si="74"/>
        <v>125.34653465346534</v>
      </c>
      <c r="Z107" s="6">
        <f t="shared" si="74"/>
        <v>43.960396039603957</v>
      </c>
      <c r="AA107" s="6">
        <f t="shared" si="74"/>
        <v>39.603960396039604</v>
      </c>
      <c r="AB107" s="6">
        <f t="shared" si="74"/>
        <v>38.811881188118811</v>
      </c>
      <c r="AC107" s="6">
        <f t="shared" si="74"/>
        <v>116.43564356435644</v>
      </c>
      <c r="AD107" s="6">
        <f t="shared" si="74"/>
        <v>36.831683168316829</v>
      </c>
      <c r="AE107" s="6">
        <f t="shared" si="74"/>
        <v>58.019801980198011</v>
      </c>
      <c r="AF107" s="6">
        <f t="shared" si="74"/>
        <v>54.059405940594061</v>
      </c>
      <c r="AG107" s="6">
        <f t="shared" si="74"/>
        <v>37.346534653465341</v>
      </c>
      <c r="AH107" s="6">
        <f t="shared" si="74"/>
        <v>29.504950495049503</v>
      </c>
      <c r="AI107" s="6">
        <f t="shared" si="74"/>
        <v>40.198019801980195</v>
      </c>
      <c r="AJ107" s="6">
        <f t="shared" si="74"/>
        <v>46.138613861386141</v>
      </c>
      <c r="AK107" s="6">
        <f t="shared" si="74"/>
        <v>49.10891089108911</v>
      </c>
      <c r="AL107" s="6">
        <f t="shared" si="74"/>
        <v>52.871287128712879</v>
      </c>
      <c r="AM107" s="6">
        <f t="shared" si="74"/>
        <v>22.4609375</v>
      </c>
      <c r="AN107" s="6">
        <f t="shared" si="74"/>
        <v>33.984375</v>
      </c>
      <c r="AO107" s="6">
        <f t="shared" si="74"/>
        <v>155.15625</v>
      </c>
      <c r="AP107" s="6">
        <f t="shared" si="74"/>
        <v>214.5703125</v>
      </c>
      <c r="AQ107" s="6">
        <f t="shared" si="74"/>
        <v>45.1171875</v>
      </c>
      <c r="AR107" s="6">
        <f t="shared" si="74"/>
        <v>42.96875</v>
      </c>
      <c r="AS107" s="6">
        <f t="shared" si="74"/>
        <v>44.3359375</v>
      </c>
      <c r="AT107" s="6">
        <f t="shared" si="74"/>
        <v>70</v>
      </c>
      <c r="AU107" s="6">
        <f t="shared" si="74"/>
        <v>103.90625</v>
      </c>
      <c r="AV107" s="6">
        <f t="shared" si="74"/>
        <v>34.9609375</v>
      </c>
      <c r="AW107" s="6">
        <f t="shared" si="74"/>
        <v>50.1953125</v>
      </c>
      <c r="AX107" s="6">
        <f t="shared" si="74"/>
        <v>50.390625</v>
      </c>
      <c r="AY107" s="6">
        <f t="shared" si="74"/>
        <v>45.3125</v>
      </c>
      <c r="AZ107" s="6">
        <f t="shared" si="74"/>
        <v>260.9375</v>
      </c>
      <c r="BA107" s="6">
        <f t="shared" si="74"/>
        <v>0</v>
      </c>
      <c r="BB107" s="198"/>
      <c r="BC107" s="63"/>
      <c r="BD107" s="153">
        <f ca="1">SUM(E107:BC107)</f>
        <v>4066.8998957231643</v>
      </c>
      <c r="BE107" s="154"/>
      <c r="BF107" s="156"/>
      <c r="BJ107" s="4"/>
      <c r="CJ107" t="s">
        <v>61</v>
      </c>
      <c r="CK107" s="6">
        <f ca="1">SUM((INDIRECT(CK$9&amp;ROW()):(INDIRECT(CK$10&amp;ROW()))))</f>
        <v>1307</v>
      </c>
      <c r="CL107" s="6">
        <f ca="1">SUM((INDIRECT(CL$9&amp;ROW()):(INDIRECT(CL$10&amp;ROW()))))</f>
        <v>1218.3554959706905</v>
      </c>
      <c r="CM107" s="6">
        <f ca="1">SUM((INDIRECT(CM$9&amp;ROW()):(INDIRECT(CM$10&amp;ROW()))))</f>
        <v>1541.5443997524753</v>
      </c>
      <c r="CN107" s="6" t="e">
        <f ca="1">SUM((INDIRECT(CN$9&amp;ROW()):(INDIRECT(CN$10&amp;ROW()))))</f>
        <v>#N/A</v>
      </c>
      <c r="CO107" s="6" t="e">
        <f ca="1">SUM((INDIRECT(CO$9&amp;ROW()):(INDIRECT(CO$10&amp;ROW()))))</f>
        <v>#N/A</v>
      </c>
      <c r="CP107" s="6" t="e">
        <f ca="1">SUM((INDIRECT(CP$9&amp;ROW()):(INDIRECT(CP$10&amp;ROW()))))</f>
        <v>#N/A</v>
      </c>
      <c r="CQ107" s="6" t="e">
        <f ca="1">SUM((INDIRECT(CQ$9&amp;ROW()):(INDIRECT(CQ$10&amp;ROW()))))</f>
        <v>#REF!</v>
      </c>
      <c r="CR107" s="6" t="e">
        <f ca="1">SUM((INDIRECT(CR$9&amp;ROW()):(INDIRECT(CR$10&amp;ROW()))))</f>
        <v>#REF!</v>
      </c>
      <c r="CT107" s="6">
        <f ca="1">SUM((INDIRECT(CT$9&amp;ROW()):(INDIRECT(CT$10&amp;ROW()))))</f>
        <v>2759.8998957231661</v>
      </c>
      <c r="CU107" s="6">
        <f ca="1">CT107/$CT$98</f>
        <v>58.721274377088641</v>
      </c>
      <c r="CV107" s="2">
        <f>SUM(CV99:CV101)</f>
        <v>65</v>
      </c>
    </row>
    <row r="108" spans="1:111" outlineLevel="1">
      <c r="C108" t="s">
        <v>24</v>
      </c>
      <c r="D108" s="6">
        <v>0</v>
      </c>
      <c r="E108" s="6">
        <f>+E103</f>
        <v>358.34</v>
      </c>
      <c r="F108" s="6">
        <f t="shared" ref="F108:BA108" si="75">+F103</f>
        <v>0</v>
      </c>
      <c r="G108" s="6">
        <f t="shared" si="75"/>
        <v>70.658682634730539</v>
      </c>
      <c r="H108" s="6">
        <f t="shared" ca="1" si="75"/>
        <v>0</v>
      </c>
      <c r="I108" s="6">
        <f t="shared" ca="1" si="75"/>
        <v>0</v>
      </c>
      <c r="J108" s="6">
        <f t="shared" ca="1" si="75"/>
        <v>21.556886227544908</v>
      </c>
      <c r="K108" s="6">
        <f t="shared" ca="1" si="75"/>
        <v>11.976047904191617</v>
      </c>
      <c r="L108" s="6">
        <f t="shared" ca="1" si="75"/>
        <v>0</v>
      </c>
      <c r="M108" s="6">
        <f t="shared" ca="1" si="75"/>
        <v>59.880239520958085</v>
      </c>
      <c r="N108" s="6">
        <f t="shared" si="75"/>
        <v>0</v>
      </c>
      <c r="O108" s="6">
        <f t="shared" si="75"/>
        <v>0</v>
      </c>
      <c r="P108" s="6">
        <f t="shared" si="75"/>
        <v>0</v>
      </c>
      <c r="Q108" s="6">
        <f t="shared" si="75"/>
        <v>0</v>
      </c>
      <c r="R108" s="6">
        <f t="shared" si="75"/>
        <v>0</v>
      </c>
      <c r="S108" s="6">
        <f t="shared" si="75"/>
        <v>0</v>
      </c>
      <c r="T108" s="6">
        <f t="shared" si="75"/>
        <v>0</v>
      </c>
      <c r="U108" s="6">
        <f t="shared" si="75"/>
        <v>0</v>
      </c>
      <c r="V108" s="6">
        <f t="shared" si="75"/>
        <v>0</v>
      </c>
      <c r="W108" s="6">
        <f t="shared" si="75"/>
        <v>0</v>
      </c>
      <c r="X108" s="6">
        <f t="shared" si="75"/>
        <v>43.564356435643568</v>
      </c>
      <c r="Y108" s="6">
        <f t="shared" si="75"/>
        <v>99.009900990099013</v>
      </c>
      <c r="Z108" s="6">
        <f t="shared" si="75"/>
        <v>27.722772277227723</v>
      </c>
      <c r="AA108" s="6">
        <f t="shared" si="75"/>
        <v>0</v>
      </c>
      <c r="AB108" s="6">
        <f t="shared" si="75"/>
        <v>0</v>
      </c>
      <c r="AC108" s="6">
        <f t="shared" si="75"/>
        <v>0</v>
      </c>
      <c r="AD108" s="6">
        <f t="shared" si="75"/>
        <v>0</v>
      </c>
      <c r="AE108" s="6">
        <f t="shared" si="75"/>
        <v>0</v>
      </c>
      <c r="AF108" s="6">
        <f t="shared" si="75"/>
        <v>3.9603960396039604</v>
      </c>
      <c r="AG108" s="6">
        <f t="shared" si="75"/>
        <v>5.9405940594059405</v>
      </c>
      <c r="AH108" s="6">
        <f t="shared" si="75"/>
        <v>0</v>
      </c>
      <c r="AI108" s="6">
        <f t="shared" si="75"/>
        <v>0</v>
      </c>
      <c r="AJ108" s="6">
        <f t="shared" si="75"/>
        <v>0</v>
      </c>
      <c r="AK108" s="6">
        <f t="shared" si="75"/>
        <v>18.415841584158414</v>
      </c>
      <c r="AL108" s="6">
        <f t="shared" si="75"/>
        <v>0</v>
      </c>
      <c r="AM108" s="6">
        <f t="shared" si="75"/>
        <v>0</v>
      </c>
      <c r="AN108" s="6">
        <f t="shared" si="75"/>
        <v>0</v>
      </c>
      <c r="AO108" s="6">
        <f t="shared" si="75"/>
        <v>0</v>
      </c>
      <c r="AP108" s="6">
        <f t="shared" si="75"/>
        <v>0</v>
      </c>
      <c r="AQ108" s="6">
        <f t="shared" si="75"/>
        <v>46.875</v>
      </c>
      <c r="AR108" s="6">
        <f t="shared" si="75"/>
        <v>0</v>
      </c>
      <c r="AS108" s="6">
        <f t="shared" si="75"/>
        <v>5.859375</v>
      </c>
      <c r="AT108" s="6">
        <f t="shared" si="75"/>
        <v>0</v>
      </c>
      <c r="AU108" s="6">
        <f t="shared" si="75"/>
        <v>0</v>
      </c>
      <c r="AV108" s="6">
        <f t="shared" si="75"/>
        <v>-78.125</v>
      </c>
      <c r="AW108" s="6">
        <f t="shared" si="75"/>
        <v>14.84375</v>
      </c>
      <c r="AX108" s="6">
        <f t="shared" si="75"/>
        <v>58.59375</v>
      </c>
      <c r="AY108" s="6">
        <f t="shared" si="75"/>
        <v>27.34375</v>
      </c>
      <c r="AZ108" s="6">
        <f t="shared" si="75"/>
        <v>101.5625</v>
      </c>
      <c r="BA108" s="6">
        <f t="shared" si="75"/>
        <v>0</v>
      </c>
      <c r="BB108" s="198">
        <f>SUM(BB99:BB102)</f>
        <v>0</v>
      </c>
      <c r="BC108" s="63">
        <f>SUM(BC99:BC102)</f>
        <v>0</v>
      </c>
      <c r="BD108" s="28">
        <f ca="1">SUM($E108:BA108)</f>
        <v>897.97884267356392</v>
      </c>
      <c r="BE108" s="154"/>
      <c r="BF108" s="155"/>
      <c r="BJ108" s="4"/>
      <c r="CJ108" t="s">
        <v>24</v>
      </c>
      <c r="CK108" s="6">
        <f ca="1">SUM((INDIRECT(CK$9&amp;ROW()):(INDIRECT(CK$10&amp;ROW()))))</f>
        <v>358.34</v>
      </c>
      <c r="CL108" s="6">
        <f ca="1">SUM((INDIRECT(CL$9&amp;ROW()):(INDIRECT(CL$10&amp;ROW()))))</f>
        <v>334.36888599039543</v>
      </c>
      <c r="CM108" s="6">
        <f ca="1">SUM((INDIRECT(CM$9&amp;ROW()):(INDIRECT(CM$10&amp;ROW()))))</f>
        <v>205.26995668316832</v>
      </c>
      <c r="CN108" s="6" t="e">
        <f ca="1">SUM((INDIRECT(CN$9&amp;ROW()):(INDIRECT(CN$10&amp;ROW()))))</f>
        <v>#N/A</v>
      </c>
      <c r="CO108" s="6" t="e">
        <f ca="1">SUM((INDIRECT(CO$9&amp;ROW()):(INDIRECT(CO$10&amp;ROW()))))</f>
        <v>#N/A</v>
      </c>
      <c r="CP108" s="6" t="e">
        <f ca="1">SUM((INDIRECT(CP$9&amp;ROW()):(INDIRECT(CP$10&amp;ROW()))))</f>
        <v>#N/A</v>
      </c>
      <c r="CQ108" s="6" t="e">
        <f ca="1">SUM((INDIRECT(CQ$9&amp;ROW()):(INDIRECT(CQ$10&amp;ROW()))))</f>
        <v>#REF!</v>
      </c>
      <c r="CR108" s="6" t="e">
        <f ca="1">SUM((INDIRECT(CR$9&amp;ROW()):(INDIRECT(CR$10&amp;ROW()))))</f>
        <v>#REF!</v>
      </c>
      <c r="CT108" s="6">
        <f ca="1">SUM((INDIRECT(CT$9&amp;ROW()):(INDIRECT(CT$10&amp;ROW()))))</f>
        <v>539.63884267356377</v>
      </c>
      <c r="CU108" s="6">
        <f ca="1">CT108/$CT$98</f>
        <v>11.481677503692847</v>
      </c>
      <c r="CV108" s="2">
        <v>7</v>
      </c>
    </row>
    <row r="109" spans="1:111" outlineLevel="1">
      <c r="C109" t="s">
        <v>558</v>
      </c>
      <c r="D109" s="6">
        <v>0</v>
      </c>
      <c r="E109" s="6">
        <f>E104</f>
        <v>0</v>
      </c>
      <c r="F109" s="6">
        <f t="shared" ref="F109:BA109" si="76">F104</f>
        <v>0</v>
      </c>
      <c r="G109" s="6">
        <f t="shared" si="76"/>
        <v>0</v>
      </c>
      <c r="H109" s="6">
        <f t="shared" ca="1" si="76"/>
        <v>0</v>
      </c>
      <c r="I109" s="6">
        <f t="shared" ca="1" si="76"/>
        <v>0</v>
      </c>
      <c r="J109" s="6">
        <f t="shared" ca="1" si="76"/>
        <v>0</v>
      </c>
      <c r="K109" s="6">
        <f t="shared" ca="1" si="76"/>
        <v>0</v>
      </c>
      <c r="L109" s="6">
        <f t="shared" ca="1" si="76"/>
        <v>0</v>
      </c>
      <c r="M109" s="6">
        <f t="shared" ca="1" si="76"/>
        <v>0</v>
      </c>
      <c r="N109" s="6">
        <f t="shared" si="76"/>
        <v>0</v>
      </c>
      <c r="O109" s="6">
        <f t="shared" si="76"/>
        <v>0</v>
      </c>
      <c r="P109" s="6">
        <f t="shared" si="76"/>
        <v>0</v>
      </c>
      <c r="Q109" s="6">
        <f t="shared" si="76"/>
        <v>0</v>
      </c>
      <c r="R109" s="6">
        <f t="shared" si="76"/>
        <v>0</v>
      </c>
      <c r="S109" s="6">
        <f t="shared" si="76"/>
        <v>0</v>
      </c>
      <c r="T109" s="6">
        <f t="shared" si="76"/>
        <v>0</v>
      </c>
      <c r="U109" s="6">
        <f t="shared" si="76"/>
        <v>0</v>
      </c>
      <c r="V109" s="6">
        <f t="shared" si="76"/>
        <v>0</v>
      </c>
      <c r="W109" s="6">
        <f t="shared" si="76"/>
        <v>0</v>
      </c>
      <c r="X109" s="6">
        <f t="shared" si="76"/>
        <v>0</v>
      </c>
      <c r="Y109" s="6">
        <f t="shared" si="76"/>
        <v>0</v>
      </c>
      <c r="Z109" s="6">
        <f t="shared" si="76"/>
        <v>0</v>
      </c>
      <c r="AA109" s="6">
        <f t="shared" si="76"/>
        <v>0</v>
      </c>
      <c r="AB109" s="6">
        <f t="shared" si="76"/>
        <v>0</v>
      </c>
      <c r="AC109" s="6">
        <f t="shared" si="76"/>
        <v>0</v>
      </c>
      <c r="AD109" s="6">
        <f t="shared" si="76"/>
        <v>0</v>
      </c>
      <c r="AE109" s="6">
        <f t="shared" si="76"/>
        <v>0</v>
      </c>
      <c r="AF109" s="6">
        <f t="shared" si="76"/>
        <v>0</v>
      </c>
      <c r="AG109" s="6">
        <f t="shared" si="76"/>
        <v>0</v>
      </c>
      <c r="AH109" s="6">
        <f t="shared" si="76"/>
        <v>0</v>
      </c>
      <c r="AI109" s="6">
        <f t="shared" si="76"/>
        <v>0</v>
      </c>
      <c r="AJ109" s="6">
        <f t="shared" si="76"/>
        <v>0</v>
      </c>
      <c r="AK109" s="6">
        <f t="shared" si="76"/>
        <v>0</v>
      </c>
      <c r="AL109" s="6">
        <f t="shared" si="76"/>
        <v>0</v>
      </c>
      <c r="AM109" s="6">
        <f t="shared" si="76"/>
        <v>0</v>
      </c>
      <c r="AN109" s="6">
        <f t="shared" si="76"/>
        <v>0</v>
      </c>
      <c r="AO109" s="6">
        <f t="shared" si="76"/>
        <v>0</v>
      </c>
      <c r="AP109" s="6">
        <f t="shared" si="76"/>
        <v>0</v>
      </c>
      <c r="AQ109" s="6">
        <f t="shared" si="76"/>
        <v>0</v>
      </c>
      <c r="AR109" s="6">
        <f t="shared" si="76"/>
        <v>0</v>
      </c>
      <c r="AS109" s="6">
        <f t="shared" si="76"/>
        <v>0</v>
      </c>
      <c r="AT109" s="6">
        <f t="shared" si="76"/>
        <v>0</v>
      </c>
      <c r="AU109" s="6">
        <f t="shared" si="76"/>
        <v>0</v>
      </c>
      <c r="AV109" s="6">
        <f t="shared" si="76"/>
        <v>0</v>
      </c>
      <c r="AW109" s="6">
        <f t="shared" si="76"/>
        <v>0</v>
      </c>
      <c r="AX109" s="6">
        <f t="shared" si="76"/>
        <v>0</v>
      </c>
      <c r="AY109" s="6">
        <f t="shared" si="76"/>
        <v>0</v>
      </c>
      <c r="AZ109" s="6">
        <f t="shared" si="76"/>
        <v>0</v>
      </c>
      <c r="BA109" s="6">
        <f t="shared" si="76"/>
        <v>0</v>
      </c>
      <c r="BB109" s="198">
        <f>BB104</f>
        <v>0</v>
      </c>
      <c r="BC109" s="63">
        <f>BC104</f>
        <v>0</v>
      </c>
      <c r="BD109" s="28">
        <f ca="1">SUM($E109:BA109)</f>
        <v>0</v>
      </c>
      <c r="BE109" s="154"/>
      <c r="BF109" s="155"/>
      <c r="BJ109" s="4"/>
      <c r="CJ109" t="s">
        <v>863</v>
      </c>
      <c r="CK109" s="6">
        <f ca="1">SUM((INDIRECT(CK$9&amp;ROW()):(INDIRECT(CK$10&amp;ROW()))))</f>
        <v>0</v>
      </c>
      <c r="CL109" s="6">
        <f ca="1">SUM((INDIRECT(CL$9&amp;ROW()):(INDIRECT(CL$10&amp;ROW()))))</f>
        <v>0</v>
      </c>
      <c r="CM109" s="6">
        <f ca="1">SUM((INDIRECT(CM$9&amp;ROW()):(INDIRECT(CM$10&amp;ROW()))))</f>
        <v>0</v>
      </c>
      <c r="CN109" s="6" t="e">
        <f ca="1">SUM((INDIRECT(CN$9&amp;ROW()):(INDIRECT(CN$10&amp;ROW()))))</f>
        <v>#N/A</v>
      </c>
      <c r="CO109" s="6" t="e">
        <f ca="1">SUM((INDIRECT(CO$9&amp;ROW()):(INDIRECT(CO$10&amp;ROW()))))</f>
        <v>#N/A</v>
      </c>
      <c r="CP109" s="6" t="e">
        <f ca="1">SUM((INDIRECT(CP$9&amp;ROW()):(INDIRECT(CP$10&amp;ROW()))))</f>
        <v>#N/A</v>
      </c>
      <c r="CQ109" s="6" t="e">
        <f ca="1">SUM((INDIRECT(CQ$9&amp;ROW()):(INDIRECT(CQ$10&amp;ROW()))))</f>
        <v>#REF!</v>
      </c>
      <c r="CR109" s="6" t="e">
        <f ca="1">SUM((INDIRECT(CR$9&amp;ROW()):(INDIRECT(CR$10&amp;ROW()))))</f>
        <v>#REF!</v>
      </c>
      <c r="CT109" s="6">
        <f ca="1">SUM((INDIRECT(CT$9&amp;ROW()):(INDIRECT(CT$10&amp;ROW()))))</f>
        <v>0</v>
      </c>
      <c r="CU109" s="6">
        <f ca="1">CT109/$CT$98</f>
        <v>0</v>
      </c>
      <c r="CV109" s="2"/>
    </row>
    <row r="110" spans="1:111" outlineLevel="1">
      <c r="C110" s="9" t="s">
        <v>14</v>
      </c>
      <c r="D110" s="28">
        <v>0</v>
      </c>
      <c r="E110" s="28">
        <f>SUM(E107:E109)</f>
        <v>1665.34</v>
      </c>
      <c r="F110" s="28">
        <f t="shared" ref="F110:BA110" si="77">SUM(F107:F109)</f>
        <v>18.163672654690618</v>
      </c>
      <c r="G110" s="28">
        <f t="shared" si="77"/>
        <v>165.59912433198119</v>
      </c>
      <c r="H110" s="28">
        <f t="shared" ca="1" si="77"/>
        <v>39.411499581482197</v>
      </c>
      <c r="I110" s="28">
        <f t="shared" ca="1" si="77"/>
        <v>51.587148284077003</v>
      </c>
      <c r="J110" s="28">
        <f t="shared" ca="1" si="77"/>
        <v>68.353615349945272</v>
      </c>
      <c r="K110" s="28">
        <f t="shared" ca="1" si="77"/>
        <v>56.177966647350459</v>
      </c>
      <c r="L110" s="28">
        <f t="shared" ca="1" si="77"/>
        <v>37.724550898203596</v>
      </c>
      <c r="M110" s="28">
        <f t="shared" ca="1" si="77"/>
        <v>104.19161676646706</v>
      </c>
      <c r="N110" s="28">
        <f t="shared" si="77"/>
        <v>32.734530938123754</v>
      </c>
      <c r="O110" s="28">
        <f t="shared" si="77"/>
        <v>37.644710578842314</v>
      </c>
      <c r="P110" s="28">
        <f t="shared" si="77"/>
        <v>41.397205588822359</v>
      </c>
      <c r="Q110" s="28">
        <f t="shared" si="77"/>
        <v>32.93413173652695</v>
      </c>
      <c r="R110" s="28">
        <f t="shared" si="77"/>
        <v>40.119760479041915</v>
      </c>
      <c r="S110" s="28">
        <f t="shared" si="77"/>
        <v>55.289421157684629</v>
      </c>
      <c r="T110" s="28">
        <f t="shared" si="77"/>
        <v>47.704590818363272</v>
      </c>
      <c r="U110" s="28">
        <f t="shared" si="77"/>
        <v>31.736526946107787</v>
      </c>
      <c r="V110" s="28">
        <f t="shared" si="77"/>
        <v>37.924151696606785</v>
      </c>
      <c r="W110" s="28">
        <f t="shared" si="77"/>
        <v>46.307385229540913</v>
      </c>
      <c r="X110" s="28">
        <f t="shared" si="77"/>
        <v>80</v>
      </c>
      <c r="Y110" s="28">
        <f t="shared" si="77"/>
        <v>224.35643564356434</v>
      </c>
      <c r="Z110" s="28">
        <f t="shared" si="77"/>
        <v>71.683168316831683</v>
      </c>
      <c r="AA110" s="28">
        <f t="shared" si="77"/>
        <v>39.603960396039604</v>
      </c>
      <c r="AB110" s="28">
        <f t="shared" si="77"/>
        <v>38.811881188118811</v>
      </c>
      <c r="AC110" s="28">
        <f t="shared" si="77"/>
        <v>116.43564356435644</v>
      </c>
      <c r="AD110" s="28">
        <f t="shared" si="77"/>
        <v>36.831683168316829</v>
      </c>
      <c r="AE110" s="28">
        <f t="shared" si="77"/>
        <v>58.019801980198011</v>
      </c>
      <c r="AF110" s="28">
        <f t="shared" si="77"/>
        <v>58.019801980198025</v>
      </c>
      <c r="AG110" s="28">
        <f t="shared" si="77"/>
        <v>43.287128712871279</v>
      </c>
      <c r="AH110" s="28">
        <f t="shared" si="77"/>
        <v>29.504950495049503</v>
      </c>
      <c r="AI110" s="28">
        <f t="shared" si="77"/>
        <v>40.198019801980195</v>
      </c>
      <c r="AJ110" s="28">
        <f t="shared" si="77"/>
        <v>46.138613861386141</v>
      </c>
      <c r="AK110" s="28">
        <f t="shared" si="77"/>
        <v>67.524752475247524</v>
      </c>
      <c r="AL110" s="28">
        <f t="shared" si="77"/>
        <v>52.871287128712879</v>
      </c>
      <c r="AM110" s="28">
        <f t="shared" si="77"/>
        <v>22.4609375</v>
      </c>
      <c r="AN110" s="28">
        <f t="shared" si="77"/>
        <v>33.984375</v>
      </c>
      <c r="AO110" s="28">
        <f t="shared" si="77"/>
        <v>155.15625</v>
      </c>
      <c r="AP110" s="28">
        <f t="shared" si="77"/>
        <v>214.5703125</v>
      </c>
      <c r="AQ110" s="28">
        <f t="shared" si="77"/>
        <v>91.9921875</v>
      </c>
      <c r="AR110" s="28">
        <f t="shared" si="77"/>
        <v>42.96875</v>
      </c>
      <c r="AS110" s="28">
        <f t="shared" si="77"/>
        <v>50.1953125</v>
      </c>
      <c r="AT110" s="28">
        <f t="shared" si="77"/>
        <v>70</v>
      </c>
      <c r="AU110" s="28">
        <f t="shared" si="77"/>
        <v>103.90625</v>
      </c>
      <c r="AV110" s="28">
        <f t="shared" si="77"/>
        <v>-43.1640625</v>
      </c>
      <c r="AW110" s="28">
        <f t="shared" si="77"/>
        <v>65.0390625</v>
      </c>
      <c r="AX110" s="28">
        <f t="shared" si="77"/>
        <v>108.984375</v>
      </c>
      <c r="AY110" s="28">
        <f t="shared" si="77"/>
        <v>72.65625</v>
      </c>
      <c r="AZ110" s="28">
        <f t="shared" si="77"/>
        <v>362.5</v>
      </c>
      <c r="BA110" s="28">
        <f t="shared" si="77"/>
        <v>0</v>
      </c>
      <c r="BB110" s="200">
        <f>SUM(BB108:BB109)</f>
        <v>0</v>
      </c>
      <c r="BC110" s="184">
        <f>SUM(BC108:BC109)</f>
        <v>0</v>
      </c>
      <c r="BD110" s="28">
        <f ca="1">SUM($E110:BA110)</f>
        <v>4964.8787383967292</v>
      </c>
      <c r="BE110" s="154"/>
      <c r="BF110" s="155"/>
      <c r="BJ110" s="4"/>
      <c r="CJ110" s="9" t="s">
        <v>14</v>
      </c>
      <c r="CK110" s="28">
        <f ca="1">SUM((INDIRECT(CK$9&amp;ROW()):(INDIRECT(CK$10&amp;ROW()))))</f>
        <v>1665.34</v>
      </c>
      <c r="CL110" s="28">
        <f ca="1">SUM((INDIRECT(CL$9&amp;ROW()):(INDIRECT(CL$10&amp;ROW()))))</f>
        <v>1552.7243819610858</v>
      </c>
      <c r="CM110" s="28">
        <f ca="1">SUM((INDIRECT(CM$9&amp;ROW()):(INDIRECT(CM$10&amp;ROW()))))</f>
        <v>1746.8143564356435</v>
      </c>
      <c r="CN110" s="28" t="e">
        <f ca="1">SUM((INDIRECT(CN$9&amp;ROW()):(INDIRECT(CN$10&amp;ROW()))))</f>
        <v>#N/A</v>
      </c>
      <c r="CO110" s="28" t="e">
        <f ca="1">SUM((INDIRECT(CO$9&amp;ROW()):(INDIRECT(CO$10&amp;ROW()))))</f>
        <v>#N/A</v>
      </c>
      <c r="CP110" s="28" t="e">
        <f ca="1">SUM((INDIRECT(CP$9&amp;ROW()):(INDIRECT(CP$10&amp;ROW()))))</f>
        <v>#N/A</v>
      </c>
      <c r="CQ110" s="28" t="e">
        <f ca="1">SUM((INDIRECT(CQ$9&amp;ROW()):(INDIRECT(CQ$10&amp;ROW()))))</f>
        <v>#REF!</v>
      </c>
      <c r="CR110" s="28" t="e">
        <f ca="1">SUM((INDIRECT(CR$9&amp;ROW()):(INDIRECT(CR$10&amp;ROW()))))</f>
        <v>#REF!</v>
      </c>
      <c r="CT110" s="28">
        <f ca="1">SUM((INDIRECT(CT$9&amp;ROW()):(INDIRECT(CT$10&amp;ROW()))))</f>
        <v>3299.5387383967295</v>
      </c>
      <c r="CU110" s="6">
        <f ca="1">CT110/$CT$98</f>
        <v>70.202951880781484</v>
      </c>
      <c r="CV110" s="4">
        <f>SUM(CV107:CV108)</f>
        <v>72</v>
      </c>
    </row>
    <row r="111" spans="1:111">
      <c r="A111" s="9" t="s">
        <v>98</v>
      </c>
      <c r="BJ111" s="4"/>
    </row>
    <row r="112" spans="1:111">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198">
        <f>+BB110-BB78</f>
        <v>0</v>
      </c>
      <c r="BC112" s="63">
        <f>+BC110-BC78</f>
        <v>0</v>
      </c>
      <c r="BD112" s="28">
        <v>0</v>
      </c>
      <c r="BJ112" s="4"/>
      <c r="CI112" s="9"/>
      <c r="CJ112" s="75" t="s">
        <v>96</v>
      </c>
      <c r="CK112" s="6">
        <f t="shared" ref="CK112:CT112" ca="1" si="78">CK110-CK66</f>
        <v>0</v>
      </c>
      <c r="CL112" s="6">
        <f t="shared" ca="1" si="78"/>
        <v>1552.7243819610858</v>
      </c>
      <c r="CM112" s="6">
        <f t="shared" ca="1" si="78"/>
        <v>1641.8143564356435</v>
      </c>
      <c r="CN112" s="6" t="e">
        <f t="shared" ca="1" si="78"/>
        <v>#N/A</v>
      </c>
      <c r="CO112" s="6" t="e">
        <f t="shared" ca="1" si="78"/>
        <v>#N/A</v>
      </c>
      <c r="CP112" s="6" t="e">
        <f t="shared" ca="1" si="78"/>
        <v>#N/A</v>
      </c>
      <c r="CQ112" s="6" t="e">
        <f t="shared" ca="1" si="78"/>
        <v>#REF!</v>
      </c>
      <c r="CR112" s="6" t="e">
        <f t="shared" ca="1" si="78"/>
        <v>#REF!</v>
      </c>
      <c r="CT112" s="6">
        <f t="shared" ca="1" si="78"/>
        <v>3299.5387383967295</v>
      </c>
      <c r="CU112" s="6">
        <f ca="1">CT112/$CT$98</f>
        <v>70.202951880781484</v>
      </c>
    </row>
    <row r="113" spans="1:101" ht="28.8" outlineLevel="1">
      <c r="D113" s="18"/>
      <c r="E113" s="17"/>
      <c r="F113" s="17" t="s">
        <v>639</v>
      </c>
      <c r="G113" s="17" t="s">
        <v>639</v>
      </c>
      <c r="H113" s="17" t="s">
        <v>639</v>
      </c>
      <c r="I113" s="17" t="s">
        <v>639</v>
      </c>
      <c r="J113" s="17" t="s">
        <v>639</v>
      </c>
      <c r="K113" s="17" t="s">
        <v>639</v>
      </c>
      <c r="L113" s="17" t="s">
        <v>639</v>
      </c>
      <c r="M113" s="17"/>
      <c r="N113" s="17"/>
      <c r="O113" s="17" t="s">
        <v>280</v>
      </c>
      <c r="P113" s="17" t="s">
        <v>280</v>
      </c>
      <c r="Q113" s="17" t="s">
        <v>280</v>
      </c>
      <c r="R113" s="17" t="s">
        <v>280</v>
      </c>
      <c r="S113" s="17" t="s">
        <v>280</v>
      </c>
      <c r="T113" s="17" t="s">
        <v>280</v>
      </c>
      <c r="U113" s="17" t="s">
        <v>280</v>
      </c>
      <c r="V113" s="17" t="s">
        <v>280</v>
      </c>
      <c r="W113" s="17" t="s">
        <v>280</v>
      </c>
      <c r="X113" s="17" t="s">
        <v>280</v>
      </c>
      <c r="Y113" s="17" t="s">
        <v>280</v>
      </c>
      <c r="Z113" s="17" t="s">
        <v>280</v>
      </c>
      <c r="AA113" s="17" t="s">
        <v>280</v>
      </c>
      <c r="AB113" s="17" t="s">
        <v>280</v>
      </c>
      <c r="AC113" s="17" t="s">
        <v>280</v>
      </c>
      <c r="AD113" s="17" t="s">
        <v>280</v>
      </c>
      <c r="AE113" s="17" t="s">
        <v>280</v>
      </c>
      <c r="AF113" s="17" t="s">
        <v>280</v>
      </c>
      <c r="AG113" s="17" t="s">
        <v>280</v>
      </c>
      <c r="AH113" s="17" t="s">
        <v>280</v>
      </c>
      <c r="AI113" s="17" t="s">
        <v>280</v>
      </c>
      <c r="AJ113" s="17" t="s">
        <v>280</v>
      </c>
      <c r="AK113" s="17" t="s">
        <v>280</v>
      </c>
      <c r="AL113" s="17" t="s">
        <v>280</v>
      </c>
      <c r="AM113" s="17" t="s">
        <v>280</v>
      </c>
      <c r="AN113" s="17" t="s">
        <v>280</v>
      </c>
      <c r="AO113" s="17" t="s">
        <v>280</v>
      </c>
      <c r="AP113" s="17" t="s">
        <v>280</v>
      </c>
      <c r="AQ113" s="17" t="s">
        <v>280</v>
      </c>
      <c r="AR113" s="17" t="s">
        <v>280</v>
      </c>
      <c r="AS113" s="17" t="s">
        <v>280</v>
      </c>
      <c r="AT113" s="17" t="s">
        <v>280</v>
      </c>
      <c r="AU113" s="17" t="s">
        <v>280</v>
      </c>
      <c r="AV113" s="17" t="s">
        <v>280</v>
      </c>
      <c r="AW113" s="17" t="s">
        <v>280</v>
      </c>
      <c r="AX113" s="17" t="s">
        <v>280</v>
      </c>
      <c r="AY113" s="17" t="s">
        <v>280</v>
      </c>
      <c r="AZ113" s="17" t="s">
        <v>280</v>
      </c>
      <c r="BA113" s="17" t="s">
        <v>280</v>
      </c>
      <c r="BB113" s="201"/>
      <c r="BC113" s="185"/>
      <c r="BD113" s="3"/>
      <c r="BE113" s="18"/>
      <c r="BJ113" s="4"/>
      <c r="BN113">
        <f>C113</f>
        <v>0</v>
      </c>
      <c r="CJ113" s="362" t="s">
        <v>721</v>
      </c>
      <c r="CL113" s="361">
        <f>'Budget IX'!Y28</f>
        <v>1454.3376831828616</v>
      </c>
      <c r="CM113" s="361">
        <f>'Budget IX'!Z28</f>
        <v>1396.164175855547</v>
      </c>
      <c r="CN113" s="361"/>
      <c r="CO113" s="361"/>
      <c r="CP113" s="361"/>
    </row>
    <row r="114" spans="1:101">
      <c r="A114" s="9" t="s">
        <v>95</v>
      </c>
      <c r="BN114">
        <f>C114</f>
        <v>0</v>
      </c>
      <c r="CJ114" s="401" t="s">
        <v>754</v>
      </c>
      <c r="CK114" s="402"/>
      <c r="CL114" s="403">
        <f>$CV$102*CL$8</f>
        <v>1625</v>
      </c>
      <c r="CM114" s="403">
        <f>$CV$102*CM$8</f>
        <v>1430</v>
      </c>
      <c r="CN114" s="361"/>
      <c r="CO114" s="361"/>
      <c r="CP114" s="361"/>
      <c r="CT114" s="403">
        <f>SUM(CL114:CP114)</f>
        <v>3055</v>
      </c>
    </row>
    <row r="115" spans="1:101">
      <c r="BN115">
        <f>C115</f>
        <v>0</v>
      </c>
      <c r="BS115" s="18"/>
      <c r="CJ115" s="401" t="s">
        <v>331</v>
      </c>
      <c r="CK115" s="402"/>
      <c r="CL115" s="403">
        <f ca="1">CL114-CL112</f>
        <v>72.275618038914217</v>
      </c>
      <c r="CM115" s="403">
        <f ca="1">CM114-CM112</f>
        <v>-211.8143564356435</v>
      </c>
      <c r="CN115" s="361"/>
      <c r="CO115" s="361"/>
      <c r="CP115" s="361"/>
      <c r="CT115" s="403">
        <f ca="1">SUM(CL115:CP115)</f>
        <v>-139.53873839672929</v>
      </c>
    </row>
    <row r="116" spans="1:101">
      <c r="E116" s="2" t="str">
        <f t="shared" ref="E116:BA116" si="79">E$10</f>
        <v>Paris</v>
      </c>
      <c r="F116" s="2" t="str">
        <f t="shared" si="79"/>
        <v>Paris</v>
      </c>
      <c r="G116" s="2" t="str">
        <f t="shared" si="79"/>
        <v>Hanoi</v>
      </c>
      <c r="H116" s="2" t="str">
        <f t="shared" si="79"/>
        <v>Hanoi</v>
      </c>
      <c r="I116" s="2" t="str">
        <f t="shared" si="79"/>
        <v>Hanoi</v>
      </c>
      <c r="J116" s="2" t="str">
        <f t="shared" si="79"/>
        <v>Hanoi</v>
      </c>
      <c r="K116" s="2" t="str">
        <f t="shared" si="79"/>
        <v>Hanoi</v>
      </c>
      <c r="L116" s="2" t="str">
        <f t="shared" si="79"/>
        <v>Hanoi</v>
      </c>
      <c r="M116" s="2" t="str">
        <f t="shared" si="79"/>
        <v>Hanoi</v>
      </c>
      <c r="N116" s="2" t="str">
        <f t="shared" si="79"/>
        <v>Hanoi</v>
      </c>
      <c r="O116" s="2" t="str">
        <f t="shared" si="79"/>
        <v>Hanoi</v>
      </c>
      <c r="P116" s="2" t="str">
        <f t="shared" si="79"/>
        <v>Hanoi</v>
      </c>
      <c r="Q116" s="2" t="str">
        <f t="shared" si="79"/>
        <v>Hanoi</v>
      </c>
      <c r="R116" s="2" t="str">
        <f t="shared" si="79"/>
        <v>Ha Giang</v>
      </c>
      <c r="S116" s="2" t="s">
        <v>54</v>
      </c>
      <c r="T116" s="2" t="str">
        <f t="shared" si="79"/>
        <v>Hanoi</v>
      </c>
      <c r="U116" s="2" t="str">
        <f t="shared" si="79"/>
        <v>Hanoi</v>
      </c>
      <c r="V116" s="2" t="str">
        <f t="shared" si="79"/>
        <v>Hanoi</v>
      </c>
      <c r="W116" s="2" t="str">
        <f t="shared" si="79"/>
        <v>Hanoi</v>
      </c>
      <c r="X116" s="2" t="str">
        <f t="shared" si="79"/>
        <v>Hanoi</v>
      </c>
      <c r="Y116" s="2" t="str">
        <f t="shared" si="79"/>
        <v>pharmaciens</v>
      </c>
      <c r="Z116" s="2" t="str">
        <f t="shared" si="79"/>
        <v>Hanoi</v>
      </c>
      <c r="AA116" s="2" t="str">
        <f t="shared" si="79"/>
        <v>Hanoi</v>
      </c>
      <c r="AB116" s="2" t="str">
        <f t="shared" si="79"/>
        <v>Hanoi</v>
      </c>
      <c r="AC116" s="2" t="str">
        <f t="shared" si="79"/>
        <v>Thai Nguyen</v>
      </c>
      <c r="AD116" s="2" t="str">
        <f t="shared" si="79"/>
        <v>Hanoi</v>
      </c>
      <c r="AE116" s="2" t="str">
        <f t="shared" si="79"/>
        <v>Hanoi</v>
      </c>
      <c r="AF116" s="2" t="str">
        <f t="shared" si="79"/>
        <v>Hanoi</v>
      </c>
      <c r="AG116" s="2" t="str">
        <f t="shared" si="79"/>
        <v>Hanoi</v>
      </c>
      <c r="AH116" s="2" t="str">
        <f t="shared" si="79"/>
        <v>Hanoi</v>
      </c>
      <c r="AI116" s="2" t="str">
        <f t="shared" si="79"/>
        <v>Hanoi</v>
      </c>
      <c r="AJ116" s="2" t="str">
        <f t="shared" si="79"/>
        <v>Hanoi</v>
      </c>
      <c r="AK116" s="2" t="str">
        <f t="shared" si="79"/>
        <v>Hanoi</v>
      </c>
      <c r="AL116" s="2" t="str">
        <f t="shared" si="79"/>
        <v>Hanoi</v>
      </c>
      <c r="AM116" s="2" t="str">
        <f t="shared" si="79"/>
        <v>Hanoi</v>
      </c>
      <c r="AN116" s="2" t="str">
        <f t="shared" si="79"/>
        <v>Hanoi</v>
      </c>
      <c r="AO116" s="2" t="str">
        <f t="shared" si="79"/>
        <v>Ha Long</v>
      </c>
      <c r="AP116" s="2" t="str">
        <f t="shared" si="79"/>
        <v>Ha Long</v>
      </c>
      <c r="AQ116" s="2" t="str">
        <f t="shared" si="79"/>
        <v>Hanoi</v>
      </c>
      <c r="AR116" s="2" t="str">
        <f t="shared" si="79"/>
        <v>Hanoi</v>
      </c>
      <c r="AS116" s="2" t="str">
        <f t="shared" si="79"/>
        <v>BacNinh</v>
      </c>
      <c r="AT116" s="2" t="str">
        <f t="shared" si="79"/>
        <v>Hanoi</v>
      </c>
      <c r="AU116" s="2" t="str">
        <f t="shared" si="79"/>
        <v>Hanoi</v>
      </c>
      <c r="AV116" s="2" t="str">
        <f t="shared" si="79"/>
        <v>Hanoi</v>
      </c>
      <c r="AW116" s="2" t="str">
        <f t="shared" si="79"/>
        <v>Hanoi</v>
      </c>
      <c r="AX116" s="2" t="str">
        <f t="shared" si="79"/>
        <v>Hanoi</v>
      </c>
      <c r="AY116" s="2" t="str">
        <f t="shared" si="79"/>
        <v>Hanoi</v>
      </c>
      <c r="AZ116" s="2" t="str">
        <f t="shared" si="79"/>
        <v>Hanoi</v>
      </c>
      <c r="BA116" s="2" t="str">
        <f t="shared" si="79"/>
        <v>Bordeaux</v>
      </c>
      <c r="BN116">
        <f>C116</f>
        <v>0</v>
      </c>
      <c r="CN116" s="361"/>
      <c r="CO116" s="361"/>
      <c r="CP116" s="361"/>
    </row>
    <row r="117" spans="1:101" s="18" customFormat="1" ht="54" customHeight="1">
      <c r="A117" s="18" t="s">
        <v>8</v>
      </c>
      <c r="E117" s="17"/>
      <c r="F117" s="17" t="s">
        <v>639</v>
      </c>
      <c r="G117" s="17" t="s">
        <v>639</v>
      </c>
      <c r="H117" s="17" t="s">
        <v>639</v>
      </c>
      <c r="I117" s="17" t="s">
        <v>639</v>
      </c>
      <c r="J117" s="17" t="s">
        <v>639</v>
      </c>
      <c r="K117" s="17" t="s">
        <v>639</v>
      </c>
      <c r="L117" s="17" t="s">
        <v>639</v>
      </c>
      <c r="M117" s="17"/>
      <c r="N117" s="17"/>
      <c r="O117" s="17" t="s">
        <v>280</v>
      </c>
      <c r="P117" s="17" t="s">
        <v>280</v>
      </c>
      <c r="Q117" s="17" t="s">
        <v>280</v>
      </c>
      <c r="R117" s="17" t="s">
        <v>280</v>
      </c>
      <c r="S117" s="17" t="s">
        <v>280</v>
      </c>
      <c r="T117" s="17" t="s">
        <v>280</v>
      </c>
      <c r="U117" s="17" t="s">
        <v>280</v>
      </c>
      <c r="V117" s="17" t="s">
        <v>280</v>
      </c>
      <c r="W117" s="17" t="s">
        <v>280</v>
      </c>
      <c r="X117" s="17" t="s">
        <v>280</v>
      </c>
      <c r="Y117" s="17" t="s">
        <v>280</v>
      </c>
      <c r="Z117" s="17" t="s">
        <v>280</v>
      </c>
      <c r="AA117" s="17" t="s">
        <v>280</v>
      </c>
      <c r="AB117" s="17" t="s">
        <v>280</v>
      </c>
      <c r="AC117" s="17" t="s">
        <v>280</v>
      </c>
      <c r="AD117" s="17" t="s">
        <v>280</v>
      </c>
      <c r="AE117" s="17" t="s">
        <v>280</v>
      </c>
      <c r="AF117" s="17" t="s">
        <v>280</v>
      </c>
      <c r="AG117" s="17" t="s">
        <v>280</v>
      </c>
      <c r="AH117" s="17" t="s">
        <v>280</v>
      </c>
      <c r="AI117" s="17" t="s">
        <v>280</v>
      </c>
      <c r="AJ117" s="17" t="s">
        <v>280</v>
      </c>
      <c r="AK117" s="17" t="s">
        <v>280</v>
      </c>
      <c r="AL117" s="17" t="s">
        <v>280</v>
      </c>
      <c r="AM117" s="17" t="s">
        <v>280</v>
      </c>
      <c r="AN117" s="17" t="s">
        <v>280</v>
      </c>
      <c r="AO117" s="17" t="s">
        <v>280</v>
      </c>
      <c r="AP117" s="17" t="s">
        <v>280</v>
      </c>
      <c r="AQ117" s="17" t="s">
        <v>280</v>
      </c>
      <c r="AR117" s="17" t="s">
        <v>280</v>
      </c>
      <c r="AS117" s="17" t="s">
        <v>280</v>
      </c>
      <c r="AT117" s="17" t="s">
        <v>280</v>
      </c>
      <c r="AU117" s="17" t="s">
        <v>280</v>
      </c>
      <c r="AV117" s="17" t="s">
        <v>280</v>
      </c>
      <c r="AW117" s="17" t="s">
        <v>280</v>
      </c>
      <c r="AX117" s="17" t="s">
        <v>280</v>
      </c>
      <c r="AY117" s="17" t="s">
        <v>280</v>
      </c>
      <c r="AZ117" s="17" t="s">
        <v>280</v>
      </c>
      <c r="BA117" s="17" t="s">
        <v>280</v>
      </c>
      <c r="BB117" s="201"/>
      <c r="BC117" s="185"/>
      <c r="BD117" s="17"/>
      <c r="BN117"/>
      <c r="BO117"/>
      <c r="BP117"/>
      <c r="BQ117"/>
      <c r="BR117"/>
      <c r="BS117"/>
      <c r="CJ117"/>
    </row>
    <row r="118" spans="1:101">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198"/>
      <c r="BC118" s="63"/>
      <c r="BD118" s="2"/>
      <c r="CI118" s="3" t="s">
        <v>328</v>
      </c>
      <c r="CQ118" s="108"/>
      <c r="CR118" s="108"/>
    </row>
    <row r="119" spans="1:101">
      <c r="V119" s="6"/>
      <c r="BN119" s="18"/>
      <c r="BP119" s="18"/>
      <c r="BQ119" s="18"/>
      <c r="BR119" s="18"/>
      <c r="CI119" s="4" t="s">
        <v>329</v>
      </c>
    </row>
    <row r="120" spans="1:101">
      <c r="V120" s="6"/>
      <c r="CT120"/>
      <c r="CW120"/>
    </row>
    <row r="121" spans="1:101">
      <c r="E121"/>
      <c r="I121"/>
      <c r="J121"/>
      <c r="K121"/>
      <c r="L121"/>
      <c r="M121"/>
      <c r="N121"/>
      <c r="V121" s="6"/>
      <c r="BO121" s="18"/>
      <c r="CJ121" s="175" t="s">
        <v>301</v>
      </c>
      <c r="CS121" s="108"/>
    </row>
    <row r="122" spans="1:101">
      <c r="E122"/>
      <c r="I122"/>
      <c r="J122"/>
      <c r="K122"/>
      <c r="L122"/>
      <c r="M122"/>
      <c r="N122"/>
      <c r="V122" s="6"/>
      <c r="CI122" s="172" t="s">
        <v>296</v>
      </c>
      <c r="CJ122" s="118" t="s">
        <v>224</v>
      </c>
      <c r="CK122" s="118" t="str">
        <f>+CK$11</f>
        <v>France</v>
      </c>
      <c r="CL122" s="118" t="str">
        <f>CL$33</f>
        <v>JUIN 25 jrs</v>
      </c>
      <c r="CM122" s="118" t="str">
        <f>CM$33</f>
        <v>JUIL 22 jrs</v>
      </c>
      <c r="CN122" s="118" t="e">
        <f>CN$33</f>
        <v>#N/A</v>
      </c>
      <c r="CO122" s="118" t="e">
        <f>CO$33</f>
        <v>#N/A</v>
      </c>
      <c r="CP122" s="118" t="e">
        <f>CP$33</f>
        <v>#N/A</v>
      </c>
      <c r="CQ122" s="4">
        <v>202209</v>
      </c>
      <c r="CR122" s="4">
        <v>202210</v>
      </c>
      <c r="CS122" s="108"/>
    </row>
    <row r="123" spans="1:101">
      <c r="E123"/>
      <c r="I123"/>
      <c r="J123"/>
      <c r="K123"/>
      <c r="L123"/>
      <c r="M123"/>
      <c r="N123"/>
      <c r="V123" s="6"/>
      <c r="BE123" s="438" t="s">
        <v>722</v>
      </c>
      <c r="CI123" s="171" t="s">
        <v>295</v>
      </c>
      <c r="CJ123" s="169">
        <v>950</v>
      </c>
      <c r="CK123" s="278">
        <f t="shared" ref="CK123:CR123" ca="1" si="80">-SUM(CK124:CK128)</f>
        <v>0</v>
      </c>
      <c r="CL123" s="278">
        <f t="shared" ca="1" si="80"/>
        <v>1539.6515909832538</v>
      </c>
      <c r="CM123" s="278">
        <f t="shared" ca="1" si="80"/>
        <v>1652.1850117800016</v>
      </c>
      <c r="CN123" s="278" t="e">
        <f ca="1">-SUM(CN124:CN129)</f>
        <v>#N/A</v>
      </c>
      <c r="CO123" s="278" t="e">
        <f ca="1">-SUM(CO124:CO129)</f>
        <v>#N/A</v>
      </c>
      <c r="CP123" s="278" t="e">
        <f ca="1">-SUM(CP124:CP129)</f>
        <v>#N/A</v>
      </c>
      <c r="CQ123" s="278" t="e">
        <f t="shared" ca="1" si="80"/>
        <v>#REF!</v>
      </c>
      <c r="CR123" s="278" t="e">
        <f t="shared" ca="1" si="80"/>
        <v>#REF!</v>
      </c>
      <c r="CS123" s="108"/>
      <c r="CT123" s="169" t="s">
        <v>1287</v>
      </c>
    </row>
    <row r="124" spans="1:101">
      <c r="E124"/>
      <c r="I124"/>
      <c r="J124"/>
      <c r="K124"/>
      <c r="L124"/>
      <c r="M124"/>
      <c r="N124"/>
      <c r="V124" s="6"/>
      <c r="BE124" s="439" t="s">
        <v>328</v>
      </c>
      <c r="CI124" s="170" t="s">
        <v>328</v>
      </c>
      <c r="CJ124" s="170">
        <v>120</v>
      </c>
      <c r="CK124" s="278">
        <f t="shared" ref="CK124:CR124" ca="1" si="81">-SUM(CK12:CK17)/TAUXmoyen</f>
        <v>0</v>
      </c>
      <c r="CL124" s="278">
        <f t="shared" ca="1" si="81"/>
        <v>-551.76320015029694</v>
      </c>
      <c r="CM124" s="278">
        <f t="shared" ca="1" si="81"/>
        <v>-715.00591500591497</v>
      </c>
      <c r="CN124" s="278" t="e">
        <f t="shared" ca="1" si="81"/>
        <v>#N/A</v>
      </c>
      <c r="CO124" s="278" t="e">
        <f ca="1">-SUM(CO12:CO17)/TAUXmoyen</f>
        <v>#N/A</v>
      </c>
      <c r="CP124" s="278" t="e">
        <f ca="1">-SUM(CP12:CP17)/TAUXmoyen</f>
        <v>#N/A</v>
      </c>
      <c r="CQ124" s="278" t="e">
        <f t="shared" ca="1" si="81"/>
        <v>#REF!</v>
      </c>
      <c r="CR124" s="278" t="e">
        <f t="shared" ca="1" si="81"/>
        <v>#REF!</v>
      </c>
      <c r="CS124" s="108"/>
      <c r="CT124" s="170" t="s">
        <v>328</v>
      </c>
    </row>
    <row r="125" spans="1:101">
      <c r="E125"/>
      <c r="I125"/>
      <c r="J125"/>
      <c r="K125"/>
      <c r="L125"/>
      <c r="M125"/>
      <c r="N125"/>
      <c r="V125" s="6"/>
      <c r="BE125" s="170" t="s">
        <v>1288</v>
      </c>
      <c r="CI125" s="170" t="s">
        <v>61</v>
      </c>
      <c r="CJ125" s="170">
        <v>580</v>
      </c>
      <c r="CK125" s="278">
        <f t="shared" ref="CK125:CP125" ca="1" si="82">((CK18+CK19+CK20+CK21+CK22+CK23+CK24)/TAUXmoyen)*-1</f>
        <v>0</v>
      </c>
      <c r="CL125" s="278">
        <f t="shared" ca="1" si="82"/>
        <v>-655.18548851882178</v>
      </c>
      <c r="CM125" s="278">
        <f t="shared" ca="1" si="82"/>
        <v>-730.10889677556338</v>
      </c>
      <c r="CN125" s="278" t="e">
        <f t="shared" ca="1" si="82"/>
        <v>#N/A</v>
      </c>
      <c r="CO125" s="278" t="e">
        <f t="shared" ca="1" si="82"/>
        <v>#N/A</v>
      </c>
      <c r="CP125" s="278" t="e">
        <f t="shared" ca="1" si="82"/>
        <v>#N/A</v>
      </c>
      <c r="CQ125" s="278" t="e">
        <f ca="1">((CQ18+CQ19+CQ20+CQ21+CQ22+CQ23+CQ24+CQ27)/TAUXmoyen)*-1</f>
        <v>#REF!</v>
      </c>
      <c r="CR125" s="278" t="e">
        <f ca="1">((CR18+CR19+CR20+CR21+CR22+CR23+CR24+CR27)/TAUXmoyen)*-1</f>
        <v>#REF!</v>
      </c>
      <c r="CS125" s="108"/>
      <c r="CT125" s="170" t="s">
        <v>1288</v>
      </c>
    </row>
    <row r="126" spans="1:101">
      <c r="E126"/>
      <c r="I126"/>
      <c r="J126"/>
      <c r="K126"/>
      <c r="L126"/>
      <c r="M126"/>
      <c r="N126"/>
      <c r="V126" s="6"/>
      <c r="BE126" s="439" t="s">
        <v>145</v>
      </c>
      <c r="CI126" s="170" t="s">
        <v>145</v>
      </c>
      <c r="CJ126" s="170">
        <v>60</v>
      </c>
      <c r="CK126" s="278">
        <f t="shared" ref="CK126:CN127" ca="1" si="83">-CK25/TAUXmoyen</f>
        <v>0</v>
      </c>
      <c r="CL126" s="278">
        <f t="shared" ca="1" si="83"/>
        <v>-35.490035490035488</v>
      </c>
      <c r="CM126" s="278">
        <f t="shared" ca="1" si="83"/>
        <v>-37.06737040070373</v>
      </c>
      <c r="CN126" s="278" t="e">
        <f t="shared" ca="1" si="83"/>
        <v>#N/A</v>
      </c>
      <c r="CO126" s="278" t="e">
        <f ca="1">-CO25/TAUXmoyen</f>
        <v>#N/A</v>
      </c>
      <c r="CP126" s="278" t="e">
        <f ca="1">-CP25/TAUXmoyen</f>
        <v>#N/A</v>
      </c>
      <c r="CQ126" s="278" t="e">
        <f ca="1">CQ25/TAUXmoyen</f>
        <v>#REF!</v>
      </c>
      <c r="CR126" s="278" t="e">
        <f ca="1">CR25/TAUXmoyen</f>
        <v>#REF!</v>
      </c>
      <c r="CS126" s="142"/>
      <c r="CT126" s="170" t="s">
        <v>145</v>
      </c>
    </row>
    <row r="127" spans="1:101">
      <c r="E127"/>
      <c r="I127"/>
      <c r="J127"/>
      <c r="K127"/>
      <c r="L127"/>
      <c r="M127"/>
      <c r="N127"/>
      <c r="V127" s="6"/>
      <c r="BE127" s="439" t="s">
        <v>206</v>
      </c>
      <c r="CI127" s="170" t="s">
        <v>206</v>
      </c>
      <c r="CJ127" s="170">
        <v>140</v>
      </c>
      <c r="CK127" s="278">
        <f t="shared" ca="1" si="83"/>
        <v>0</v>
      </c>
      <c r="CL127" s="278">
        <f t="shared" ca="1" si="83"/>
        <v>-80.444080444080441</v>
      </c>
      <c r="CM127" s="278">
        <f t="shared" ca="1" si="83"/>
        <v>-120.86328752995419</v>
      </c>
      <c r="CN127" s="278" t="e">
        <f t="shared" ca="1" si="83"/>
        <v>#N/A</v>
      </c>
      <c r="CO127" s="278" t="e">
        <f ca="1">-CO26/TAUXmoyen</f>
        <v>#N/A</v>
      </c>
      <c r="CP127" s="278" t="e">
        <f ca="1">-CP26/TAUXmoyen</f>
        <v>#N/A</v>
      </c>
      <c r="CQ127" s="278" t="e">
        <f ca="1">CQ26/TAUXmoyen</f>
        <v>#REF!</v>
      </c>
      <c r="CR127" s="278" t="e">
        <f ca="1">CR26/TAUXmoyen</f>
        <v>#REF!</v>
      </c>
      <c r="CS127" s="142"/>
      <c r="CT127" s="170" t="s">
        <v>206</v>
      </c>
    </row>
    <row r="128" spans="1:101">
      <c r="E128"/>
      <c r="I128"/>
      <c r="J128"/>
      <c r="K128"/>
      <c r="L128"/>
      <c r="M128"/>
      <c r="N128"/>
      <c r="V128" s="6"/>
      <c r="BE128" s="439" t="s">
        <v>136</v>
      </c>
      <c r="CI128" s="170" t="s">
        <v>136</v>
      </c>
      <c r="CJ128" s="170">
        <v>560</v>
      </c>
      <c r="CK128" s="278">
        <f ca="1">CK27/TAUXmoyen</f>
        <v>0</v>
      </c>
      <c r="CL128" s="278">
        <f ca="1">-CL27/cashVIII!$O$22</f>
        <v>-216.76878638001881</v>
      </c>
      <c r="CM128" s="278">
        <f ca="1">-CM27/cashVIII!$O$22</f>
        <v>-49.139542067865321</v>
      </c>
      <c r="CN128" s="278" t="e">
        <f ca="1">-CN27/cashVIII!$O$22</f>
        <v>#N/A</v>
      </c>
      <c r="CO128" s="278" t="e">
        <f ca="1">-CO27/cashVIII!$O$22</f>
        <v>#N/A</v>
      </c>
      <c r="CP128" s="278" t="e">
        <f ca="1">-CP27/cashVIII!$O$22</f>
        <v>#N/A</v>
      </c>
      <c r="CQ128" s="278" t="e">
        <f ca="1">-CQ27/cashVIII!$O$22</f>
        <v>#REF!</v>
      </c>
      <c r="CR128" s="278" t="e">
        <f ca="1">-CR27/cashVIII!$O$22</f>
        <v>#REF!</v>
      </c>
      <c r="CS128" s="142"/>
      <c r="CT128" s="170" t="s">
        <v>136</v>
      </c>
    </row>
    <row r="129" spans="5:98">
      <c r="E129"/>
      <c r="I129"/>
      <c r="J129"/>
      <c r="K129"/>
      <c r="L129"/>
      <c r="M129"/>
      <c r="N129"/>
      <c r="V129" s="6"/>
      <c r="BE129" s="170" t="s">
        <v>809</v>
      </c>
      <c r="BF129" s="2"/>
      <c r="BN129" s="2"/>
      <c r="BO129" s="2"/>
      <c r="BP129" s="2"/>
      <c r="BQ129" s="2"/>
      <c r="BR129" s="2"/>
      <c r="BS129" s="2"/>
      <c r="BT129" s="2"/>
      <c r="BU129" s="2"/>
      <c r="BV129" s="2"/>
      <c r="BW129" s="2"/>
      <c r="BX129" s="2"/>
      <c r="BY129" s="2"/>
      <c r="BZ129" s="2"/>
      <c r="CA129" s="2"/>
      <c r="CB129" s="2"/>
      <c r="CC129" s="2"/>
      <c r="CD129" s="2"/>
      <c r="CE129" s="2"/>
      <c r="CF129" s="2"/>
      <c r="CG129" s="2"/>
      <c r="CH129" s="2"/>
      <c r="CI129" s="170"/>
      <c r="CJ129" s="170">
        <v>165</v>
      </c>
      <c r="CK129" s="278"/>
      <c r="CL129" s="278">
        <f ca="1">-CL109</f>
        <v>0</v>
      </c>
      <c r="CM129" s="278">
        <f ca="1">-CM109</f>
        <v>0</v>
      </c>
      <c r="CN129" s="278" t="e">
        <f ca="1">-CN109</f>
        <v>#N/A</v>
      </c>
      <c r="CO129" s="278" t="e">
        <f ca="1">-CO109</f>
        <v>#N/A</v>
      </c>
      <c r="CP129" s="278" t="e">
        <f ca="1">-CP109</f>
        <v>#N/A</v>
      </c>
      <c r="CQ129" s="278"/>
      <c r="CR129" s="278"/>
      <c r="CS129" s="142"/>
      <c r="CT129" s="170" t="s">
        <v>809</v>
      </c>
    </row>
    <row r="130" spans="5:98">
      <c r="E130"/>
      <c r="I130"/>
      <c r="J130"/>
      <c r="K130"/>
      <c r="L130"/>
      <c r="M130"/>
      <c r="N130"/>
      <c r="V130" s="6"/>
      <c r="BE130" s="439" t="s">
        <v>624</v>
      </c>
      <c r="CI130" s="2" t="s">
        <v>258</v>
      </c>
      <c r="CJ130" s="169">
        <v>580</v>
      </c>
      <c r="CK130" s="173">
        <f t="shared" ref="CK130:CQ130" ca="1" si="84">CK136</f>
        <v>9868</v>
      </c>
      <c r="CL130" s="173">
        <f t="shared" ca="1" si="84"/>
        <v>8328.3484090167458</v>
      </c>
      <c r="CM130" s="173">
        <f t="shared" ca="1" si="84"/>
        <v>6676.1633972367445</v>
      </c>
      <c r="CN130" s="173" t="e">
        <f t="shared" ca="1" si="84"/>
        <v>#N/A</v>
      </c>
      <c r="CO130" s="173">
        <v>1134.5</v>
      </c>
      <c r="CP130" s="173" t="e">
        <f t="shared" ca="1" si="84"/>
        <v>#N/A</v>
      </c>
      <c r="CQ130" s="173" t="e">
        <f t="shared" ca="1" si="84"/>
        <v>#REF!</v>
      </c>
      <c r="CR130" s="173" t="e">
        <f ca="1">CR136</f>
        <v>#REF!</v>
      </c>
      <c r="CS130" s="142"/>
      <c r="CT130" s="170" t="s">
        <v>983</v>
      </c>
    </row>
    <row r="131" spans="5:98">
      <c r="E131"/>
      <c r="I131"/>
      <c r="J131"/>
      <c r="K131"/>
      <c r="L131"/>
      <c r="M131"/>
      <c r="N131"/>
      <c r="V131" s="6"/>
      <c r="BE131" s="439" t="s">
        <v>723</v>
      </c>
      <c r="CI131" s="191" t="s">
        <v>307</v>
      </c>
      <c r="CJ131" s="169">
        <v>580</v>
      </c>
      <c r="CK131" s="169" t="s">
        <v>297</v>
      </c>
      <c r="CL131" s="174">
        <f t="shared" ref="CL131:CQ131" ca="1" si="85">-CL130</f>
        <v>-8328.3484090167458</v>
      </c>
      <c r="CM131" s="174">
        <f t="shared" ca="1" si="85"/>
        <v>-6676.1633972367445</v>
      </c>
      <c r="CN131" s="174" t="e">
        <f t="shared" ca="1" si="85"/>
        <v>#N/A</v>
      </c>
      <c r="CO131" s="174">
        <f t="shared" si="85"/>
        <v>-1134.5</v>
      </c>
      <c r="CP131" s="174" t="e">
        <f t="shared" ca="1" si="85"/>
        <v>#N/A</v>
      </c>
      <c r="CQ131" s="174" t="e">
        <f t="shared" ca="1" si="85"/>
        <v>#REF!</v>
      </c>
      <c r="CR131" s="174" t="e">
        <f ca="1">-CR130</f>
        <v>#REF!</v>
      </c>
      <c r="CS131" s="142"/>
      <c r="CT131" s="170" t="s">
        <v>258</v>
      </c>
    </row>
    <row r="132" spans="5:98">
      <c r="E132"/>
      <c r="I132"/>
      <c r="J132"/>
      <c r="K132"/>
      <c r="L132"/>
      <c r="M132"/>
      <c r="N132"/>
      <c r="V132" s="6"/>
      <c r="BE132" s="26"/>
      <c r="CJ132" s="476" t="s">
        <v>984</v>
      </c>
      <c r="CK132" s="477"/>
      <c r="CL132" s="477"/>
      <c r="CM132" s="477"/>
      <c r="CN132" s="476" t="s">
        <v>985</v>
      </c>
      <c r="CO132" s="477"/>
      <c r="CP132" s="477"/>
      <c r="CQ132" s="477"/>
      <c r="CR132" s="477"/>
      <c r="CS132" s="477"/>
    </row>
    <row r="133" spans="5:98">
      <c r="E133"/>
      <c r="I133"/>
      <c r="J133"/>
      <c r="K133"/>
      <c r="L133"/>
      <c r="M133"/>
      <c r="N133"/>
      <c r="BE133" s="26"/>
      <c r="CJ133" s="161" t="s">
        <v>299</v>
      </c>
      <c r="CK133" s="104">
        <f>cashVIII!$X$5</f>
        <v>9868</v>
      </c>
      <c r="CL133" s="104">
        <f>cashVIII!$X$5</f>
        <v>9868</v>
      </c>
      <c r="CM133" s="104">
        <f>cashVIII!$X$5</f>
        <v>9868</v>
      </c>
      <c r="CN133" s="104">
        <f>cashVIII!$X$5</f>
        <v>9868</v>
      </c>
      <c r="CO133" s="104">
        <f>cashVIII!$X$5</f>
        <v>9868</v>
      </c>
      <c r="CP133" s="104">
        <f>cashVIII!$X$5</f>
        <v>9868</v>
      </c>
      <c r="CQ133" s="104" t="e">
        <f>electr!#REF!</f>
        <v>#REF!</v>
      </c>
      <c r="CR133" s="104" t="e">
        <f>electr!#REF!</f>
        <v>#REF!</v>
      </c>
      <c r="CS133" s="142"/>
    </row>
    <row r="134" spans="5:98">
      <c r="E134"/>
      <c r="I134"/>
      <c r="J134"/>
      <c r="K134"/>
      <c r="L134"/>
      <c r="M134"/>
      <c r="N134"/>
      <c r="BE134" s="26"/>
      <c r="CJ134" s="142" t="s">
        <v>298</v>
      </c>
      <c r="CK134" s="108">
        <f ca="1">SUM(CK124:CK128)</f>
        <v>0</v>
      </c>
      <c r="CL134" s="108">
        <f ca="1">SUM(CL124:CL129)</f>
        <v>-1539.6515909832538</v>
      </c>
      <c r="CM134" s="108">
        <f ca="1">SUM(CM124:CM129)</f>
        <v>-1652.1850117800016</v>
      </c>
      <c r="CN134" s="108" t="e">
        <f ca="1">SUM(CN124:CN129)</f>
        <v>#N/A</v>
      </c>
      <c r="CO134" s="108" t="e">
        <f ca="1">SUM(CO124:CO129)</f>
        <v>#N/A</v>
      </c>
      <c r="CP134" s="108" t="e">
        <f ca="1">SUM(CP124:CP129)</f>
        <v>#N/A</v>
      </c>
      <c r="CQ134" s="108" t="e">
        <f ca="1">SUM(CQ124:CQ125)</f>
        <v>#REF!</v>
      </c>
      <c r="CR134" s="108" t="e">
        <f ca="1">SUM(CR124:CR125)</f>
        <v>#REF!</v>
      </c>
      <c r="CS134" s="142"/>
    </row>
    <row r="135" spans="5:98">
      <c r="E135"/>
      <c r="I135"/>
      <c r="J135"/>
      <c r="K135"/>
      <c r="L135"/>
      <c r="M135"/>
      <c r="N135"/>
      <c r="BE135" s="26"/>
      <c r="CJ135" s="161" t="s">
        <v>300</v>
      </c>
      <c r="CK135" s="104">
        <f ca="1">CK134</f>
        <v>0</v>
      </c>
      <c r="CL135" s="104">
        <f ca="1">CL134+CK135</f>
        <v>-1539.6515909832538</v>
      </c>
      <c r="CM135" s="104">
        <f ca="1">CM134+CL135</f>
        <v>-3191.8366027632555</v>
      </c>
      <c r="CN135" s="104" t="e">
        <f ca="1">CN134+CM135</f>
        <v>#N/A</v>
      </c>
      <c r="CO135" s="104" t="e">
        <f ca="1">CO134</f>
        <v>#N/A</v>
      </c>
      <c r="CP135" s="104" t="e">
        <f ca="1">CP134</f>
        <v>#N/A</v>
      </c>
      <c r="CQ135" s="104" t="e">
        <f ca="1">CQ134</f>
        <v>#REF!</v>
      </c>
      <c r="CR135" s="104" t="e">
        <f ca="1">CR134</f>
        <v>#REF!</v>
      </c>
      <c r="CS135" s="142"/>
    </row>
    <row r="136" spans="5:98">
      <c r="E136"/>
      <c r="I136"/>
      <c r="J136"/>
      <c r="K136"/>
      <c r="L136"/>
      <c r="M136"/>
      <c r="N136"/>
      <c r="BE136" s="26"/>
      <c r="CJ136" s="142" t="s">
        <v>258</v>
      </c>
      <c r="CK136" s="108">
        <f ca="1">CK133+CK134</f>
        <v>9868</v>
      </c>
      <c r="CL136" s="108">
        <f ca="1">CL133+CL135</f>
        <v>8328.3484090167458</v>
      </c>
      <c r="CM136" s="108">
        <f t="shared" ref="CM136:CR136" ca="1" si="86">CM133+CM135</f>
        <v>6676.1633972367445</v>
      </c>
      <c r="CN136" s="108" t="e">
        <f t="shared" ca="1" si="86"/>
        <v>#N/A</v>
      </c>
      <c r="CO136" s="108" t="e">
        <f t="shared" ca="1" si="86"/>
        <v>#N/A</v>
      </c>
      <c r="CP136" s="108" t="e">
        <f t="shared" ca="1" si="86"/>
        <v>#N/A</v>
      </c>
      <c r="CQ136" s="108" t="e">
        <f t="shared" ca="1" si="86"/>
        <v>#REF!</v>
      </c>
      <c r="CR136" s="108" t="e">
        <f t="shared" ca="1" si="86"/>
        <v>#REF!</v>
      </c>
    </row>
    <row r="137" spans="5:98">
      <c r="E137"/>
      <c r="I137"/>
      <c r="J137"/>
      <c r="K137"/>
      <c r="L137"/>
      <c r="M137"/>
      <c r="N137"/>
      <c r="BE137" s="26"/>
      <c r="CK137" s="142">
        <f ca="1">-CK135+CK136</f>
        <v>9868</v>
      </c>
      <c r="CL137" s="142">
        <f t="shared" ref="CL137:CQ137" ca="1" si="87">-CL135+CL136</f>
        <v>9868</v>
      </c>
      <c r="CM137" s="142">
        <f t="shared" ca="1" si="87"/>
        <v>9868</v>
      </c>
      <c r="CN137" s="142" t="e">
        <f t="shared" ca="1" si="87"/>
        <v>#N/A</v>
      </c>
      <c r="CO137" s="142" t="e">
        <f t="shared" ca="1" si="87"/>
        <v>#N/A</v>
      </c>
      <c r="CP137" s="142" t="e">
        <f t="shared" ca="1" si="87"/>
        <v>#N/A</v>
      </c>
      <c r="CQ137" s="142" t="e">
        <f t="shared" ca="1" si="87"/>
        <v>#REF!</v>
      </c>
      <c r="CR137" s="142" t="e">
        <f ca="1">-CR135+CR136</f>
        <v>#REF!</v>
      </c>
    </row>
    <row r="138" spans="5:98">
      <c r="E138"/>
      <c r="I138"/>
      <c r="J138"/>
      <c r="K138"/>
      <c r="L138"/>
      <c r="M138"/>
      <c r="N138"/>
      <c r="BE138" s="26"/>
    </row>
    <row r="139" spans="5:98">
      <c r="E139"/>
      <c r="I139"/>
      <c r="J139"/>
      <c r="K139"/>
      <c r="L139"/>
      <c r="M139"/>
      <c r="N139"/>
      <c r="BE139" s="26"/>
      <c r="CJ139" s="175" t="s">
        <v>301</v>
      </c>
      <c r="CK139" s="94"/>
      <c r="CL139" s="118" t="s">
        <v>308</v>
      </c>
      <c r="CM139" s="94"/>
    </row>
    <row r="140" spans="5:98">
      <c r="E140"/>
      <c r="I140"/>
      <c r="J140"/>
      <c r="K140"/>
      <c r="L140"/>
      <c r="M140"/>
      <c r="N140"/>
      <c r="BE140" s="26"/>
      <c r="CI140" s="172" t="s">
        <v>296</v>
      </c>
      <c r="CK140" s="4" t="str">
        <f t="shared" ref="CK140:CR140" si="88">CK122</f>
        <v>France</v>
      </c>
      <c r="CL140" s="4" t="str">
        <f t="shared" si="88"/>
        <v>JUIN 25 jrs</v>
      </c>
      <c r="CM140" s="4" t="str">
        <f t="shared" si="88"/>
        <v>JUIL 22 jrs</v>
      </c>
      <c r="CN140" s="4" t="e">
        <f t="shared" si="88"/>
        <v>#N/A</v>
      </c>
      <c r="CO140" s="4" t="e">
        <f t="shared" si="88"/>
        <v>#N/A</v>
      </c>
      <c r="CP140" s="4" t="e">
        <f t="shared" si="88"/>
        <v>#N/A</v>
      </c>
      <c r="CQ140" s="4">
        <f t="shared" si="88"/>
        <v>202209</v>
      </c>
      <c r="CR140" s="4">
        <f t="shared" si="88"/>
        <v>202210</v>
      </c>
    </row>
    <row r="141" spans="5:98">
      <c r="E141"/>
      <c r="I141"/>
      <c r="J141"/>
      <c r="K141"/>
      <c r="L141"/>
      <c r="M141"/>
      <c r="N141"/>
      <c r="BE141" s="438" t="s">
        <v>722</v>
      </c>
      <c r="CI141" s="171" t="s">
        <v>295</v>
      </c>
      <c r="CJ141" s="169">
        <v>950</v>
      </c>
      <c r="CK141" s="278"/>
      <c r="CL141" s="278">
        <v>1539.6515909832538</v>
      </c>
      <c r="CM141" s="278">
        <v>1652.1850117800016</v>
      </c>
      <c r="CN141" s="303">
        <v>2113.5435304877878</v>
      </c>
      <c r="CO141" s="108">
        <v>3354.2101490740183</v>
      </c>
      <c r="CP141" s="108">
        <v>756.11488923779871</v>
      </c>
      <c r="CQ141" s="108"/>
      <c r="CR141" s="108"/>
      <c r="CT141" s="169" t="s">
        <v>1287</v>
      </c>
    </row>
    <row r="142" spans="5:98">
      <c r="E142"/>
      <c r="I142"/>
      <c r="J142"/>
      <c r="K142"/>
      <c r="L142"/>
      <c r="M142"/>
      <c r="N142"/>
      <c r="BE142" s="439" t="s">
        <v>328</v>
      </c>
      <c r="CI142" s="170" t="s">
        <v>328</v>
      </c>
      <c r="CJ142" s="170">
        <v>120</v>
      </c>
      <c r="CK142" s="278"/>
      <c r="CL142" s="278">
        <v>-551.76320015029694</v>
      </c>
      <c r="CM142" s="278">
        <v>-715.00591500591497</v>
      </c>
      <c r="CN142" s="303">
        <v>-794.99060759955341</v>
      </c>
      <c r="CO142" s="108">
        <v>-738.3694432279616</v>
      </c>
      <c r="CP142" s="108">
        <v>-413.80249860697558</v>
      </c>
      <c r="CQ142" s="108"/>
      <c r="CR142" s="108"/>
      <c r="CT142" s="170" t="s">
        <v>328</v>
      </c>
    </row>
    <row r="143" spans="5:98">
      <c r="E143"/>
      <c r="I143"/>
      <c r="J143"/>
      <c r="K143"/>
      <c r="L143"/>
      <c r="M143"/>
      <c r="N143"/>
      <c r="BE143" s="439" t="s">
        <v>61</v>
      </c>
      <c r="CI143" s="170" t="s">
        <v>61</v>
      </c>
      <c r="CJ143" s="170">
        <v>580</v>
      </c>
      <c r="CK143" s="278"/>
      <c r="CL143" s="278">
        <v>-655.18548851882178</v>
      </c>
      <c r="CM143" s="278">
        <v>-730.10889677556338</v>
      </c>
      <c r="CN143" s="278">
        <v>-754.05419876398526</v>
      </c>
      <c r="CO143" s="108">
        <v>-2350.0556609051446</v>
      </c>
      <c r="CP143" s="108">
        <v>-206.78236331461392</v>
      </c>
      <c r="CQ143" s="108"/>
      <c r="CR143" s="108"/>
      <c r="CT143" s="170" t="s">
        <v>1288</v>
      </c>
    </row>
    <row r="144" spans="5:98">
      <c r="E144"/>
      <c r="I144"/>
      <c r="J144"/>
      <c r="K144"/>
      <c r="L144"/>
      <c r="M144"/>
      <c r="N144"/>
      <c r="BE144" s="439" t="s">
        <v>145</v>
      </c>
      <c r="CI144" s="170" t="s">
        <v>145</v>
      </c>
      <c r="CJ144" s="170">
        <v>60</v>
      </c>
      <c r="CK144" s="278"/>
      <c r="CL144" s="278">
        <v>-35.490035490035488</v>
      </c>
      <c r="CM144" s="278">
        <v>-37.06737040070373</v>
      </c>
      <c r="CN144" s="303">
        <v>0</v>
      </c>
      <c r="CO144" s="108">
        <v>0</v>
      </c>
      <c r="CP144" s="108">
        <v>0</v>
      </c>
      <c r="CQ144" s="108"/>
      <c r="CR144" s="108"/>
      <c r="CT144" s="170" t="s">
        <v>145</v>
      </c>
    </row>
    <row r="145" spans="5:98">
      <c r="E145"/>
      <c r="I145"/>
      <c r="J145"/>
      <c r="K145"/>
      <c r="L145"/>
      <c r="M145"/>
      <c r="N145"/>
      <c r="BE145" s="439" t="s">
        <v>206</v>
      </c>
      <c r="CI145" s="170" t="s">
        <v>206</v>
      </c>
      <c r="CJ145" s="170">
        <v>140</v>
      </c>
      <c r="CK145" s="278"/>
      <c r="CL145" s="278">
        <v>-80.444080444080441</v>
      </c>
      <c r="CM145" s="278">
        <v>-120.86328752995419</v>
      </c>
      <c r="CN145" s="303">
        <v>0</v>
      </c>
      <c r="CO145" s="108">
        <v>-42.292171694311584</v>
      </c>
      <c r="CP145" s="108">
        <v>-58.650421177774739</v>
      </c>
      <c r="CQ145" s="108"/>
      <c r="CR145" s="108"/>
      <c r="CT145" s="170" t="s">
        <v>206</v>
      </c>
    </row>
    <row r="146" spans="5:98">
      <c r="E146"/>
      <c r="I146"/>
      <c r="J146"/>
      <c r="K146"/>
      <c r="L146"/>
      <c r="M146"/>
      <c r="N146"/>
      <c r="BE146" s="439" t="s">
        <v>136</v>
      </c>
      <c r="CI146" s="170" t="s">
        <v>136</v>
      </c>
      <c r="CJ146" s="170">
        <v>560</v>
      </c>
      <c r="CK146" s="278"/>
      <c r="CL146" s="278">
        <v>-216.76878638001881</v>
      </c>
      <c r="CM146" s="278">
        <v>-49.139542067865321</v>
      </c>
      <c r="CN146" s="303">
        <v>-165.13263854580225</v>
      </c>
      <c r="CO146" s="108">
        <v>-223.49287324660057</v>
      </c>
      <c r="CP146" s="108">
        <v>-76.879606138434454</v>
      </c>
      <c r="CT146" s="170" t="s">
        <v>136</v>
      </c>
    </row>
    <row r="147" spans="5:98">
      <c r="E147"/>
      <c r="I147"/>
      <c r="J147"/>
      <c r="K147"/>
      <c r="L147"/>
      <c r="M147"/>
      <c r="N147"/>
      <c r="BE147" s="170" t="s">
        <v>809</v>
      </c>
      <c r="BF147" s="2"/>
      <c r="BN147" s="2"/>
      <c r="BO147" s="2"/>
      <c r="BP147" s="2"/>
      <c r="BQ147" s="2"/>
      <c r="BR147" s="2"/>
      <c r="BS147" s="2"/>
      <c r="BT147" s="2"/>
      <c r="BU147" s="2"/>
      <c r="BV147" s="2"/>
      <c r="BW147" s="2"/>
      <c r="BX147" s="2"/>
      <c r="BY147" s="2"/>
      <c r="BZ147" s="2"/>
      <c r="CA147" s="2"/>
      <c r="CB147" s="2"/>
      <c r="CC147" s="2"/>
      <c r="CD147" s="2"/>
      <c r="CE147" s="2"/>
      <c r="CF147" s="2"/>
      <c r="CG147" s="2"/>
      <c r="CH147" s="2"/>
      <c r="CI147" s="170"/>
      <c r="CJ147" s="170">
        <v>165</v>
      </c>
      <c r="CK147" s="278"/>
      <c r="CL147" s="278"/>
      <c r="CM147" s="278"/>
      <c r="CN147" s="303">
        <v>-399.36608557844693</v>
      </c>
      <c r="CO147" s="108">
        <v>0</v>
      </c>
      <c r="CP147" s="2">
        <v>0</v>
      </c>
      <c r="CQ147" s="2"/>
      <c r="CR147" s="2"/>
      <c r="CS147" s="2"/>
      <c r="CT147" s="170" t="s">
        <v>809</v>
      </c>
    </row>
    <row r="148" spans="5:98">
      <c r="E148"/>
      <c r="I148"/>
      <c r="J148"/>
      <c r="K148"/>
      <c r="L148"/>
      <c r="M148"/>
      <c r="N148"/>
      <c r="BE148" s="439" t="s">
        <v>983</v>
      </c>
      <c r="CI148" s="2" t="s">
        <v>258</v>
      </c>
      <c r="CJ148" s="169">
        <v>580</v>
      </c>
      <c r="CK148" s="169"/>
      <c r="CL148" s="278"/>
      <c r="CM148" s="278"/>
      <c r="CN148" s="173">
        <v>1890.5955784641646</v>
      </c>
      <c r="CO148" s="173">
        <v>1134.5</v>
      </c>
      <c r="CP148" s="173"/>
      <c r="CQ148" s="173"/>
      <c r="CR148" s="173"/>
      <c r="CT148" s="170" t="s">
        <v>983</v>
      </c>
    </row>
    <row r="149" spans="5:98">
      <c r="E149"/>
      <c r="I149"/>
      <c r="J149"/>
      <c r="K149"/>
      <c r="L149"/>
      <c r="M149"/>
      <c r="N149"/>
      <c r="BE149" s="439" t="s">
        <v>258</v>
      </c>
      <c r="CI149" s="191" t="s">
        <v>307</v>
      </c>
      <c r="CJ149" s="169">
        <v>580</v>
      </c>
      <c r="CK149" s="169" t="s">
        <v>297</v>
      </c>
      <c r="CL149" s="278"/>
      <c r="CM149" s="278"/>
      <c r="CN149" s="190">
        <v>-1890.5955784641646</v>
      </c>
      <c r="CO149" s="174">
        <v>-1134.5</v>
      </c>
      <c r="CP149" s="190"/>
      <c r="CQ149" s="174"/>
      <c r="CR149" s="174"/>
      <c r="CT149" s="170" t="s">
        <v>258</v>
      </c>
    </row>
    <row r="150" spans="5:98">
      <c r="E150"/>
      <c r="I150"/>
      <c r="J150"/>
      <c r="K150"/>
      <c r="L150"/>
      <c r="M150"/>
      <c r="N150"/>
      <c r="BE150" s="26"/>
      <c r="CK150" s="142"/>
      <c r="CL150" s="142"/>
      <c r="CM150" s="142"/>
    </row>
    <row r="151" spans="5:98">
      <c r="E151"/>
      <c r="I151"/>
      <c r="J151"/>
      <c r="K151"/>
      <c r="L151"/>
      <c r="M151"/>
      <c r="N151"/>
      <c r="BE151" s="26"/>
      <c r="CJ151" s="69" t="s">
        <v>331</v>
      </c>
      <c r="CK151" s="243">
        <f t="shared" ref="CK151:CR151" ca="1" si="89">CK141-CK123</f>
        <v>0</v>
      </c>
      <c r="CL151" s="243">
        <f t="shared" ca="1" si="89"/>
        <v>0</v>
      </c>
      <c r="CM151" s="243">
        <f t="shared" ca="1" si="89"/>
        <v>0</v>
      </c>
      <c r="CN151" s="243" t="e">
        <f t="shared" ca="1" si="89"/>
        <v>#N/A</v>
      </c>
      <c r="CO151" s="243" t="e">
        <f t="shared" ca="1" si="89"/>
        <v>#N/A</v>
      </c>
      <c r="CP151" s="243" t="e">
        <f t="shared" ca="1" si="89"/>
        <v>#N/A</v>
      </c>
      <c r="CQ151" s="243" t="e">
        <f t="shared" ca="1" si="89"/>
        <v>#REF!</v>
      </c>
      <c r="CR151" s="243" t="e">
        <f t="shared" ca="1" si="89"/>
        <v>#REF!</v>
      </c>
      <c r="CS151" s="70"/>
    </row>
    <row r="152" spans="5:98">
      <c r="E152"/>
      <c r="I152"/>
      <c r="J152"/>
      <c r="K152"/>
      <c r="L152"/>
      <c r="M152"/>
      <c r="N152"/>
      <c r="BE152" s="26"/>
    </row>
    <row r="153" spans="5:98">
      <c r="E153"/>
      <c r="I153"/>
      <c r="J153"/>
      <c r="K153"/>
      <c r="L153"/>
      <c r="M153"/>
      <c r="N153"/>
      <c r="BE153" s="26"/>
      <c r="CH153" s="298">
        <v>44712</v>
      </c>
      <c r="CI153" s="108">
        <f t="shared" ref="CI153:CI158" si="90">CM141</f>
        <v>1652.1850117800016</v>
      </c>
      <c r="CJ153" s="4" t="s">
        <v>224</v>
      </c>
    </row>
    <row r="154" spans="5:98">
      <c r="E154"/>
      <c r="I154"/>
      <c r="J154"/>
      <c r="K154"/>
      <c r="L154"/>
      <c r="M154"/>
      <c r="N154"/>
      <c r="BE154" s="26"/>
      <c r="CH154" s="298">
        <f t="shared" ref="CH154:CH159" si="91">CH153</f>
        <v>44712</v>
      </c>
      <c r="CI154" s="108">
        <f t="shared" si="90"/>
        <v>-715.00591500591497</v>
      </c>
      <c r="CJ154" s="169">
        <f t="shared" ref="CJ154:CJ159" si="92">CJ141</f>
        <v>950</v>
      </c>
      <c r="CK154" s="303">
        <f>+CP141</f>
        <v>756.11488923779871</v>
      </c>
      <c r="CT154" s="169" t="s">
        <v>722</v>
      </c>
    </row>
    <row r="155" spans="5:98">
      <c r="E155"/>
      <c r="I155"/>
      <c r="J155"/>
      <c r="K155"/>
      <c r="L155"/>
      <c r="M155"/>
      <c r="N155"/>
      <c r="BE155" s="26"/>
      <c r="CH155" s="298">
        <f t="shared" si="91"/>
        <v>44712</v>
      </c>
      <c r="CI155" s="108">
        <f t="shared" si="90"/>
        <v>-730.10889677556338</v>
      </c>
      <c r="CJ155" s="170">
        <f t="shared" si="92"/>
        <v>120</v>
      </c>
      <c r="CK155" s="303">
        <f t="shared" ref="CK155:CK160" si="93">+CP142</f>
        <v>-413.80249860697558</v>
      </c>
      <c r="CT155" s="170" t="s">
        <v>328</v>
      </c>
    </row>
    <row r="156" spans="5:98">
      <c r="E156"/>
      <c r="I156"/>
      <c r="J156"/>
      <c r="K156"/>
      <c r="L156"/>
      <c r="M156"/>
      <c r="N156"/>
      <c r="BE156" s="26"/>
      <c r="CH156" s="298">
        <f t="shared" si="91"/>
        <v>44712</v>
      </c>
      <c r="CI156" s="108">
        <f t="shared" si="90"/>
        <v>-37.06737040070373</v>
      </c>
      <c r="CJ156" s="170">
        <f t="shared" si="92"/>
        <v>580</v>
      </c>
      <c r="CK156" s="303">
        <f t="shared" si="93"/>
        <v>-206.78236331461392</v>
      </c>
      <c r="CT156" s="170" t="s">
        <v>1288</v>
      </c>
    </row>
    <row r="157" spans="5:98">
      <c r="E157"/>
      <c r="I157"/>
      <c r="J157"/>
      <c r="K157"/>
      <c r="L157"/>
      <c r="M157"/>
      <c r="N157"/>
      <c r="BE157" s="26"/>
      <c r="CH157" s="298">
        <f t="shared" si="91"/>
        <v>44712</v>
      </c>
      <c r="CI157" s="108">
        <f t="shared" si="90"/>
        <v>-120.86328752995419</v>
      </c>
      <c r="CJ157" s="170">
        <f t="shared" si="92"/>
        <v>60</v>
      </c>
      <c r="CK157" s="303">
        <f t="shared" si="93"/>
        <v>0</v>
      </c>
      <c r="CT157" s="170" t="s">
        <v>145</v>
      </c>
    </row>
    <row r="158" spans="5:98">
      <c r="E158"/>
      <c r="I158"/>
      <c r="J158"/>
      <c r="K158"/>
      <c r="L158"/>
      <c r="M158"/>
      <c r="N158"/>
      <c r="BE158" s="26"/>
      <c r="CH158" s="298">
        <f t="shared" si="91"/>
        <v>44712</v>
      </c>
      <c r="CI158" s="108">
        <f t="shared" si="90"/>
        <v>-49.139542067865321</v>
      </c>
      <c r="CJ158" s="170">
        <f t="shared" si="92"/>
        <v>140</v>
      </c>
      <c r="CK158" s="303">
        <f t="shared" si="93"/>
        <v>-58.650421177774739</v>
      </c>
      <c r="CT158" s="170" t="s">
        <v>206</v>
      </c>
    </row>
    <row r="159" spans="5:98">
      <c r="E159"/>
      <c r="I159"/>
      <c r="J159"/>
      <c r="K159"/>
      <c r="L159"/>
      <c r="M159"/>
      <c r="N159"/>
      <c r="BE159" s="26"/>
      <c r="CH159" s="298">
        <f t="shared" si="91"/>
        <v>44712</v>
      </c>
      <c r="CI159" s="108" t="e">
        <f>#REF!</f>
        <v>#REF!</v>
      </c>
      <c r="CJ159" s="170">
        <f t="shared" si="92"/>
        <v>560</v>
      </c>
      <c r="CK159" s="303">
        <f t="shared" si="93"/>
        <v>-76.879606138434454</v>
      </c>
      <c r="CT159" s="170" t="s">
        <v>136</v>
      </c>
    </row>
    <row r="160" spans="5:98">
      <c r="E160"/>
      <c r="I160"/>
      <c r="J160"/>
      <c r="K160"/>
      <c r="L160"/>
      <c r="M160"/>
      <c r="N160"/>
      <c r="BE160" s="26"/>
      <c r="CJ160" s="170">
        <v>165</v>
      </c>
      <c r="CK160" s="303">
        <f t="shared" si="93"/>
        <v>0</v>
      </c>
      <c r="CT160" s="170" t="s">
        <v>809</v>
      </c>
    </row>
    <row r="161" spans="2:98">
      <c r="E161"/>
      <c r="I161"/>
      <c r="J161"/>
      <c r="K161"/>
      <c r="L161"/>
      <c r="M161"/>
      <c r="N161"/>
      <c r="BE161" s="26"/>
      <c r="CJ161" s="169">
        <v>580</v>
      </c>
      <c r="CK161" s="303"/>
      <c r="CT161" s="170" t="s">
        <v>983</v>
      </c>
    </row>
    <row r="162" spans="2:98">
      <c r="E162"/>
      <c r="I162"/>
      <c r="J162"/>
      <c r="K162"/>
      <c r="L162"/>
      <c r="M162"/>
      <c r="N162"/>
      <c r="BE162" s="26"/>
      <c r="CJ162" s="169">
        <v>580</v>
      </c>
      <c r="CK162" s="303"/>
      <c r="CT162" s="170" t="s">
        <v>258</v>
      </c>
    </row>
    <row r="163" spans="2:98">
      <c r="E163"/>
      <c r="I163"/>
      <c r="J163"/>
      <c r="K163"/>
      <c r="L163"/>
      <c r="M163"/>
      <c r="N163"/>
      <c r="BE163" s="26"/>
      <c r="CJ163" s="170"/>
      <c r="CK163" s="303"/>
      <c r="CT163" s="170"/>
    </row>
    <row r="164" spans="2:98">
      <c r="E164"/>
      <c r="I164"/>
      <c r="J164"/>
      <c r="K164"/>
      <c r="L164"/>
      <c r="M164"/>
      <c r="N164"/>
      <c r="U164"/>
      <c r="V164"/>
      <c r="W164"/>
      <c r="X164"/>
      <c r="Y164"/>
      <c r="Z164"/>
      <c r="AA164"/>
      <c r="AB164"/>
      <c r="AC164"/>
      <c r="AL164"/>
      <c r="AM164"/>
      <c r="AN164"/>
      <c r="AO164"/>
      <c r="AP164"/>
      <c r="AQ164"/>
      <c r="AR164"/>
      <c r="AS164"/>
      <c r="AT164"/>
      <c r="AU164"/>
      <c r="AV164"/>
      <c r="AW164"/>
      <c r="AX164"/>
      <c r="AY164"/>
      <c r="AZ164"/>
      <c r="BA164"/>
      <c r="BE164" s="26"/>
      <c r="CJ164" s="170"/>
      <c r="CK164" s="303"/>
      <c r="CT164" s="170"/>
    </row>
    <row r="165" spans="2:98">
      <c r="BE165" s="26"/>
    </row>
    <row r="166" spans="2:98">
      <c r="BE166" s="26"/>
    </row>
    <row r="167" spans="2:98">
      <c r="BE167" s="26"/>
    </row>
    <row r="168" spans="2:98">
      <c r="BE168" s="26"/>
    </row>
    <row r="169" spans="2:98">
      <c r="BE169" s="26"/>
    </row>
    <row r="170" spans="2:98">
      <c r="BE170" s="26"/>
    </row>
    <row r="171" spans="2:98">
      <c r="BE171" s="26"/>
    </row>
    <row r="172" spans="2:98">
      <c r="BE172" s="26"/>
    </row>
    <row r="173" spans="2:98">
      <c r="BE173" s="26"/>
    </row>
    <row r="174" spans="2:98">
      <c r="BE174" s="26"/>
    </row>
    <row r="175" spans="2:98">
      <c r="BE175" s="26"/>
    </row>
    <row r="176" spans="2:98">
      <c r="B176" t="s">
        <v>328</v>
      </c>
      <c r="C176" s="73" t="s">
        <v>630</v>
      </c>
      <c r="D176" s="11"/>
      <c r="E176" s="2">
        <v>0</v>
      </c>
      <c r="F176" s="2">
        <v>0</v>
      </c>
      <c r="G176" s="2">
        <v>0</v>
      </c>
      <c r="H176" s="2">
        <v>20</v>
      </c>
      <c r="I176" s="2">
        <v>30</v>
      </c>
      <c r="J176" s="2">
        <v>60</v>
      </c>
      <c r="K176" s="2">
        <v>15</v>
      </c>
      <c r="L176" s="2">
        <v>30</v>
      </c>
      <c r="M176" s="2">
        <v>110</v>
      </c>
      <c r="N176">
        <v>0</v>
      </c>
      <c r="O176" s="2">
        <v>0</v>
      </c>
      <c r="P176" s="2">
        <v>0</v>
      </c>
      <c r="Q176" s="2">
        <v>0</v>
      </c>
      <c r="R176" s="2">
        <v>0</v>
      </c>
      <c r="S176" s="2">
        <v>0</v>
      </c>
      <c r="T176" s="280">
        <v>144</v>
      </c>
      <c r="U176" s="281">
        <v>391.66800000000001</v>
      </c>
      <c r="V176" s="281">
        <v>179.72027972027973</v>
      </c>
      <c r="W176" s="142">
        <v>45</v>
      </c>
      <c r="X176">
        <v>60</v>
      </c>
      <c r="Y176">
        <v>87</v>
      </c>
      <c r="Z176" s="2">
        <v>0</v>
      </c>
      <c r="AA176" s="2">
        <v>0</v>
      </c>
      <c r="AB176" s="2">
        <v>0</v>
      </c>
      <c r="AC176" s="2">
        <v>45</v>
      </c>
      <c r="AD176" s="2">
        <v>15</v>
      </c>
      <c r="AE176" s="2">
        <v>0</v>
      </c>
      <c r="AF176" s="2">
        <v>20</v>
      </c>
      <c r="AG176" s="2">
        <v>0</v>
      </c>
      <c r="AH176" s="2">
        <v>0</v>
      </c>
      <c r="AI176" s="2">
        <v>180</v>
      </c>
      <c r="AJ176" s="2">
        <v>0</v>
      </c>
      <c r="AK176" s="2">
        <v>0</v>
      </c>
      <c r="AL176" s="2">
        <v>0</v>
      </c>
      <c r="AM176" s="2">
        <v>135</v>
      </c>
      <c r="AN176" s="2">
        <v>0</v>
      </c>
      <c r="AO176" s="2">
        <v>45</v>
      </c>
      <c r="AP176" s="2">
        <v>0</v>
      </c>
      <c r="AQ176" s="2">
        <v>0</v>
      </c>
      <c r="AR176">
        <v>0</v>
      </c>
      <c r="AS176">
        <v>0</v>
      </c>
      <c r="AT176">
        <v>0</v>
      </c>
      <c r="AU176">
        <v>0</v>
      </c>
      <c r="AV176">
        <v>0</v>
      </c>
      <c r="AW176">
        <v>295</v>
      </c>
      <c r="AX176" s="2">
        <v>0</v>
      </c>
      <c r="AY176" s="306">
        <v>428.01751094434024</v>
      </c>
      <c r="AZ176" s="306">
        <v>275.67229518449034</v>
      </c>
      <c r="BA176" s="306">
        <v>311.94496560350217</v>
      </c>
      <c r="BD176" s="29">
        <f>SUM(E176:BC176)</f>
        <v>2923.0230514526124</v>
      </c>
      <c r="BE176" s="6">
        <f>BD176/TAUXmoyen</f>
        <v>115.26465759360561</v>
      </c>
    </row>
    <row r="177" spans="2:57" ht="15" thickBot="1">
      <c r="B177" t="s">
        <v>328</v>
      </c>
      <c r="C177" s="74"/>
      <c r="D177" s="11"/>
      <c r="M177"/>
      <c r="N177"/>
      <c r="U177" s="142"/>
      <c r="V177" s="142"/>
      <c r="W177" s="142"/>
      <c r="X177"/>
      <c r="Y177"/>
      <c r="AR177"/>
      <c r="AS177"/>
      <c r="AT177"/>
      <c r="AU177"/>
      <c r="AV177"/>
      <c r="AW177"/>
      <c r="AY177" s="306"/>
      <c r="AZ177" s="306"/>
      <c r="BA177" s="306"/>
      <c r="BD177" s="29">
        <f>SUM(E177:BC177)</f>
        <v>0</v>
      </c>
      <c r="BE177" s="6">
        <f>BD177/TAUXmoyen</f>
        <v>0</v>
      </c>
    </row>
    <row r="178" spans="2:57">
      <c r="B178" t="s">
        <v>559</v>
      </c>
      <c r="C178" s="72" t="s">
        <v>560</v>
      </c>
      <c r="D178" s="11"/>
      <c r="F178" s="2">
        <v>350</v>
      </c>
      <c r="M178"/>
      <c r="N178"/>
      <c r="Q178" s="2">
        <v>200</v>
      </c>
      <c r="U178" s="281">
        <v>215.62300000000002</v>
      </c>
      <c r="V178" s="142">
        <v>0</v>
      </c>
      <c r="W178" s="142">
        <v>0</v>
      </c>
      <c r="X178"/>
      <c r="Y178"/>
      <c r="Z178" s="2">
        <v>34</v>
      </c>
      <c r="AA178" s="2">
        <v>80</v>
      </c>
      <c r="AD178" s="2">
        <v>100</v>
      </c>
      <c r="AE178" s="2">
        <v>20</v>
      </c>
      <c r="AF178" s="2">
        <v>20</v>
      </c>
      <c r="AI178" s="2">
        <v>20</v>
      </c>
      <c r="AJ178" s="2">
        <v>100</v>
      </c>
      <c r="AL178" s="2">
        <v>100</v>
      </c>
      <c r="AP178" s="2">
        <v>50</v>
      </c>
      <c r="AR178"/>
      <c r="AS178"/>
      <c r="AT178"/>
      <c r="AU178" s="2">
        <v>95</v>
      </c>
      <c r="AV178"/>
      <c r="AW178"/>
      <c r="AY178" s="306">
        <v>435.2720450281426</v>
      </c>
      <c r="AZ178" s="306">
        <v>0</v>
      </c>
      <c r="BA178" s="306">
        <v>0</v>
      </c>
      <c r="BD178" s="29">
        <f>SUM(E178:BC178)</f>
        <v>1819.8950450281427</v>
      </c>
      <c r="BE178" s="6">
        <f>BD178/TAUXmoyen</f>
        <v>71.764599706876126</v>
      </c>
    </row>
    <row r="179" spans="2:57">
      <c r="B179" t="s">
        <v>559</v>
      </c>
      <c r="C179" s="73" t="s">
        <v>629</v>
      </c>
      <c r="D179" s="11"/>
      <c r="F179" s="99">
        <v>500</v>
      </c>
      <c r="G179" s="140">
        <v>500</v>
      </c>
      <c r="H179" s="140">
        <v>500</v>
      </c>
      <c r="I179" s="140">
        <v>500</v>
      </c>
      <c r="J179" s="140">
        <v>500</v>
      </c>
      <c r="K179" s="140">
        <v>500</v>
      </c>
      <c r="L179" s="140">
        <v>500</v>
      </c>
      <c r="M179" s="140">
        <v>500</v>
      </c>
      <c r="N179" s="140">
        <v>500</v>
      </c>
      <c r="O179" s="140">
        <v>500</v>
      </c>
      <c r="P179" s="140">
        <v>500</v>
      </c>
      <c r="Q179" s="140">
        <v>500</v>
      </c>
      <c r="R179" s="140">
        <v>500</v>
      </c>
      <c r="S179" s="140">
        <v>500</v>
      </c>
      <c r="T179" s="141">
        <f>500+600</f>
        <v>1100</v>
      </c>
      <c r="U179" s="142">
        <v>0</v>
      </c>
      <c r="V179" s="142">
        <v>0</v>
      </c>
      <c r="W179" s="142">
        <v>338</v>
      </c>
      <c r="X179" s="142">
        <v>333</v>
      </c>
      <c r="Y179" s="142">
        <v>333</v>
      </c>
      <c r="Z179" s="142">
        <v>333</v>
      </c>
      <c r="AA179" s="142">
        <v>333</v>
      </c>
      <c r="AB179" s="142">
        <v>333</v>
      </c>
      <c r="AC179" s="142">
        <v>333</v>
      </c>
      <c r="AD179" s="142">
        <v>333</v>
      </c>
      <c r="AE179" s="142">
        <v>333</v>
      </c>
      <c r="AF179" s="142">
        <v>333</v>
      </c>
      <c r="AG179" s="142">
        <v>333</v>
      </c>
      <c r="AH179" s="142">
        <v>333</v>
      </c>
      <c r="AI179" s="142">
        <v>333</v>
      </c>
      <c r="AJ179" s="142">
        <v>333</v>
      </c>
      <c r="AK179" s="286">
        <v>333</v>
      </c>
      <c r="AL179" s="286">
        <v>333</v>
      </c>
      <c r="AM179" s="286">
        <v>333</v>
      </c>
      <c r="AN179" s="286">
        <v>333</v>
      </c>
      <c r="AO179" s="286">
        <v>333</v>
      </c>
      <c r="AP179" s="286">
        <v>333</v>
      </c>
      <c r="AQ179" s="286">
        <v>333</v>
      </c>
      <c r="AR179" s="286">
        <v>333</v>
      </c>
      <c r="AS179" s="286">
        <v>333</v>
      </c>
      <c r="AT179" s="286">
        <v>333</v>
      </c>
      <c r="AU179" s="286">
        <v>333</v>
      </c>
      <c r="AV179" s="286">
        <v>333</v>
      </c>
      <c r="AW179" s="286">
        <v>333</v>
      </c>
      <c r="AX179" s="286">
        <v>333</v>
      </c>
      <c r="AY179" s="161">
        <f>5000-SUM($AK179:AX179)</f>
        <v>338</v>
      </c>
      <c r="AZ179" s="286"/>
      <c r="BA179" s="286">
        <v>333</v>
      </c>
      <c r="BC179" s="186"/>
      <c r="BD179" s="29">
        <f>SUM(E179:BC179)</f>
        <v>18100</v>
      </c>
      <c r="BE179" s="6">
        <f>BD179/TAUXmoyen</f>
        <v>713.7440470773804</v>
      </c>
    </row>
    <row r="180" spans="2:57" ht="15" thickBot="1">
      <c r="B180" t="s">
        <v>559</v>
      </c>
      <c r="C180" s="74" t="s">
        <v>149</v>
      </c>
      <c r="D180" s="11"/>
      <c r="H180" s="2">
        <v>100</v>
      </c>
      <c r="I180" s="2">
        <f>40+20</f>
        <v>60</v>
      </c>
      <c r="J180" s="2">
        <f>60+25+20</f>
        <v>105</v>
      </c>
      <c r="K180" s="2">
        <v>20</v>
      </c>
      <c r="L180" s="2">
        <v>20</v>
      </c>
      <c r="M180"/>
      <c r="N180">
        <v>90</v>
      </c>
      <c r="O180" s="2">
        <v>100</v>
      </c>
      <c r="P180" s="2">
        <v>120</v>
      </c>
      <c r="Q180" s="2">
        <v>40</v>
      </c>
      <c r="R180" s="2">
        <v>20</v>
      </c>
      <c r="S180" s="2">
        <v>90</v>
      </c>
      <c r="U180" s="142">
        <v>0</v>
      </c>
      <c r="V180" s="142">
        <v>0</v>
      </c>
      <c r="W180" s="142">
        <v>0</v>
      </c>
      <c r="X180"/>
      <c r="Y180"/>
      <c r="Z180" s="142">
        <v>20</v>
      </c>
      <c r="AA180" s="2">
        <v>30</v>
      </c>
      <c r="AB180" s="2">
        <v>30</v>
      </c>
      <c r="AC180" s="2">
        <v>25</v>
      </c>
      <c r="AD180" s="2">
        <v>60</v>
      </c>
      <c r="AH180" s="2">
        <v>65</v>
      </c>
      <c r="AI180" s="2">
        <f>75+40</f>
        <v>115</v>
      </c>
      <c r="AJ180" s="2">
        <v>110</v>
      </c>
      <c r="AK180" s="2">
        <v>30</v>
      </c>
      <c r="AL180" s="2">
        <v>145</v>
      </c>
      <c r="AO180" s="2">
        <v>30</v>
      </c>
      <c r="AP180" s="2">
        <v>30</v>
      </c>
      <c r="AQ180" s="2">
        <v>30</v>
      </c>
      <c r="AR180" s="2">
        <v>60</v>
      </c>
      <c r="AS180" s="2">
        <v>25</v>
      </c>
      <c r="AT180"/>
      <c r="AU180"/>
      <c r="AV180" s="2">
        <v>30</v>
      </c>
      <c r="AW180"/>
      <c r="AX180" s="2">
        <v>40</v>
      </c>
      <c r="AY180" s="306">
        <v>0</v>
      </c>
      <c r="AZ180" s="306">
        <v>261.16322701688557</v>
      </c>
      <c r="BA180" s="306">
        <v>72.545340838023762</v>
      </c>
      <c r="BD180" s="29">
        <f>SUM(E180:BC180)</f>
        <v>1973.7085678549095</v>
      </c>
      <c r="BE180" s="6">
        <f>BD180/TAUXmoyen</f>
        <v>77.829985689064287</v>
      </c>
    </row>
    <row r="183" spans="2:57">
      <c r="B183" t="s">
        <v>328</v>
      </c>
      <c r="C183" s="73" t="s">
        <v>630</v>
      </c>
      <c r="D183" s="11"/>
      <c r="E183" s="2">
        <v>0</v>
      </c>
      <c r="F183" s="2">
        <v>0</v>
      </c>
      <c r="G183" s="2">
        <v>0</v>
      </c>
      <c r="H183" s="2">
        <v>20</v>
      </c>
      <c r="I183" s="2">
        <v>30</v>
      </c>
      <c r="J183" s="2">
        <v>60</v>
      </c>
      <c r="K183" s="2">
        <v>15</v>
      </c>
      <c r="L183" s="2">
        <v>30</v>
      </c>
      <c r="M183" s="2">
        <v>110</v>
      </c>
      <c r="N183">
        <v>0</v>
      </c>
      <c r="O183" s="2">
        <v>0</v>
      </c>
      <c r="P183" s="2">
        <v>0</v>
      </c>
      <c r="Q183" s="2">
        <v>0</v>
      </c>
      <c r="R183" s="2">
        <v>0</v>
      </c>
      <c r="S183" s="2">
        <v>0</v>
      </c>
      <c r="T183" s="280">
        <v>144</v>
      </c>
      <c r="U183" s="281">
        <v>391.66800000000001</v>
      </c>
      <c r="V183" s="281">
        <v>179.72027972027973</v>
      </c>
      <c r="W183" s="142">
        <v>45</v>
      </c>
      <c r="X183">
        <v>60</v>
      </c>
      <c r="Y183">
        <v>87</v>
      </c>
      <c r="Z183" s="2">
        <v>0</v>
      </c>
      <c r="AA183" s="2">
        <v>0</v>
      </c>
      <c r="AB183" s="2">
        <v>0</v>
      </c>
      <c r="AC183" s="2">
        <v>45</v>
      </c>
      <c r="AD183" s="2">
        <v>15</v>
      </c>
      <c r="AE183" s="2">
        <v>0</v>
      </c>
      <c r="AF183" s="2">
        <v>20</v>
      </c>
      <c r="AG183" s="2">
        <v>0</v>
      </c>
      <c r="AH183" s="2">
        <v>0</v>
      </c>
      <c r="AI183" s="2">
        <v>180</v>
      </c>
      <c r="AJ183" s="2">
        <v>0</v>
      </c>
      <c r="AK183" s="2">
        <v>0</v>
      </c>
      <c r="AL183" s="2">
        <v>0</v>
      </c>
      <c r="AM183" s="2">
        <v>135</v>
      </c>
      <c r="AN183" s="2">
        <v>0</v>
      </c>
      <c r="AO183" s="2">
        <v>45</v>
      </c>
      <c r="AP183" s="2">
        <v>0</v>
      </c>
      <c r="AQ183" s="2">
        <v>0</v>
      </c>
      <c r="AR183">
        <v>0</v>
      </c>
      <c r="AS183">
        <v>0</v>
      </c>
      <c r="AT183">
        <v>0</v>
      </c>
      <c r="AU183">
        <v>0</v>
      </c>
      <c r="AV183">
        <v>0</v>
      </c>
      <c r="AW183">
        <v>295</v>
      </c>
      <c r="AX183" s="2">
        <v>0</v>
      </c>
      <c r="AY183" s="306">
        <v>428.01751094434024</v>
      </c>
      <c r="AZ183" s="306">
        <v>275.67229518449034</v>
      </c>
      <c r="BA183" s="306">
        <v>311.94496560350217</v>
      </c>
      <c r="BD183" s="29">
        <f>SUM(E183:BC183)</f>
        <v>2923.0230514526124</v>
      </c>
      <c r="BE183" s="6">
        <f>BD183/TAUXmoyen</f>
        <v>115.26465759360561</v>
      </c>
    </row>
    <row r="184" spans="2:57" ht="15" thickBot="1">
      <c r="B184" t="s">
        <v>328</v>
      </c>
      <c r="C184" s="74"/>
      <c r="D184" s="11"/>
      <c r="M184"/>
      <c r="N184"/>
      <c r="U184" s="142"/>
      <c r="V184" s="142"/>
      <c r="W184" s="142"/>
      <c r="X184"/>
      <c r="Y184"/>
      <c r="AR184"/>
      <c r="AS184"/>
      <c r="AT184"/>
      <c r="AU184"/>
      <c r="AV184"/>
      <c r="AW184"/>
      <c r="AY184" s="306"/>
      <c r="AZ184" s="306"/>
      <c r="BA184" s="306"/>
      <c r="BD184" s="29">
        <f>SUM(E184:BC184)</f>
        <v>0</v>
      </c>
      <c r="BE184" s="6">
        <f>BD184/TAUXmoyen</f>
        <v>0</v>
      </c>
    </row>
    <row r="185" spans="2:57" ht="15" thickBot="1">
      <c r="B185" t="s">
        <v>559</v>
      </c>
      <c r="C185" s="74" t="s">
        <v>149</v>
      </c>
      <c r="D185" s="11"/>
      <c r="H185" s="2">
        <v>100</v>
      </c>
      <c r="I185" s="2">
        <f>40+20</f>
        <v>60</v>
      </c>
      <c r="J185" s="2">
        <f>60+25+20</f>
        <v>105</v>
      </c>
      <c r="K185" s="2">
        <v>20</v>
      </c>
      <c r="L185" s="2">
        <v>20</v>
      </c>
      <c r="M185"/>
      <c r="N185">
        <v>90</v>
      </c>
      <c r="O185" s="2">
        <v>100</v>
      </c>
      <c r="P185" s="2">
        <v>120</v>
      </c>
      <c r="Q185" s="2">
        <v>40</v>
      </c>
      <c r="R185" s="2">
        <v>20</v>
      </c>
      <c r="S185" s="2">
        <v>90</v>
      </c>
      <c r="U185" s="142">
        <v>0</v>
      </c>
      <c r="V185" s="142">
        <v>0</v>
      </c>
      <c r="W185" s="142">
        <v>0</v>
      </c>
      <c r="X185"/>
      <c r="Y185"/>
      <c r="Z185" s="142">
        <v>20</v>
      </c>
      <c r="AA185" s="2">
        <v>30</v>
      </c>
      <c r="AB185" s="2">
        <v>30</v>
      </c>
      <c r="AC185" s="2">
        <v>25</v>
      </c>
      <c r="AD185" s="2">
        <v>60</v>
      </c>
      <c r="AH185" s="2">
        <v>65</v>
      </c>
      <c r="AI185" s="2">
        <f>75+40</f>
        <v>115</v>
      </c>
      <c r="AJ185" s="2">
        <v>110</v>
      </c>
      <c r="AK185" s="2">
        <v>30</v>
      </c>
      <c r="AL185" s="2">
        <v>145</v>
      </c>
      <c r="AO185" s="2">
        <v>30</v>
      </c>
      <c r="AP185" s="2">
        <v>30</v>
      </c>
      <c r="AQ185" s="2">
        <v>30</v>
      </c>
      <c r="AR185" s="2">
        <v>60</v>
      </c>
      <c r="AS185" s="2">
        <v>25</v>
      </c>
      <c r="AT185"/>
      <c r="AU185"/>
      <c r="AV185" s="2">
        <v>30</v>
      </c>
      <c r="AW185"/>
      <c r="AX185" s="2">
        <v>40</v>
      </c>
      <c r="AY185" s="306">
        <v>0</v>
      </c>
      <c r="AZ185" s="306">
        <v>261.16322701688557</v>
      </c>
      <c r="BA185" s="306">
        <v>72.545340838023762</v>
      </c>
      <c r="BD185" s="29">
        <f>SUM(E185:BC185)</f>
        <v>1973.7085678549095</v>
      </c>
      <c r="BE185" s="6">
        <f>BD185/TAUXmoyen</f>
        <v>77.829985689064287</v>
      </c>
    </row>
    <row r="186" spans="2:57">
      <c r="B186" t="s">
        <v>559</v>
      </c>
      <c r="C186" s="72" t="s">
        <v>560</v>
      </c>
      <c r="D186" s="11"/>
      <c r="F186" s="2">
        <v>350</v>
      </c>
      <c r="M186"/>
      <c r="N186"/>
      <c r="Q186" s="2">
        <v>200</v>
      </c>
      <c r="U186" s="281">
        <v>215.62300000000002</v>
      </c>
      <c r="V186" s="142">
        <v>0</v>
      </c>
      <c r="W186" s="142">
        <v>0</v>
      </c>
      <c r="X186"/>
      <c r="Y186"/>
      <c r="Z186" s="2">
        <v>34</v>
      </c>
      <c r="AA186" s="2">
        <v>80</v>
      </c>
      <c r="AD186" s="2">
        <v>100</v>
      </c>
      <c r="AE186" s="2">
        <v>20</v>
      </c>
      <c r="AF186" s="2">
        <v>20</v>
      </c>
      <c r="AI186" s="2">
        <v>20</v>
      </c>
      <c r="AJ186" s="2">
        <v>100</v>
      </c>
      <c r="AL186" s="2">
        <v>100</v>
      </c>
      <c r="AP186" s="2">
        <v>50</v>
      </c>
      <c r="AR186"/>
      <c r="AS186"/>
      <c r="AT186"/>
      <c r="AU186" s="2">
        <v>95</v>
      </c>
      <c r="AV186"/>
      <c r="AW186"/>
      <c r="AY186" s="306">
        <v>435.2720450281426</v>
      </c>
      <c r="AZ186" s="306">
        <v>0</v>
      </c>
      <c r="BA186" s="306">
        <v>0</v>
      </c>
      <c r="BD186" s="29">
        <f>SUM(E186:BC186)</f>
        <v>1819.8950450281427</v>
      </c>
      <c r="BE186" s="6">
        <f>BD186/TAUXmoyen</f>
        <v>71.764599706876126</v>
      </c>
    </row>
    <row r="187" spans="2:57">
      <c r="B187" t="s">
        <v>559</v>
      </c>
      <c r="C187" s="73" t="s">
        <v>629</v>
      </c>
      <c r="D187" s="11"/>
      <c r="F187" s="99">
        <v>500</v>
      </c>
      <c r="G187" s="140">
        <v>500</v>
      </c>
      <c r="H187" s="140">
        <v>500</v>
      </c>
      <c r="I187" s="140">
        <v>500</v>
      </c>
      <c r="J187" s="140">
        <v>500</v>
      </c>
      <c r="K187" s="140">
        <v>500</v>
      </c>
      <c r="L187" s="140">
        <v>500</v>
      </c>
      <c r="M187" s="140">
        <v>500</v>
      </c>
      <c r="N187" s="140">
        <v>500</v>
      </c>
      <c r="O187" s="140">
        <v>500</v>
      </c>
      <c r="P187" s="140">
        <v>500</v>
      </c>
      <c r="Q187" s="140">
        <v>500</v>
      </c>
      <c r="R187" s="140">
        <v>500</v>
      </c>
      <c r="S187" s="140">
        <v>500</v>
      </c>
      <c r="T187" s="141">
        <f>500+600</f>
        <v>1100</v>
      </c>
      <c r="U187" s="142">
        <v>0</v>
      </c>
      <c r="V187" s="142">
        <v>0</v>
      </c>
      <c r="W187" s="142">
        <v>338</v>
      </c>
      <c r="X187" s="142">
        <v>333</v>
      </c>
      <c r="Y187" s="142">
        <v>333</v>
      </c>
      <c r="Z187" s="142">
        <v>333</v>
      </c>
      <c r="AA187" s="142">
        <v>333</v>
      </c>
      <c r="AB187" s="142">
        <v>333</v>
      </c>
      <c r="AC187" s="142">
        <v>333</v>
      </c>
      <c r="AD187" s="142">
        <v>333</v>
      </c>
      <c r="AE187" s="142">
        <v>333</v>
      </c>
      <c r="AF187" s="142">
        <v>333</v>
      </c>
      <c r="AG187" s="142">
        <v>333</v>
      </c>
      <c r="AH187" s="142">
        <v>333</v>
      </c>
      <c r="AI187" s="142">
        <v>333</v>
      </c>
      <c r="AJ187" s="142">
        <v>333</v>
      </c>
      <c r="AK187" s="286">
        <v>333</v>
      </c>
      <c r="AL187" s="286">
        <v>333</v>
      </c>
      <c r="AM187" s="286">
        <v>333</v>
      </c>
      <c r="AN187" s="286">
        <v>333</v>
      </c>
      <c r="AO187" s="286">
        <v>333</v>
      </c>
      <c r="AP187" s="286">
        <v>333</v>
      </c>
      <c r="AQ187" s="286">
        <v>333</v>
      </c>
      <c r="AR187" s="286">
        <v>333</v>
      </c>
      <c r="AS187" s="286">
        <v>333</v>
      </c>
      <c r="AT187" s="286">
        <v>333</v>
      </c>
      <c r="AU187" s="286">
        <v>333</v>
      </c>
      <c r="AV187" s="286">
        <v>333</v>
      </c>
      <c r="AW187" s="286">
        <v>333</v>
      </c>
      <c r="AX187" s="286">
        <v>333</v>
      </c>
      <c r="AY187" s="161">
        <f>5000-SUM($AK187:AX187)</f>
        <v>338</v>
      </c>
      <c r="AZ187" s="286"/>
      <c r="BA187" s="286">
        <v>333</v>
      </c>
      <c r="BC187" s="186"/>
      <c r="BD187" s="29">
        <f>SUM(E187:BC187)</f>
        <v>18100</v>
      </c>
      <c r="BE187" s="6">
        <f>BD187/TAUXmoyen</f>
        <v>713.7440470773804</v>
      </c>
    </row>
  </sheetData>
  <autoFilter ref="B11:BD33"/>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DU499"/>
  <sheetViews>
    <sheetView topLeftCell="A379" zoomScaleNormal="100" workbookViewId="0">
      <selection activeCell="E490" sqref="E490"/>
    </sheetView>
  </sheetViews>
  <sheetFormatPr baseColWidth="10" defaultRowHeight="15.6" outlineLevelRow="1"/>
  <cols>
    <col min="2" max="2" width="3.6640625" customWidth="1"/>
    <col min="3" max="3" width="12.33203125" customWidth="1"/>
    <col min="4" max="4" width="3.5546875" customWidth="1"/>
    <col min="5" max="5" width="38.33203125" style="502" customWidth="1"/>
    <col min="6" max="6" width="31.5546875" style="502" customWidth="1"/>
    <col min="7" max="7" width="20.44140625" style="502" customWidth="1"/>
    <col min="8" max="8" width="11.5546875" style="499"/>
    <col min="9" max="9" width="6" style="182" customWidth="1"/>
    <col min="10" max="10" width="12.33203125" customWidth="1"/>
    <col min="11" max="11" width="5.5546875" customWidth="1"/>
    <col min="12" max="12" width="13.109375" style="2" customWidth="1"/>
    <col min="13" max="16" width="21" customWidth="1"/>
    <col min="17" max="17" width="27.21875" customWidth="1"/>
    <col min="18" max="19" width="21" customWidth="1"/>
    <col min="20" max="20" width="21.21875" customWidth="1"/>
    <col min="21" max="21" width="18" customWidth="1"/>
    <col min="22" max="22" width="9.33203125" customWidth="1"/>
    <col min="23" max="23" width="9.6640625" style="2" customWidth="1"/>
  </cols>
  <sheetData>
    <row r="1" spans="1:125">
      <c r="Z1" t="s">
        <v>912</v>
      </c>
      <c r="AA1" t="s">
        <v>913</v>
      </c>
      <c r="AB1" t="s">
        <v>914</v>
      </c>
      <c r="AC1" t="s">
        <v>866</v>
      </c>
      <c r="AD1" t="s">
        <v>867</v>
      </c>
      <c r="AE1" t="s">
        <v>915</v>
      </c>
      <c r="AF1" t="s">
        <v>916</v>
      </c>
      <c r="AG1" t="s">
        <v>917</v>
      </c>
      <c r="AH1" t="s">
        <v>918</v>
      </c>
      <c r="AI1" t="s">
        <v>868</v>
      </c>
      <c r="AJ1" t="s">
        <v>911</v>
      </c>
      <c r="AK1" t="s">
        <v>869</v>
      </c>
      <c r="AL1" t="s">
        <v>919</v>
      </c>
      <c r="AM1" t="s">
        <v>920</v>
      </c>
      <c r="AN1" t="s">
        <v>921</v>
      </c>
      <c r="AO1" t="s">
        <v>870</v>
      </c>
      <c r="AP1" t="s">
        <v>922</v>
      </c>
      <c r="AQ1" t="s">
        <v>923</v>
      </c>
      <c r="AR1" t="s">
        <v>871</v>
      </c>
      <c r="AS1" t="s">
        <v>924</v>
      </c>
      <c r="AT1" t="s">
        <v>872</v>
      </c>
      <c r="AU1" t="s">
        <v>925</v>
      </c>
      <c r="AV1" t="s">
        <v>926</v>
      </c>
      <c r="AW1" t="s">
        <v>873</v>
      </c>
      <c r="AX1" t="s">
        <v>874</v>
      </c>
      <c r="AY1" t="s">
        <v>875</v>
      </c>
      <c r="AZ1" t="s">
        <v>927</v>
      </c>
      <c r="BA1" t="s">
        <v>928</v>
      </c>
      <c r="BB1" t="s">
        <v>876</v>
      </c>
      <c r="BC1" t="s">
        <v>877</v>
      </c>
      <c r="BD1" t="s">
        <v>877</v>
      </c>
      <c r="BE1" t="s">
        <v>877</v>
      </c>
      <c r="BF1" t="s">
        <v>929</v>
      </c>
      <c r="BG1" t="s">
        <v>930</v>
      </c>
      <c r="BH1" t="s">
        <v>878</v>
      </c>
      <c r="BI1" t="s">
        <v>931</v>
      </c>
      <c r="BJ1" t="s">
        <v>879</v>
      </c>
      <c r="BK1" t="s">
        <v>932</v>
      </c>
      <c r="BL1" t="s">
        <v>933</v>
      </c>
      <c r="BM1" t="s">
        <v>934</v>
      </c>
      <c r="BN1" t="s">
        <v>935</v>
      </c>
      <c r="BO1" t="s">
        <v>936</v>
      </c>
      <c r="BP1" t="s">
        <v>880</v>
      </c>
      <c r="BQ1" t="s">
        <v>937</v>
      </c>
      <c r="BR1" t="s">
        <v>938</v>
      </c>
      <c r="BS1" t="s">
        <v>939</v>
      </c>
      <c r="BT1" t="s">
        <v>940</v>
      </c>
      <c r="BU1" t="s">
        <v>881</v>
      </c>
      <c r="BV1" t="s">
        <v>941</v>
      </c>
      <c r="BW1" t="s">
        <v>882</v>
      </c>
      <c r="BX1" t="s">
        <v>942</v>
      </c>
      <c r="BY1" t="s">
        <v>883</v>
      </c>
      <c r="BZ1" t="s">
        <v>943</v>
      </c>
      <c r="CA1" t="s">
        <v>944</v>
      </c>
      <c r="CB1" t="s">
        <v>884</v>
      </c>
      <c r="CC1" t="s">
        <v>945</v>
      </c>
      <c r="CD1" t="s">
        <v>885</v>
      </c>
      <c r="CE1" t="s">
        <v>886</v>
      </c>
      <c r="CF1" t="s">
        <v>946</v>
      </c>
      <c r="CG1" t="s">
        <v>887</v>
      </c>
      <c r="CH1" t="s">
        <v>888</v>
      </c>
      <c r="CI1" t="s">
        <v>889</v>
      </c>
      <c r="CJ1" t="s">
        <v>890</v>
      </c>
      <c r="CK1" t="s">
        <v>947</v>
      </c>
      <c r="CL1" t="s">
        <v>891</v>
      </c>
      <c r="CM1" t="s">
        <v>892</v>
      </c>
      <c r="CN1" t="s">
        <v>893</v>
      </c>
      <c r="CO1" t="s">
        <v>948</v>
      </c>
      <c r="CP1" t="s">
        <v>894</v>
      </c>
      <c r="CQ1" t="s">
        <v>949</v>
      </c>
      <c r="CR1" t="s">
        <v>895</v>
      </c>
      <c r="CS1" t="s">
        <v>950</v>
      </c>
      <c r="CT1" t="s">
        <v>896</v>
      </c>
      <c r="CU1" t="s">
        <v>897</v>
      </c>
      <c r="CV1" t="s">
        <v>951</v>
      </c>
      <c r="CW1" t="s">
        <v>952</v>
      </c>
      <c r="CX1" t="s">
        <v>898</v>
      </c>
      <c r="CY1" t="s">
        <v>953</v>
      </c>
      <c r="CZ1" t="s">
        <v>899</v>
      </c>
      <c r="DA1" t="s">
        <v>954</v>
      </c>
      <c r="DB1" t="s">
        <v>900</v>
      </c>
      <c r="DC1" t="s">
        <v>955</v>
      </c>
      <c r="DD1" t="s">
        <v>901</v>
      </c>
      <c r="DE1" t="s">
        <v>902</v>
      </c>
      <c r="DF1" t="s">
        <v>956</v>
      </c>
      <c r="DG1" t="s">
        <v>957</v>
      </c>
      <c r="DH1" t="s">
        <v>958</v>
      </c>
      <c r="DI1" t="s">
        <v>959</v>
      </c>
      <c r="DJ1" t="s">
        <v>960</v>
      </c>
      <c r="DK1" t="s">
        <v>903</v>
      </c>
      <c r="DL1" t="s">
        <v>904</v>
      </c>
      <c r="DM1" t="s">
        <v>905</v>
      </c>
      <c r="DN1" t="s">
        <v>961</v>
      </c>
      <c r="DO1" t="s">
        <v>906</v>
      </c>
      <c r="DP1" t="s">
        <v>962</v>
      </c>
      <c r="DQ1" t="s">
        <v>907</v>
      </c>
      <c r="DR1" t="s">
        <v>908</v>
      </c>
      <c r="DS1" t="s">
        <v>909</v>
      </c>
    </row>
    <row r="2" spans="1:125">
      <c r="Y2" s="9" t="s">
        <v>910</v>
      </c>
      <c r="Z2" s="2" t="s">
        <v>963</v>
      </c>
      <c r="AA2" s="2" t="s">
        <v>963</v>
      </c>
      <c r="AB2" s="2" t="s">
        <v>963</v>
      </c>
      <c r="AC2" s="2">
        <v>1</v>
      </c>
      <c r="AD2" s="2">
        <v>1</v>
      </c>
      <c r="AE2" s="2" t="s">
        <v>963</v>
      </c>
      <c r="AF2" s="2" t="s">
        <v>963</v>
      </c>
      <c r="AG2" s="2" t="s">
        <v>963</v>
      </c>
      <c r="AH2" s="2" t="s">
        <v>963</v>
      </c>
      <c r="AI2" s="2">
        <v>1</v>
      </c>
      <c r="AJ2" s="2" t="s">
        <v>963</v>
      </c>
      <c r="AK2" s="2">
        <v>1</v>
      </c>
      <c r="AL2" s="2" t="s">
        <v>963</v>
      </c>
      <c r="AM2" s="2" t="s">
        <v>963</v>
      </c>
      <c r="AN2" s="2" t="s">
        <v>963</v>
      </c>
      <c r="AO2" s="2">
        <v>1</v>
      </c>
      <c r="AP2" s="2" t="s">
        <v>963</v>
      </c>
      <c r="AQ2" s="2" t="s">
        <v>963</v>
      </c>
      <c r="AR2" s="2" t="s">
        <v>963</v>
      </c>
      <c r="AS2" s="2" t="s">
        <v>963</v>
      </c>
      <c r="AT2" s="2">
        <v>1</v>
      </c>
      <c r="AU2" s="2" t="s">
        <v>963</v>
      </c>
      <c r="AV2" s="2">
        <v>1</v>
      </c>
      <c r="AW2" s="2" t="s">
        <v>963</v>
      </c>
      <c r="AX2" s="2" t="s">
        <v>963</v>
      </c>
      <c r="AY2" s="2">
        <v>1</v>
      </c>
      <c r="AZ2" s="2">
        <v>1</v>
      </c>
      <c r="BA2" s="2">
        <v>1</v>
      </c>
      <c r="BB2" s="2" t="s">
        <v>963</v>
      </c>
      <c r="BC2" s="2" t="s">
        <v>963</v>
      </c>
      <c r="BD2" s="2">
        <v>1</v>
      </c>
      <c r="BE2" s="2">
        <v>1</v>
      </c>
      <c r="BF2" s="2">
        <v>1</v>
      </c>
      <c r="BG2" s="2">
        <v>1</v>
      </c>
      <c r="BH2" s="2" t="s">
        <v>963</v>
      </c>
      <c r="BI2" s="2" t="s">
        <v>963</v>
      </c>
      <c r="BJ2" s="2">
        <v>1</v>
      </c>
      <c r="BK2" s="2" t="s">
        <v>963</v>
      </c>
      <c r="BL2" s="2">
        <v>1</v>
      </c>
      <c r="BM2" s="2" t="s">
        <v>963</v>
      </c>
      <c r="BN2" s="2" t="s">
        <v>963</v>
      </c>
      <c r="BO2" s="2" t="s">
        <v>963</v>
      </c>
      <c r="BP2" s="2" t="s">
        <v>963</v>
      </c>
      <c r="BQ2" s="2" t="s">
        <v>963</v>
      </c>
      <c r="BR2" s="2">
        <v>1</v>
      </c>
      <c r="BS2" s="2" t="s">
        <v>963</v>
      </c>
      <c r="BT2" s="2" t="s">
        <v>963</v>
      </c>
      <c r="BU2" s="2" t="s">
        <v>963</v>
      </c>
      <c r="BV2" s="2" t="s">
        <v>963</v>
      </c>
      <c r="BW2" s="2">
        <v>1</v>
      </c>
      <c r="BX2" s="2" t="s">
        <v>963</v>
      </c>
      <c r="BY2" s="2">
        <v>1</v>
      </c>
      <c r="BZ2" s="2" t="s">
        <v>963</v>
      </c>
      <c r="CA2" s="2">
        <v>1</v>
      </c>
      <c r="CB2" s="2" t="s">
        <v>963</v>
      </c>
      <c r="CC2" s="2" t="s">
        <v>963</v>
      </c>
      <c r="CD2" s="2">
        <v>1</v>
      </c>
      <c r="CE2" s="2" t="s">
        <v>963</v>
      </c>
      <c r="CF2" s="2">
        <v>1</v>
      </c>
      <c r="CG2" s="2">
        <v>1</v>
      </c>
      <c r="CH2" s="2" t="s">
        <v>963</v>
      </c>
      <c r="CI2" s="2">
        <v>1</v>
      </c>
      <c r="CJ2" s="2">
        <v>1</v>
      </c>
      <c r="CK2" s="2">
        <v>1</v>
      </c>
      <c r="CL2" s="2">
        <v>1</v>
      </c>
      <c r="CM2" s="2" t="s">
        <v>963</v>
      </c>
      <c r="CN2" s="2">
        <v>1</v>
      </c>
      <c r="CO2" s="2">
        <v>1</v>
      </c>
      <c r="CP2" s="2">
        <v>1</v>
      </c>
      <c r="CQ2" s="2" t="s">
        <v>963</v>
      </c>
      <c r="CR2" s="2">
        <v>1</v>
      </c>
      <c r="CS2" s="2" t="s">
        <v>963</v>
      </c>
      <c r="CT2" s="2">
        <v>1</v>
      </c>
      <c r="CU2" s="2" t="s">
        <v>963</v>
      </c>
      <c r="CV2" s="2">
        <v>1</v>
      </c>
      <c r="CW2" s="2">
        <v>1</v>
      </c>
      <c r="CX2" s="2" t="s">
        <v>963</v>
      </c>
      <c r="CY2" s="2" t="s">
        <v>963</v>
      </c>
      <c r="CZ2" s="2">
        <v>1</v>
      </c>
      <c r="DA2" s="2" t="s">
        <v>963</v>
      </c>
      <c r="DB2" s="2">
        <v>1</v>
      </c>
      <c r="DC2" s="2" t="s">
        <v>963</v>
      </c>
      <c r="DD2" s="2">
        <v>2</v>
      </c>
      <c r="DE2" s="2" t="s">
        <v>963</v>
      </c>
      <c r="DF2" s="2">
        <v>1</v>
      </c>
      <c r="DG2" s="2">
        <v>2</v>
      </c>
      <c r="DH2" s="2" t="s">
        <v>963</v>
      </c>
      <c r="DI2" s="2" t="s">
        <v>963</v>
      </c>
      <c r="DJ2" s="2" t="s">
        <v>963</v>
      </c>
      <c r="DK2" s="2" t="s">
        <v>963</v>
      </c>
      <c r="DL2" s="2" t="s">
        <v>963</v>
      </c>
      <c r="DM2" s="2">
        <v>1</v>
      </c>
      <c r="DN2" s="2">
        <v>1</v>
      </c>
      <c r="DO2" s="2">
        <v>1</v>
      </c>
      <c r="DP2" s="2" t="s">
        <v>963</v>
      </c>
      <c r="DQ2" s="2">
        <v>1</v>
      </c>
      <c r="DR2" s="2" t="s">
        <v>963</v>
      </c>
      <c r="DS2" s="2">
        <v>1</v>
      </c>
      <c r="DT2" s="2">
        <v>1</v>
      </c>
      <c r="DU2" s="2">
        <v>1</v>
      </c>
    </row>
    <row r="3" spans="1:125">
      <c r="I3" s="182">
        <f>SUBTOTAL(9,I29:I728)</f>
        <v>37</v>
      </c>
      <c r="Y3" t="s">
        <v>647</v>
      </c>
      <c r="AD3">
        <v>40</v>
      </c>
      <c r="AE3">
        <v>27</v>
      </c>
      <c r="AF3">
        <v>60</v>
      </c>
      <c r="AG3">
        <v>30</v>
      </c>
      <c r="AH3">
        <v>0</v>
      </c>
      <c r="AI3">
        <v>0</v>
      </c>
      <c r="AJ3">
        <v>96</v>
      </c>
      <c r="AL3">
        <v>105</v>
      </c>
      <c r="AM3">
        <v>85</v>
      </c>
      <c r="AN3">
        <v>25</v>
      </c>
      <c r="AO3">
        <v>85</v>
      </c>
      <c r="AQ3">
        <v>45</v>
      </c>
      <c r="AS3">
        <v>115</v>
      </c>
      <c r="AT3">
        <v>30</v>
      </c>
      <c r="AU3">
        <v>30</v>
      </c>
      <c r="AV3">
        <v>25</v>
      </c>
      <c r="AW3">
        <v>165</v>
      </c>
      <c r="AX3">
        <v>30</v>
      </c>
      <c r="AZ3">
        <v>40</v>
      </c>
      <c r="BA3">
        <v>30</v>
      </c>
      <c r="BB3">
        <v>150</v>
      </c>
      <c r="BC3">
        <v>35</v>
      </c>
      <c r="BD3">
        <v>70</v>
      </c>
      <c r="BE3">
        <v>40</v>
      </c>
      <c r="BF3">
        <v>50</v>
      </c>
      <c r="BG3">
        <v>55</v>
      </c>
      <c r="BH3">
        <v>55</v>
      </c>
      <c r="BI3">
        <v>24</v>
      </c>
      <c r="BJ3">
        <v>24</v>
      </c>
      <c r="BK3">
        <v>100</v>
      </c>
      <c r="BM3">
        <v>165</v>
      </c>
      <c r="BN3">
        <v>90</v>
      </c>
      <c r="BO3">
        <v>90</v>
      </c>
      <c r="BP3">
        <v>40</v>
      </c>
      <c r="BQ3">
        <v>90</v>
      </c>
      <c r="BR3">
        <v>40</v>
      </c>
      <c r="BS3">
        <v>0</v>
      </c>
      <c r="BT3">
        <v>130</v>
      </c>
      <c r="BU3">
        <v>40</v>
      </c>
      <c r="BV3">
        <v>80</v>
      </c>
      <c r="BW3">
        <v>40</v>
      </c>
      <c r="BX3">
        <v>70</v>
      </c>
      <c r="BZ3">
        <v>50</v>
      </c>
      <c r="CA3">
        <v>40</v>
      </c>
      <c r="CB3">
        <v>25</v>
      </c>
      <c r="CC3">
        <v>75</v>
      </c>
      <c r="CD3">
        <v>80</v>
      </c>
      <c r="CF3">
        <v>50</v>
      </c>
      <c r="CG3">
        <v>40</v>
      </c>
      <c r="CH3">
        <v>50</v>
      </c>
      <c r="CI3">
        <v>55</v>
      </c>
      <c r="CJ3">
        <v>90</v>
      </c>
      <c r="CM3">
        <v>0</v>
      </c>
      <c r="CN3">
        <v>9</v>
      </c>
      <c r="CO3">
        <v>9</v>
      </c>
      <c r="CP3">
        <v>0</v>
      </c>
      <c r="CR3">
        <v>15</v>
      </c>
      <c r="CS3">
        <v>0</v>
      </c>
      <c r="CT3">
        <v>100</v>
      </c>
      <c r="CU3">
        <v>0</v>
      </c>
      <c r="CV3">
        <v>0</v>
      </c>
      <c r="DD3">
        <v>0</v>
      </c>
      <c r="DE3">
        <v>0</v>
      </c>
      <c r="DF3">
        <v>0</v>
      </c>
      <c r="DG3">
        <v>129.81818181818181</v>
      </c>
      <c r="DH3">
        <v>68.727272727272734</v>
      </c>
      <c r="DI3">
        <v>0</v>
      </c>
      <c r="DJ3">
        <v>0</v>
      </c>
      <c r="DK3">
        <v>0</v>
      </c>
      <c r="DL3">
        <v>0</v>
      </c>
      <c r="DM3">
        <v>0</v>
      </c>
      <c r="DN3">
        <v>0</v>
      </c>
      <c r="DO3">
        <v>0</v>
      </c>
      <c r="DP3">
        <v>0</v>
      </c>
      <c r="DQ3">
        <v>230</v>
      </c>
    </row>
    <row r="4" spans="1:125">
      <c r="D4" s="330" t="s">
        <v>628</v>
      </c>
      <c r="E4" s="503" t="s">
        <v>662</v>
      </c>
      <c r="I4" s="463" t="s">
        <v>999</v>
      </c>
      <c r="M4" s="2">
        <v>433</v>
      </c>
      <c r="N4" s="2">
        <v>443</v>
      </c>
      <c r="O4" s="2">
        <v>456</v>
      </c>
      <c r="P4" s="2">
        <v>469</v>
      </c>
      <c r="Q4" s="2">
        <v>491</v>
      </c>
      <c r="R4" s="2">
        <v>374</v>
      </c>
      <c r="S4" s="2">
        <v>311</v>
      </c>
      <c r="T4" s="2">
        <v>320</v>
      </c>
      <c r="U4" s="2">
        <v>184</v>
      </c>
      <c r="V4" s="2">
        <v>193</v>
      </c>
      <c r="W4" s="2">
        <v>202</v>
      </c>
      <c r="X4">
        <v>202</v>
      </c>
    </row>
    <row r="5" spans="1:125" ht="16.2" thickBot="1">
      <c r="A5" s="2" t="str">
        <f>IF(B5="*",ROW(),"")</f>
        <v/>
      </c>
      <c r="B5" t="str">
        <f>LEFT(E5,1)</f>
        <v/>
      </c>
      <c r="C5">
        <f>IF(B5="*",RIGHT(E5,10),C4)</f>
        <v>0</v>
      </c>
      <c r="D5" s="330" t="s">
        <v>628</v>
      </c>
      <c r="E5" s="499"/>
      <c r="M5" s="2" t="str">
        <f t="shared" ref="M5:S5" ca="1" si="0">INDIRECT("C"&amp;M4)</f>
        <v>19 Jul mer</v>
      </c>
      <c r="N5" s="2" t="str">
        <f t="shared" ca="1" si="0"/>
        <v>20 Jul Jeu</v>
      </c>
      <c r="O5" s="2" t="str">
        <f t="shared" ca="1" si="0"/>
        <v>21 Jul ven</v>
      </c>
      <c r="P5" s="2" t="str">
        <f t="shared" ca="1" si="0"/>
        <v>2 Jul Sam </v>
      </c>
      <c r="Q5" s="2" t="str">
        <f t="shared" ca="1" si="0"/>
        <v>23 Jul Dim</v>
      </c>
      <c r="R5" s="2" t="str">
        <f t="shared" ca="1" si="0"/>
        <v>13 Jul Jeu</v>
      </c>
      <c r="S5" s="2" t="str">
        <f t="shared" ca="1" si="0"/>
        <v>07 Jul Ven</v>
      </c>
      <c r="T5" s="2" t="str">
        <f ca="1">INDIRECT("C"&amp;T4)</f>
        <v>08 Jul sam</v>
      </c>
      <c r="U5" s="2" t="str">
        <f t="shared" ref="U5:X5" ca="1" si="1">INDIRECT("C"&amp;U4)</f>
        <v>23 Jun Ven</v>
      </c>
      <c r="V5" s="2" t="str">
        <f t="shared" ca="1" si="1"/>
        <v>24 Jun Sam</v>
      </c>
      <c r="W5" s="2" t="str">
        <f t="shared" ca="1" si="1"/>
        <v>25 Jun Dim</v>
      </c>
      <c r="X5" s="2" t="str">
        <f t="shared" ca="1" si="1"/>
        <v>25 Jun Dim</v>
      </c>
      <c r="Y5">
        <v>5</v>
      </c>
      <c r="AC5" s="2">
        <f>VLOOKUP(AC$4,C:J,7,FALSE)</f>
        <v>0</v>
      </c>
      <c r="AD5" s="2">
        <v>1</v>
      </c>
      <c r="AE5" s="2">
        <v>1</v>
      </c>
      <c r="AF5" s="2">
        <v>1</v>
      </c>
      <c r="AG5" s="2">
        <v>1</v>
      </c>
      <c r="AH5" s="2">
        <v>1</v>
      </c>
      <c r="AI5" s="2">
        <v>1</v>
      </c>
      <c r="AJ5" s="2">
        <v>1</v>
      </c>
      <c r="AK5" s="2">
        <v>1</v>
      </c>
      <c r="AL5" s="2">
        <v>1</v>
      </c>
      <c r="AM5" s="2">
        <v>1</v>
      </c>
      <c r="AN5" s="2">
        <v>1</v>
      </c>
      <c r="AO5" s="2">
        <v>1</v>
      </c>
      <c r="AP5" s="2">
        <v>1</v>
      </c>
      <c r="AQ5" s="2">
        <v>1</v>
      </c>
      <c r="AR5" s="2">
        <v>1</v>
      </c>
      <c r="AS5" s="2">
        <v>1</v>
      </c>
      <c r="AT5" s="2">
        <v>1</v>
      </c>
      <c r="AU5" s="2">
        <v>1</v>
      </c>
      <c r="AV5" s="2">
        <v>1</v>
      </c>
      <c r="AW5" s="2">
        <v>1</v>
      </c>
      <c r="AX5" s="2">
        <v>1</v>
      </c>
      <c r="AY5" s="2">
        <v>1</v>
      </c>
      <c r="AZ5" s="2">
        <v>1</v>
      </c>
      <c r="BA5" s="2">
        <v>1</v>
      </c>
      <c r="BB5" s="2">
        <v>1</v>
      </c>
      <c r="BC5" s="2">
        <v>1</v>
      </c>
      <c r="BD5" s="2">
        <v>1</v>
      </c>
      <c r="BE5" s="2">
        <v>1</v>
      </c>
      <c r="BF5" s="2">
        <v>1</v>
      </c>
      <c r="BG5" s="2">
        <v>1</v>
      </c>
      <c r="BH5" s="2">
        <v>1</v>
      </c>
      <c r="BI5" s="2">
        <v>1</v>
      </c>
      <c r="BJ5" s="2">
        <v>1</v>
      </c>
      <c r="BK5" s="2">
        <v>1</v>
      </c>
      <c r="BL5" s="2">
        <v>1</v>
      </c>
      <c r="BM5" s="2">
        <v>2</v>
      </c>
      <c r="BN5" s="2">
        <v>1</v>
      </c>
      <c r="BO5" s="2">
        <v>2</v>
      </c>
      <c r="BP5" s="2">
        <v>1</v>
      </c>
      <c r="BQ5" s="2">
        <v>1</v>
      </c>
      <c r="BR5" s="2">
        <v>1</v>
      </c>
      <c r="BS5" s="2">
        <v>1</v>
      </c>
      <c r="BT5" s="2">
        <v>1</v>
      </c>
      <c r="BU5" s="2">
        <v>1</v>
      </c>
      <c r="BV5" s="2">
        <v>1</v>
      </c>
    </row>
    <row r="6" spans="1:125" ht="16.2" thickBot="1">
      <c r="A6" s="2">
        <f t="shared" ref="A6:A69" si="2">IF(B6="*",ROW(),"")</f>
        <v>6</v>
      </c>
      <c r="B6" t="str">
        <f>LEFT(E6,1)</f>
        <v>*</v>
      </c>
      <c r="C6" t="str">
        <f t="shared" ref="C6:C69" si="3">IF(B6="*",RIGHT(E6,10),C5)</f>
        <v>05 Jun Lun</v>
      </c>
      <c r="D6" s="330" t="s">
        <v>628</v>
      </c>
      <c r="E6" s="504" t="s">
        <v>993</v>
      </c>
      <c r="F6" s="505" t="s">
        <v>664</v>
      </c>
      <c r="G6" s="505" t="s">
        <v>12</v>
      </c>
      <c r="I6" s="479" t="str">
        <f t="shared" ref="I6:I70" si="4">IFERROR(IF(VALUE(B6)=5,FIND($I$4,F6,1),""),"")</f>
        <v/>
      </c>
      <c r="K6" s="4">
        <v>1</v>
      </c>
      <c r="L6" s="2" t="s">
        <v>641</v>
      </c>
      <c r="M6" s="97">
        <f t="shared" ref="M6:X12" ca="1" si="5">INDIRECT("F"&amp;M$4+$K6)</f>
        <v>0</v>
      </c>
      <c r="N6" s="97">
        <f t="shared" ca="1" si="5"/>
        <v>80</v>
      </c>
      <c r="O6" s="97">
        <f t="shared" ca="1" si="5"/>
        <v>0</v>
      </c>
      <c r="P6" s="97">
        <f t="shared" ca="1" si="5"/>
        <v>550</v>
      </c>
      <c r="Q6" s="97">
        <f t="shared" ca="1" si="5"/>
        <v>12</v>
      </c>
      <c r="R6" s="97" t="str">
        <f t="shared" ca="1" si="5"/>
        <v>80 30</v>
      </c>
      <c r="S6" s="97" t="str">
        <f t="shared" ca="1" si="5"/>
        <v>50 50</v>
      </c>
      <c r="T6" s="97" t="str">
        <f t="shared" ca="1" si="5"/>
        <v>50 50</v>
      </c>
      <c r="U6" s="97">
        <f t="shared" ca="1" si="5"/>
        <v>150</v>
      </c>
      <c r="V6" s="97">
        <f t="shared" ca="1" si="5"/>
        <v>0</v>
      </c>
      <c r="W6" s="97">
        <f t="shared" ca="1" si="5"/>
        <v>0</v>
      </c>
      <c r="X6" s="97">
        <f t="shared" ca="1" si="5"/>
        <v>0</v>
      </c>
      <c r="AF6" s="2">
        <v>4</v>
      </c>
      <c r="AT6" s="2">
        <v>14</v>
      </c>
      <c r="BL6" s="2">
        <v>18</v>
      </c>
      <c r="BV6" s="2">
        <v>12</v>
      </c>
    </row>
    <row r="7" spans="1:125" ht="16.2" thickBot="1">
      <c r="A7" s="2" t="str">
        <f t="shared" si="2"/>
        <v/>
      </c>
      <c r="B7" t="str">
        <f>LEFT(E7,1)</f>
        <v>1</v>
      </c>
      <c r="C7" t="str">
        <f t="shared" si="3"/>
        <v>05 Jun Lun</v>
      </c>
      <c r="D7" s="330" t="s">
        <v>628</v>
      </c>
      <c r="E7" s="505" t="s">
        <v>641</v>
      </c>
      <c r="F7" s="506"/>
      <c r="G7" s="506"/>
      <c r="I7" s="479" t="str">
        <f t="shared" si="4"/>
        <v/>
      </c>
      <c r="K7" s="4">
        <f>K6+1</f>
        <v>2</v>
      </c>
      <c r="L7" s="2" t="s">
        <v>642</v>
      </c>
      <c r="M7" s="97">
        <f t="shared" ca="1" si="5"/>
        <v>385</v>
      </c>
      <c r="N7" s="97">
        <f t="shared" ca="1" si="5"/>
        <v>80</v>
      </c>
      <c r="O7" s="97">
        <f t="shared" ca="1" si="5"/>
        <v>475</v>
      </c>
      <c r="P7" s="97">
        <f t="shared" ca="1" si="5"/>
        <v>150</v>
      </c>
      <c r="Q7" s="97">
        <f t="shared" ca="1" si="5"/>
        <v>0</v>
      </c>
      <c r="R7" s="97">
        <f t="shared" ca="1" si="5"/>
        <v>140</v>
      </c>
      <c r="S7" s="97">
        <f t="shared" ca="1" si="5"/>
        <v>280</v>
      </c>
      <c r="T7" s="97">
        <f t="shared" ca="1" si="5"/>
        <v>280</v>
      </c>
      <c r="U7" s="97">
        <f t="shared" ca="1" si="5"/>
        <v>220</v>
      </c>
      <c r="V7" s="97">
        <f t="shared" ca="1" si="5"/>
        <v>300</v>
      </c>
      <c r="W7" s="97" t="str">
        <f t="shared" ca="1" si="5"/>
        <v>2100 activité </v>
      </c>
      <c r="X7" s="97" t="str">
        <f t="shared" ca="1" si="5"/>
        <v>2100 activité </v>
      </c>
      <c r="AF7" s="2">
        <v>11</v>
      </c>
      <c r="AT7" s="2">
        <v>31</v>
      </c>
      <c r="BL7" s="2">
        <v>31</v>
      </c>
      <c r="BV7" s="2">
        <v>19</v>
      </c>
    </row>
    <row r="8" spans="1:125" ht="16.2" thickBot="1">
      <c r="A8" s="2" t="str">
        <f t="shared" si="2"/>
        <v/>
      </c>
      <c r="B8" t="str">
        <f t="shared" ref="B8:B71" si="6">LEFT(E8,1)</f>
        <v>2</v>
      </c>
      <c r="C8" t="str">
        <f t="shared" si="3"/>
        <v>05 Jun Lun</v>
      </c>
      <c r="D8" s="330" t="s">
        <v>628</v>
      </c>
      <c r="E8" s="505" t="s">
        <v>642</v>
      </c>
      <c r="F8" s="506"/>
      <c r="G8" s="506"/>
      <c r="I8" s="479" t="str">
        <f t="shared" si="4"/>
        <v/>
      </c>
      <c r="K8" s="4">
        <f t="shared" ref="K8:K71" si="7">K7+1</f>
        <v>3</v>
      </c>
      <c r="L8" s="2" t="s">
        <v>643</v>
      </c>
      <c r="M8" s="97">
        <f t="shared" ca="1" si="5"/>
        <v>185</v>
      </c>
      <c r="N8" s="97">
        <f t="shared" ca="1" si="5"/>
        <v>80</v>
      </c>
      <c r="O8" s="97">
        <f t="shared" ca="1" si="5"/>
        <v>175</v>
      </c>
      <c r="P8" s="97">
        <f t="shared" ca="1" si="5"/>
        <v>160</v>
      </c>
      <c r="Q8" s="97">
        <f t="shared" ca="1" si="5"/>
        <v>0</v>
      </c>
      <c r="R8" s="97">
        <f t="shared" ca="1" si="5"/>
        <v>250</v>
      </c>
      <c r="S8" s="97">
        <f t="shared" ca="1" si="5"/>
        <v>310</v>
      </c>
      <c r="T8" s="97">
        <f t="shared" ca="1" si="5"/>
        <v>310</v>
      </c>
      <c r="U8" s="97">
        <f t="shared" ca="1" si="5"/>
        <v>320</v>
      </c>
      <c r="V8" s="97">
        <f t="shared" ca="1" si="5"/>
        <v>125</v>
      </c>
      <c r="W8" s="97">
        <f t="shared" ca="1" si="5"/>
        <v>150</v>
      </c>
      <c r="X8" s="97">
        <f t="shared" ca="1" si="5"/>
        <v>150</v>
      </c>
    </row>
    <row r="9" spans="1:125" ht="16.2" thickBot="1">
      <c r="A9" s="2" t="str">
        <f t="shared" si="2"/>
        <v/>
      </c>
      <c r="B9" t="str">
        <f t="shared" si="6"/>
        <v>3</v>
      </c>
      <c r="C9" t="str">
        <f t="shared" si="3"/>
        <v>05 Jun Lun</v>
      </c>
      <c r="D9" s="330" t="s">
        <v>628</v>
      </c>
      <c r="E9" s="505" t="s">
        <v>643</v>
      </c>
      <c r="F9" s="506"/>
      <c r="G9" s="506"/>
      <c r="I9" s="479" t="str">
        <f t="shared" si="4"/>
        <v/>
      </c>
      <c r="K9" s="4">
        <f t="shared" si="7"/>
        <v>4</v>
      </c>
      <c r="L9" s="2" t="s">
        <v>645</v>
      </c>
      <c r="M9" s="97" t="str">
        <f t="shared" ca="1" si="5"/>
        <v>85 60</v>
      </c>
      <c r="N9" s="97" t="str">
        <f t="shared" ca="1" si="5"/>
        <v>80 30</v>
      </c>
      <c r="O9" s="97" t="str">
        <f t="shared" ca="1" si="5"/>
        <v>50 60</v>
      </c>
      <c r="P9" s="97">
        <f t="shared" ca="1" si="5"/>
        <v>15</v>
      </c>
      <c r="Q9" s="97">
        <f t="shared" ca="1" si="5"/>
        <v>0</v>
      </c>
      <c r="R9" s="97" t="str">
        <f t="shared" ca="1" si="5"/>
        <v>50 25</v>
      </c>
      <c r="S9" s="97" t="str">
        <f t="shared" ca="1" si="5"/>
        <v>30 90 60</v>
      </c>
      <c r="T9" s="97" t="str">
        <f t="shared" ca="1" si="5"/>
        <v>30 90 60</v>
      </c>
      <c r="U9" s="97">
        <f t="shared" ca="1" si="5"/>
        <v>0</v>
      </c>
      <c r="V9" s="97">
        <f t="shared" ca="1" si="5"/>
        <v>25</v>
      </c>
      <c r="W9" s="97">
        <f t="shared" ca="1" si="5"/>
        <v>40</v>
      </c>
      <c r="X9" s="97">
        <f t="shared" ca="1" si="5"/>
        <v>40</v>
      </c>
    </row>
    <row r="10" spans="1:125" ht="16.2" thickBot="1">
      <c r="A10" s="2" t="str">
        <f t="shared" si="2"/>
        <v/>
      </c>
      <c r="B10" t="str">
        <f t="shared" si="6"/>
        <v>4</v>
      </c>
      <c r="C10" t="str">
        <f t="shared" si="3"/>
        <v>05 Jun Lun</v>
      </c>
      <c r="D10" s="330" t="s">
        <v>628</v>
      </c>
      <c r="E10" s="505" t="s">
        <v>645</v>
      </c>
      <c r="F10" s="505" t="s">
        <v>994</v>
      </c>
      <c r="G10" s="506"/>
      <c r="I10" s="479" t="str">
        <f t="shared" si="4"/>
        <v/>
      </c>
      <c r="K10" s="4">
        <f t="shared" si="7"/>
        <v>5</v>
      </c>
      <c r="L10" s="2" t="s">
        <v>646</v>
      </c>
      <c r="M10" s="97" t="str">
        <f t="shared" ca="1" si="5"/>
        <v>C15</v>
      </c>
      <c r="N10" s="97" t="str">
        <f t="shared" ca="1" si="5"/>
        <v>C15 500</v>
      </c>
      <c r="O10" s="97" t="str">
        <f t="shared" ca="1" si="5"/>
        <v>C15</v>
      </c>
      <c r="P10" s="97">
        <f t="shared" ca="1" si="5"/>
        <v>0</v>
      </c>
      <c r="Q10" s="97">
        <f t="shared" ca="1" si="5"/>
        <v>0</v>
      </c>
      <c r="R10" s="97" t="str">
        <f t="shared" ca="1" si="5"/>
        <v>C15 250 60</v>
      </c>
      <c r="S10" s="97" t="str">
        <f t="shared" ca="1" si="5"/>
        <v>C15</v>
      </c>
      <c r="T10" s="97" t="str">
        <f t="shared" ca="1" si="5"/>
        <v>C15</v>
      </c>
      <c r="U10" s="97" t="str">
        <f t="shared" ca="1" si="5"/>
        <v>C15</v>
      </c>
      <c r="V10" s="97" t="str">
        <f t="shared" ca="1" si="5"/>
        <v>C15</v>
      </c>
      <c r="W10" s="97" t="str">
        <f t="shared" ca="1" si="5"/>
        <v>60 80 80</v>
      </c>
      <c r="X10" s="97" t="str">
        <f t="shared" ca="1" si="5"/>
        <v>60 80 80</v>
      </c>
    </row>
    <row r="11" spans="1:125" ht="16.2" thickBot="1">
      <c r="A11" s="2" t="str">
        <f t="shared" si="2"/>
        <v/>
      </c>
      <c r="B11" t="str">
        <f t="shared" si="6"/>
        <v>5</v>
      </c>
      <c r="C11" t="str">
        <f t="shared" si="3"/>
        <v>05 Jun Lun</v>
      </c>
      <c r="D11" s="330" t="s">
        <v>628</v>
      </c>
      <c r="E11" s="505" t="s">
        <v>646</v>
      </c>
      <c r="F11" s="506"/>
      <c r="G11" s="506"/>
      <c r="I11" s="479" t="str">
        <f t="shared" si="4"/>
        <v/>
      </c>
      <c r="K11" s="4">
        <f t="shared" si="7"/>
        <v>6</v>
      </c>
      <c r="L11" s="2" t="s">
        <v>647</v>
      </c>
      <c r="M11" s="97">
        <f t="shared" ca="1" si="5"/>
        <v>0</v>
      </c>
      <c r="N11" s="97">
        <f t="shared" ca="1" si="5"/>
        <v>0</v>
      </c>
      <c r="O11" s="97" t="str">
        <f t="shared" ca="1" si="5"/>
        <v>Essence 30</v>
      </c>
      <c r="P11" s="97">
        <f t="shared" ca="1" si="5"/>
        <v>0</v>
      </c>
      <c r="Q11" s="97">
        <f t="shared" ca="1" si="5"/>
        <v>0</v>
      </c>
      <c r="R11" s="97">
        <f t="shared" ca="1" si="5"/>
        <v>0</v>
      </c>
      <c r="S11" s="97">
        <f t="shared" ca="1" si="5"/>
        <v>0</v>
      </c>
      <c r="T11" s="97">
        <f t="shared" ca="1" si="5"/>
        <v>0</v>
      </c>
      <c r="U11" s="97">
        <f t="shared" ca="1" si="5"/>
        <v>0</v>
      </c>
      <c r="V11" s="97">
        <f t="shared" ca="1" si="5"/>
        <v>0</v>
      </c>
      <c r="W11" s="97" t="str">
        <f t="shared" ca="1" si="5"/>
        <v>Taxi 120 80 Hoa</v>
      </c>
      <c r="X11" s="97" t="str">
        <f t="shared" ca="1" si="5"/>
        <v>Taxi 120 80 Hoa</v>
      </c>
    </row>
    <row r="12" spans="1:125" ht="16.2" thickBot="1">
      <c r="A12" s="2" t="str">
        <f t="shared" si="2"/>
        <v/>
      </c>
      <c r="B12" t="str">
        <f t="shared" si="6"/>
        <v>6</v>
      </c>
      <c r="C12" t="str">
        <f t="shared" si="3"/>
        <v>05 Jun Lun</v>
      </c>
      <c r="D12" s="330" t="s">
        <v>628</v>
      </c>
      <c r="E12" s="505" t="s">
        <v>647</v>
      </c>
      <c r="F12" s="505" t="s">
        <v>995</v>
      </c>
      <c r="G12" s="506"/>
      <c r="I12" s="479" t="str">
        <f t="shared" si="4"/>
        <v/>
      </c>
      <c r="K12" s="4">
        <f t="shared" si="7"/>
        <v>7</v>
      </c>
      <c r="L12" s="2" t="s">
        <v>648</v>
      </c>
      <c r="M12" s="204">
        <f t="shared" ca="1" si="5"/>
        <v>0</v>
      </c>
      <c r="N12" s="204">
        <f t="shared" ca="1" si="5"/>
        <v>0</v>
      </c>
      <c r="O12" s="204">
        <f t="shared" ca="1" si="5"/>
        <v>0</v>
      </c>
      <c r="P12" s="204">
        <f t="shared" ca="1" si="5"/>
        <v>0</v>
      </c>
      <c r="Q12" s="204">
        <f t="shared" ca="1" si="5"/>
        <v>0</v>
      </c>
      <c r="R12" s="204">
        <f t="shared" ca="1" si="5"/>
        <v>0</v>
      </c>
      <c r="S12" s="204" t="str">
        <f t="shared" ca="1" si="5"/>
        <v>8364 loyer</v>
      </c>
      <c r="T12" s="204" t="str">
        <f t="shared" ca="1" si="5"/>
        <v>3100 electricité passée et 5680 loyer a venir 16 jours</v>
      </c>
      <c r="U12" s="204">
        <f t="shared" ca="1" si="5"/>
        <v>0</v>
      </c>
      <c r="V12" s="204">
        <f t="shared" ca="1" si="5"/>
        <v>0</v>
      </c>
      <c r="W12" s="204">
        <f t="shared" ca="1" si="5"/>
        <v>0</v>
      </c>
      <c r="X12" s="204">
        <f t="shared" ca="1" si="5"/>
        <v>0</v>
      </c>
    </row>
    <row r="13" spans="1:125" ht="16.2" thickBot="1">
      <c r="A13" s="2" t="str">
        <f t="shared" si="2"/>
        <v/>
      </c>
      <c r="B13" t="str">
        <f t="shared" si="6"/>
        <v>7</v>
      </c>
      <c r="C13" t="str">
        <f t="shared" si="3"/>
        <v>05 Jun Lun</v>
      </c>
      <c r="D13" s="330" t="s">
        <v>628</v>
      </c>
      <c r="E13" s="505" t="s">
        <v>648</v>
      </c>
      <c r="F13" s="506"/>
      <c r="G13" s="506"/>
      <c r="I13" s="479" t="str">
        <f t="shared" si="4"/>
        <v/>
      </c>
      <c r="K13" s="2">
        <f t="shared" si="7"/>
        <v>8</v>
      </c>
      <c r="M13" s="2" t="str">
        <f t="shared" ref="M13:X28" ca="1" si="8">INDIRECT("E"&amp;M$4+$K13)</f>
        <v>Pédicure 200 Thuy extra</v>
      </c>
      <c r="N13" s="2" t="str">
        <f t="shared" ca="1" si="8"/>
        <v>6 semelles 500</v>
      </c>
      <c r="O13" s="2" t="str">
        <f t="shared" ca="1" si="8"/>
        <v>Foulard Élodie 300</v>
      </c>
      <c r="P13" s="2" t="str">
        <f t="shared" ca="1" si="8"/>
        <v>100 location balance</v>
      </c>
      <c r="Q13" s="2" t="str">
        <f t="shared" ca="1" si="8"/>
        <v>Reste 215 €</v>
      </c>
      <c r="R13" s="2" t="str">
        <f t="shared" ca="1" si="8"/>
        <v>Limousine 560</v>
      </c>
      <c r="S13" s="2" t="str">
        <f t="shared" ca="1" si="8"/>
        <v>465 Tissu blanc pour deux Chemise, une manche courte, une manche longue</v>
      </c>
      <c r="T13" s="2" t="str">
        <f t="shared" ca="1" si="8"/>
        <v>465 Tissu blanc pour deux Chemise, une manche courte, une manche longue</v>
      </c>
      <c r="U13" s="2" t="str">
        <f t="shared" ca="1" si="8"/>
        <v>Robe de Hoa à payer 1,1 MD</v>
      </c>
      <c r="V13" s="2">
        <f t="shared" ca="1" si="8"/>
        <v>0</v>
      </c>
      <c r="W13" s="2">
        <f t="shared" ca="1" si="8"/>
        <v>0</v>
      </c>
      <c r="X13" s="2">
        <f t="shared" ca="1" si="8"/>
        <v>0</v>
      </c>
    </row>
    <row r="14" spans="1:125" ht="16.2" thickBot="1">
      <c r="A14" s="2" t="str">
        <f t="shared" si="2"/>
        <v/>
      </c>
      <c r="B14" t="str">
        <f t="shared" si="6"/>
        <v/>
      </c>
      <c r="C14" t="str">
        <f t="shared" si="3"/>
        <v>05 Jun Lun</v>
      </c>
      <c r="D14" s="330" t="s">
        <v>628</v>
      </c>
      <c r="E14" s="507"/>
      <c r="F14" s="499"/>
      <c r="G14" s="499"/>
      <c r="I14" s="479" t="str">
        <f t="shared" si="4"/>
        <v/>
      </c>
      <c r="K14" s="2">
        <f t="shared" si="7"/>
        <v>9</v>
      </c>
      <c r="M14" s="2" t="str">
        <f t="shared" ca="1" si="8"/>
        <v>Cigarettes 30 a 360KD et 20 de Tip</v>
      </c>
      <c r="N14" s="2" t="str">
        <f t="shared" ca="1" si="8"/>
        <v>Façon chemise 500</v>
      </c>
      <c r="O14" s="2" t="str">
        <f t="shared" ca="1" si="8"/>
        <v>Foulard Nathalie 200</v>
      </c>
      <c r="P14" s="2" t="str">
        <f t="shared" ca="1" si="8"/>
        <v>Cadeaux Elo Maga 700</v>
      </c>
      <c r="Q14" s="2">
        <f t="shared" ca="1" si="8"/>
        <v>0</v>
      </c>
      <c r="R14" s="2" t="str">
        <f t="shared" ca="1" si="8"/>
        <v>Location scoot 2 fois 180</v>
      </c>
      <c r="S14" s="2" t="str">
        <f t="shared" ca="1" si="8"/>
        <v>* 08 Jul sam</v>
      </c>
      <c r="T14" s="2" t="str">
        <f t="shared" ca="1" si="8"/>
        <v>*  08 Jul Sam</v>
      </c>
      <c r="U14" s="2" t="str">
        <f t="shared" ca="1" si="8"/>
        <v>*  24 Jun Sam</v>
      </c>
      <c r="V14" s="2" t="str">
        <f t="shared" ca="1" si="8"/>
        <v>* 25 Jun Dim</v>
      </c>
      <c r="W14" s="2" t="str">
        <f t="shared" ca="1" si="8"/>
        <v>* 26 Jun Lun</v>
      </c>
      <c r="X14" s="2" t="str">
        <f t="shared" ca="1" si="8"/>
        <v>* 26 Jun Lun</v>
      </c>
    </row>
    <row r="15" spans="1:125" ht="16.2" thickBot="1">
      <c r="A15" s="2">
        <f t="shared" si="2"/>
        <v>15</v>
      </c>
      <c r="B15" t="str">
        <f t="shared" si="6"/>
        <v>*</v>
      </c>
      <c r="C15" t="str">
        <f t="shared" si="3"/>
        <v>06 Jun Mar</v>
      </c>
      <c r="D15" s="330" t="s">
        <v>628</v>
      </c>
      <c r="E15" s="504" t="s">
        <v>996</v>
      </c>
      <c r="F15" s="505" t="s">
        <v>664</v>
      </c>
      <c r="G15" s="506"/>
      <c r="I15" s="479" t="str">
        <f t="shared" si="4"/>
        <v/>
      </c>
      <c r="K15" s="2">
        <f t="shared" si="7"/>
        <v>10</v>
      </c>
      <c r="M15" s="2" t="str">
        <f t="shared" ca="1" si="8"/>
        <v>* 20 Jul Jeu</v>
      </c>
      <c r="N15" s="2" t="str">
        <f t="shared" ca="1" si="8"/>
        <v>Coiffeur 70</v>
      </c>
      <c r="O15" s="2" t="str">
        <f t="shared" ca="1" si="8"/>
        <v>Filtre </v>
      </c>
      <c r="P15" s="2" t="str">
        <f t="shared" ca="1" si="8"/>
        <v>Paiement scoot 500 </v>
      </c>
      <c r="Q15" s="2">
        <f t="shared" ca="1" si="8"/>
        <v>0</v>
      </c>
      <c r="R15" s="2" t="str">
        <f t="shared" ca="1" si="8"/>
        <v>Dispositif scoot phone 100</v>
      </c>
      <c r="S15" s="2" t="str">
        <f t="shared" ca="1" si="8"/>
        <v>1 marché</v>
      </c>
      <c r="T15" s="2" t="str">
        <f t="shared" ca="1" si="8"/>
        <v>1 marché</v>
      </c>
      <c r="U15" s="2" t="str">
        <f t="shared" ca="1" si="8"/>
        <v>1 marché</v>
      </c>
      <c r="V15" s="2" t="str">
        <f t="shared" ca="1" si="8"/>
        <v>1 marché</v>
      </c>
      <c r="W15" s="2" t="str">
        <f t="shared" ca="1" si="8"/>
        <v>1 marché</v>
      </c>
      <c r="X15" s="2" t="str">
        <f t="shared" ca="1" si="8"/>
        <v>1 marché</v>
      </c>
    </row>
    <row r="16" spans="1:125" ht="16.2" thickBot="1">
      <c r="A16" s="2" t="str">
        <f t="shared" si="2"/>
        <v/>
      </c>
      <c r="B16" t="str">
        <f t="shared" si="6"/>
        <v>1</v>
      </c>
      <c r="C16" t="str">
        <f t="shared" si="3"/>
        <v>06 Jun Mar</v>
      </c>
      <c r="D16" s="330" t="s">
        <v>628</v>
      </c>
      <c r="E16" s="505" t="s">
        <v>641</v>
      </c>
      <c r="F16" s="506"/>
      <c r="G16" s="506"/>
      <c r="I16" s="479" t="str">
        <f t="shared" si="4"/>
        <v/>
      </c>
      <c r="J16" s="2"/>
      <c r="K16" s="2">
        <f t="shared" si="7"/>
        <v>11</v>
      </c>
      <c r="M16" s="2" t="str">
        <f t="shared" ca="1" si="8"/>
        <v>1 marché</v>
      </c>
      <c r="N16" s="2" t="str">
        <f t="shared" ca="1" si="8"/>
        <v>Je paie le cadeau de Hoa 500: les chaussures trop grandes</v>
      </c>
      <c r="O16" s="2" t="str">
        <f t="shared" ca="1" si="8"/>
        <v>phone et coque 200</v>
      </c>
      <c r="P16" s="2" t="str">
        <f t="shared" ca="1" si="8"/>
        <v>Récup caution 2000</v>
      </c>
      <c r="Q16" s="2">
        <f t="shared" ca="1" si="8"/>
        <v>0</v>
      </c>
      <c r="R16" s="2" t="str">
        <f t="shared" ca="1" si="8"/>
        <v>Paiement façon 2 chemises blanches 1200</v>
      </c>
      <c r="S16" s="2" t="str">
        <f t="shared" ca="1" si="8"/>
        <v>2 midi</v>
      </c>
      <c r="T16" s="2" t="str">
        <f t="shared" ca="1" si="8"/>
        <v>2 midi</v>
      </c>
      <c r="U16" s="2" t="str">
        <f t="shared" ca="1" si="8"/>
        <v>2 midi</v>
      </c>
      <c r="V16" s="2" t="str">
        <f t="shared" ca="1" si="8"/>
        <v>2 midi</v>
      </c>
      <c r="W16" s="2" t="str">
        <f t="shared" ca="1" si="8"/>
        <v>2 midi</v>
      </c>
      <c r="X16" s="2" t="str">
        <f t="shared" ca="1" si="8"/>
        <v>2 midi</v>
      </c>
    </row>
    <row r="17" spans="1:30" ht="16.2" thickBot="1">
      <c r="A17" s="2" t="str">
        <f t="shared" si="2"/>
        <v/>
      </c>
      <c r="B17" t="str">
        <f t="shared" si="6"/>
        <v>2</v>
      </c>
      <c r="C17" t="str">
        <f t="shared" si="3"/>
        <v>06 Jun Mar</v>
      </c>
      <c r="D17" s="330" t="s">
        <v>628</v>
      </c>
      <c r="E17" s="505" t="s">
        <v>642</v>
      </c>
      <c r="F17" s="506"/>
      <c r="G17" s="506"/>
      <c r="I17" s="479" t="str">
        <f t="shared" si="4"/>
        <v/>
      </c>
      <c r="J17" s="2"/>
      <c r="K17" s="2">
        <f t="shared" si="7"/>
        <v>12</v>
      </c>
      <c r="M17" s="2" t="str">
        <f t="shared" ca="1" si="8"/>
        <v>2 midi</v>
      </c>
      <c r="N17" s="2">
        <f t="shared" ca="1" si="8"/>
        <v>0</v>
      </c>
      <c r="O17" s="2">
        <f t="shared" ca="1" si="8"/>
        <v>0</v>
      </c>
      <c r="P17" s="2" t="str">
        <f t="shared" ca="1" si="8"/>
        <v>Remboursement batterie 330</v>
      </c>
      <c r="Q17" s="2">
        <f t="shared" ca="1" si="8"/>
        <v>0</v>
      </c>
      <c r="R17" s="2" t="str">
        <f t="shared" ca="1" si="8"/>
        <v>* 14 Jul Ven</v>
      </c>
      <c r="S17" s="2" t="str">
        <f t="shared" ca="1" si="8"/>
        <v>3 soir</v>
      </c>
      <c r="T17" s="2" t="str">
        <f t="shared" ca="1" si="8"/>
        <v>3 soir</v>
      </c>
      <c r="U17" s="2" t="str">
        <f t="shared" ca="1" si="8"/>
        <v>3 soir</v>
      </c>
      <c r="V17" s="2" t="str">
        <f t="shared" ca="1" si="8"/>
        <v>3 soir</v>
      </c>
      <c r="W17" s="2" t="str">
        <f t="shared" ca="1" si="8"/>
        <v>3 soir</v>
      </c>
      <c r="X17" s="2" t="str">
        <f t="shared" ca="1" si="8"/>
        <v>3 soir</v>
      </c>
    </row>
    <row r="18" spans="1:30" ht="16.2" outlineLevel="1" thickBot="1">
      <c r="A18" s="2" t="str">
        <f t="shared" si="2"/>
        <v/>
      </c>
      <c r="B18" t="str">
        <f t="shared" si="6"/>
        <v>3</v>
      </c>
      <c r="C18" t="str">
        <f t="shared" si="3"/>
        <v>06 Jun Mar</v>
      </c>
      <c r="D18" s="330" t="s">
        <v>628</v>
      </c>
      <c r="E18" s="505" t="s">
        <v>643</v>
      </c>
      <c r="F18" s="506"/>
      <c r="G18" s="506"/>
      <c r="I18" s="479" t="str">
        <f t="shared" si="4"/>
        <v/>
      </c>
      <c r="J18" s="2"/>
      <c r="K18" s="2">
        <f t="shared" si="7"/>
        <v>13</v>
      </c>
      <c r="M18" s="2" t="str">
        <f t="shared" ca="1" si="8"/>
        <v>3 soir</v>
      </c>
      <c r="N18" s="2" t="str">
        <f t="shared" ca="1" si="8"/>
        <v>* 21 Jul ven</v>
      </c>
      <c r="O18" s="2" t="str">
        <f t="shared" ca="1" si="8"/>
        <v>* 22 Jul Sam </v>
      </c>
      <c r="P18" s="2" t="str">
        <f t="shared" ca="1" si="8"/>
        <v>Fruit de la passion 100</v>
      </c>
      <c r="Q18" s="2">
        <f t="shared" ca="1" si="8"/>
        <v>0</v>
      </c>
      <c r="R18" s="2" t="str">
        <f t="shared" ca="1" si="8"/>
        <v>1 marché</v>
      </c>
      <c r="S18" s="2" t="str">
        <f t="shared" ca="1" si="8"/>
        <v>4 café jus</v>
      </c>
      <c r="T18" s="2" t="str">
        <f t="shared" ca="1" si="8"/>
        <v>4 café jus</v>
      </c>
      <c r="U18" s="2" t="str">
        <f t="shared" ca="1" si="8"/>
        <v>4 café jus</v>
      </c>
      <c r="V18" s="2" t="str">
        <f t="shared" ca="1" si="8"/>
        <v>4 café jus</v>
      </c>
      <c r="W18" s="2" t="str">
        <f t="shared" ca="1" si="8"/>
        <v>4 café jus</v>
      </c>
      <c r="X18" s="2" t="str">
        <f t="shared" ca="1" si="8"/>
        <v>4 café jus</v>
      </c>
    </row>
    <row r="19" spans="1:30" ht="16.2" outlineLevel="1" thickBot="1">
      <c r="A19" s="2" t="str">
        <f t="shared" si="2"/>
        <v/>
      </c>
      <c r="B19" t="str">
        <f t="shared" si="6"/>
        <v>4</v>
      </c>
      <c r="C19" t="str">
        <f t="shared" si="3"/>
        <v>06 Jun Mar</v>
      </c>
      <c r="D19" s="330" t="s">
        <v>628</v>
      </c>
      <c r="E19" s="505" t="s">
        <v>645</v>
      </c>
      <c r="F19" s="506"/>
      <c r="G19" s="506"/>
      <c r="I19" s="479" t="str">
        <f t="shared" si="4"/>
        <v/>
      </c>
      <c r="J19" s="2"/>
      <c r="K19" s="2">
        <f t="shared" si="7"/>
        <v>14</v>
      </c>
      <c r="M19" s="2"/>
      <c r="N19" s="2"/>
      <c r="O19" s="2" t="str">
        <f t="shared" ca="1" si="8"/>
        <v>1 marché</v>
      </c>
      <c r="P19" s="2" t="str">
        <f t="shared" ca="1" si="8"/>
        <v>200 tip Trang et Linh</v>
      </c>
      <c r="Q19" s="2">
        <f t="shared" ca="1" si="8"/>
        <v>0</v>
      </c>
      <c r="S19" s="2" t="str">
        <f t="shared" ca="1" si="8"/>
        <v>5 Bar Cig</v>
      </c>
      <c r="T19" s="2" t="str">
        <f t="shared" ca="1" si="8"/>
        <v>5 Bar Cig</v>
      </c>
      <c r="U19" s="2" t="str">
        <f t="shared" ca="1" si="8"/>
        <v>5 Bar Cig</v>
      </c>
      <c r="V19" s="2" t="str">
        <f t="shared" ca="1" si="8"/>
        <v>5 Bar Cig</v>
      </c>
      <c r="W19" s="2" t="str">
        <f t="shared" ca="1" si="8"/>
        <v>5 Bar Cig</v>
      </c>
      <c r="X19" s="2" t="str">
        <f t="shared" ca="1" si="8"/>
        <v>5 Bar Cig</v>
      </c>
    </row>
    <row r="20" spans="1:30" ht="16.2" outlineLevel="1" thickBot="1">
      <c r="A20" s="2" t="str">
        <f t="shared" si="2"/>
        <v/>
      </c>
      <c r="B20" t="str">
        <f t="shared" si="6"/>
        <v>5</v>
      </c>
      <c r="C20" t="str">
        <f t="shared" si="3"/>
        <v>06 Jun Mar</v>
      </c>
      <c r="D20" s="330" t="s">
        <v>628</v>
      </c>
      <c r="E20" s="505" t="s">
        <v>646</v>
      </c>
      <c r="F20" s="506"/>
      <c r="G20" s="506"/>
      <c r="I20" s="479" t="str">
        <f t="shared" si="4"/>
        <v/>
      </c>
      <c r="J20" s="2"/>
      <c r="K20" s="2">
        <f t="shared" si="7"/>
        <v>15</v>
      </c>
      <c r="M20" s="2"/>
      <c r="N20" s="2"/>
      <c r="O20" s="2" t="str">
        <f t="shared" ca="1" si="8"/>
        <v>2 midi</v>
      </c>
      <c r="P20" s="2" t="str">
        <f t="shared" ca="1" si="8"/>
        <v>Électricité 1080</v>
      </c>
      <c r="Q20" s="2">
        <f t="shared" ca="1" si="8"/>
        <v>0</v>
      </c>
      <c r="S20" s="2" t="str">
        <f t="shared" ca="1" si="8"/>
        <v>6 taxi int</v>
      </c>
      <c r="T20" s="2" t="str">
        <f t="shared" ca="1" si="8"/>
        <v>6 taxi int</v>
      </c>
      <c r="U20" s="2" t="str">
        <f t="shared" ca="1" si="8"/>
        <v>6 taxi int</v>
      </c>
      <c r="V20" s="2" t="str">
        <f t="shared" ca="1" si="8"/>
        <v>6 taxi int</v>
      </c>
      <c r="W20" s="2" t="str">
        <f t="shared" ca="1" si="8"/>
        <v>6 taxi int</v>
      </c>
      <c r="X20" s="2" t="str">
        <f t="shared" ca="1" si="8"/>
        <v>6 taxi int</v>
      </c>
    </row>
    <row r="21" spans="1:30" ht="16.2" outlineLevel="1" thickBot="1">
      <c r="A21" s="2" t="str">
        <f t="shared" si="2"/>
        <v/>
      </c>
      <c r="B21" t="str">
        <f t="shared" si="6"/>
        <v>6</v>
      </c>
      <c r="C21" t="str">
        <f t="shared" si="3"/>
        <v>06 Jun Mar</v>
      </c>
      <c r="D21" s="330" t="s">
        <v>628</v>
      </c>
      <c r="E21" s="505" t="s">
        <v>647</v>
      </c>
      <c r="F21" s="506"/>
      <c r="G21" s="506"/>
      <c r="I21" s="479" t="str">
        <f t="shared" si="4"/>
        <v/>
      </c>
      <c r="K21" s="2">
        <f t="shared" si="7"/>
        <v>16</v>
      </c>
      <c r="O21" s="2" t="str">
        <f t="shared" ca="1" si="8"/>
        <v>3 soir</v>
      </c>
      <c r="P21" s="2" t="str">
        <f t="shared" ca="1" si="8"/>
        <v>5000 remboursés à Hoa</v>
      </c>
      <c r="Q21" s="2">
        <f t="shared" ca="1" si="8"/>
        <v>0</v>
      </c>
      <c r="S21" s="2" t="str">
        <f t="shared" ca="1" si="8"/>
        <v>7 Divrs &amp; Tel</v>
      </c>
      <c r="T21" s="2" t="str">
        <f t="shared" ca="1" si="8"/>
        <v>7 Divrs &amp; Tel</v>
      </c>
      <c r="U21" s="2" t="str">
        <f t="shared" ca="1" si="8"/>
        <v>7 Divrs &amp; Tel</v>
      </c>
      <c r="V21" s="2" t="str">
        <f t="shared" ca="1" si="8"/>
        <v>7 Divrs &amp; Tel</v>
      </c>
      <c r="W21" s="2" t="str">
        <f t="shared" ca="1" si="8"/>
        <v>7 Divrs &amp; Tel</v>
      </c>
      <c r="X21" s="2" t="str">
        <f t="shared" ca="1" si="8"/>
        <v>7 Divrs &amp; Tel</v>
      </c>
    </row>
    <row r="22" spans="1:30" ht="16.2" outlineLevel="1" thickBot="1">
      <c r="A22" s="2" t="str">
        <f t="shared" si="2"/>
        <v/>
      </c>
      <c r="B22" t="str">
        <f t="shared" si="6"/>
        <v>7</v>
      </c>
      <c r="C22" t="str">
        <f t="shared" si="3"/>
        <v>06 Jun Mar</v>
      </c>
      <c r="D22" s="330" t="s">
        <v>628</v>
      </c>
      <c r="E22" s="505" t="s">
        <v>648</v>
      </c>
      <c r="F22" s="506"/>
      <c r="G22" s="506"/>
      <c r="I22" s="479" t="str">
        <f t="shared" si="4"/>
        <v/>
      </c>
      <c r="K22" s="2">
        <f t="shared" si="7"/>
        <v>17</v>
      </c>
      <c r="O22" s="2" t="str">
        <f t="shared" ca="1" si="8"/>
        <v>4 café jus</v>
      </c>
      <c r="P22" s="2" t="str">
        <f t="shared" ca="1" si="8"/>
        <v>Taxi 250</v>
      </c>
      <c r="Q22" s="2">
        <f t="shared" ca="1" si="8"/>
        <v>0</v>
      </c>
      <c r="S22" s="2" t="str">
        <f t="shared" ca="1" si="8"/>
        <v>465 Tissu blanc pour deux Chemise, une manche courte, une manche longue</v>
      </c>
      <c r="T22" s="2">
        <f t="shared" ca="1" si="8"/>
        <v>0</v>
      </c>
      <c r="U22" s="2">
        <f t="shared" ca="1" si="8"/>
        <v>0</v>
      </c>
      <c r="V22" s="2">
        <f t="shared" ca="1" si="8"/>
        <v>0</v>
      </c>
      <c r="W22" s="2" t="str">
        <f t="shared" ca="1" si="8"/>
        <v>700 3 EarPods </v>
      </c>
      <c r="X22" s="2" t="str">
        <f t="shared" ca="1" si="8"/>
        <v>700 3 EarPods </v>
      </c>
    </row>
    <row r="23" spans="1:30" ht="16.2" outlineLevel="1" thickBot="1">
      <c r="A23" s="2" t="str">
        <f t="shared" si="2"/>
        <v/>
      </c>
      <c r="B23" t="str">
        <f t="shared" si="6"/>
        <v/>
      </c>
      <c r="C23" t="str">
        <f t="shared" si="3"/>
        <v>06 Jun Mar</v>
      </c>
      <c r="D23" s="330" t="s">
        <v>628</v>
      </c>
      <c r="E23" s="507"/>
      <c r="F23" s="499"/>
      <c r="G23" s="499"/>
      <c r="I23" s="479" t="str">
        <f t="shared" si="4"/>
        <v/>
      </c>
      <c r="K23" s="2">
        <f t="shared" si="7"/>
        <v>18</v>
      </c>
      <c r="O23" s="2" t="str">
        <f t="shared" ca="1" si="8"/>
        <v>5 Bar Cig</v>
      </c>
      <c r="P23" s="2" t="str">
        <f t="shared" ca="1" si="8"/>
        <v>Cadeau Anh et fils 1600</v>
      </c>
      <c r="Q23" s="2">
        <f t="shared" ca="1" si="8"/>
        <v>0</v>
      </c>
      <c r="S23" s="2" t="str">
        <f t="shared" ca="1" si="8"/>
        <v>*  08 Jul Sam</v>
      </c>
      <c r="T23" s="2" t="str">
        <f t="shared" ca="1" si="8"/>
        <v>* 09 Jul Dim</v>
      </c>
      <c r="U23" s="2" t="str">
        <f t="shared" ca="1" si="8"/>
        <v>* 25 Jun Dim</v>
      </c>
      <c r="V23" s="2" t="str">
        <f t="shared" ca="1" si="8"/>
        <v>* 26 Jun Lun</v>
      </c>
      <c r="W23" s="2" t="str">
        <f t="shared" ca="1" si="8"/>
        <v>* 27 Jun Mar</v>
      </c>
      <c r="X23" s="2" t="str">
        <f t="shared" ca="1" si="8"/>
        <v>* 27 Jun Mar</v>
      </c>
    </row>
    <row r="24" spans="1:30" ht="16.2" outlineLevel="1" thickBot="1">
      <c r="A24" s="2">
        <f t="shared" si="2"/>
        <v>24</v>
      </c>
      <c r="B24" t="str">
        <f t="shared" si="6"/>
        <v>*</v>
      </c>
      <c r="C24" t="str">
        <f t="shared" si="3"/>
        <v>07 Jun Mer</v>
      </c>
      <c r="D24" s="330" t="s">
        <v>628</v>
      </c>
      <c r="E24" s="504" t="s">
        <v>997</v>
      </c>
      <c r="F24" s="505" t="s">
        <v>664</v>
      </c>
      <c r="G24" s="506"/>
      <c r="I24" s="479" t="str">
        <f t="shared" si="4"/>
        <v/>
      </c>
      <c r="K24" s="2">
        <f t="shared" si="7"/>
        <v>19</v>
      </c>
      <c r="O24" s="2" t="str">
        <f t="shared" ca="1" si="8"/>
        <v>6 taxi int</v>
      </c>
      <c r="P24" s="2" t="str">
        <f t="shared" ca="1" si="8"/>
        <v>Coupelles 700</v>
      </c>
      <c r="Q24" t="s">
        <v>1020</v>
      </c>
      <c r="S24" t="s">
        <v>1020</v>
      </c>
      <c r="T24" t="s">
        <v>1020</v>
      </c>
      <c r="U24" t="s">
        <v>1020</v>
      </c>
      <c r="V24" t="s">
        <v>1020</v>
      </c>
      <c r="W24" t="s">
        <v>1020</v>
      </c>
      <c r="X24" t="s">
        <v>1020</v>
      </c>
    </row>
    <row r="25" spans="1:30" ht="16.2" outlineLevel="1" thickBot="1">
      <c r="A25" s="2" t="str">
        <f t="shared" si="2"/>
        <v/>
      </c>
      <c r="B25" t="str">
        <f t="shared" si="6"/>
        <v>1</v>
      </c>
      <c r="C25" t="str">
        <f t="shared" si="3"/>
        <v>07 Jun Mer</v>
      </c>
      <c r="D25" s="330" t="s">
        <v>628</v>
      </c>
      <c r="E25" s="505" t="s">
        <v>641</v>
      </c>
      <c r="F25" s="508">
        <v>81600</v>
      </c>
      <c r="G25" s="505" t="s">
        <v>858</v>
      </c>
      <c r="I25" s="479" t="str">
        <f t="shared" si="4"/>
        <v/>
      </c>
      <c r="K25" s="2">
        <f t="shared" si="7"/>
        <v>20</v>
      </c>
      <c r="O25" s="2" t="str">
        <f t="shared" ca="1" si="8"/>
        <v>7 Divrs &amp; Tel</v>
      </c>
      <c r="P25" s="2" t="str">
        <f t="shared" ca="1" si="8"/>
        <v>correction difference de cash 4000</v>
      </c>
      <c r="AD25" s="2"/>
    </row>
    <row r="26" spans="1:30" ht="16.2" outlineLevel="1" thickBot="1">
      <c r="A26" s="2" t="str">
        <f t="shared" si="2"/>
        <v/>
      </c>
      <c r="B26" t="str">
        <f t="shared" si="6"/>
        <v>2</v>
      </c>
      <c r="C26" t="str">
        <f t="shared" si="3"/>
        <v>07 Jun Mer</v>
      </c>
      <c r="D26" s="330" t="s">
        <v>628</v>
      </c>
      <c r="E26" s="505" t="s">
        <v>642</v>
      </c>
      <c r="F26" s="505">
        <v>40</v>
      </c>
      <c r="G26" s="506"/>
      <c r="I26" s="479" t="str">
        <f t="shared" si="4"/>
        <v/>
      </c>
      <c r="K26" s="2">
        <f t="shared" si="7"/>
        <v>21</v>
      </c>
      <c r="O26" s="2" t="str">
        <f t="shared" ca="1" si="8"/>
        <v>100 location balance</v>
      </c>
      <c r="P26" s="2">
        <f t="shared" ca="1" si="8"/>
        <v>0</v>
      </c>
    </row>
    <row r="27" spans="1:30" ht="16.2" outlineLevel="1" thickBot="1">
      <c r="A27" s="2" t="str">
        <f t="shared" si="2"/>
        <v/>
      </c>
      <c r="B27" t="str">
        <f t="shared" si="6"/>
        <v>3</v>
      </c>
      <c r="C27" t="str">
        <f t="shared" si="3"/>
        <v>07 Jun Mer</v>
      </c>
      <c r="D27" s="330" t="s">
        <v>628</v>
      </c>
      <c r="E27" s="505" t="s">
        <v>643</v>
      </c>
      <c r="F27" s="505">
        <v>150</v>
      </c>
      <c r="G27" s="505" t="s">
        <v>437</v>
      </c>
      <c r="I27" s="479" t="str">
        <f t="shared" si="4"/>
        <v/>
      </c>
      <c r="K27" s="2">
        <f t="shared" si="7"/>
        <v>22</v>
      </c>
      <c r="O27" s="2" t="str">
        <f t="shared" ca="1" si="8"/>
        <v>Cadeaux Elo Maga 700</v>
      </c>
      <c r="P27" s="2" t="str">
        <f t="shared" ca="1" si="8"/>
        <v>* 23 Jul Dim</v>
      </c>
    </row>
    <row r="28" spans="1:30" ht="16.2" outlineLevel="1" thickBot="1">
      <c r="A28" s="2" t="str">
        <f t="shared" si="2"/>
        <v/>
      </c>
      <c r="B28" t="str">
        <f t="shared" si="6"/>
        <v>4</v>
      </c>
      <c r="C28" t="str">
        <f t="shared" si="3"/>
        <v>07 Jun Mer</v>
      </c>
      <c r="D28" s="330" t="s">
        <v>628</v>
      </c>
      <c r="E28" s="505" t="s">
        <v>645</v>
      </c>
      <c r="F28" s="505" t="s">
        <v>998</v>
      </c>
      <c r="G28" s="506"/>
      <c r="I28" s="479" t="str">
        <f t="shared" si="4"/>
        <v/>
      </c>
      <c r="K28" s="2">
        <f t="shared" si="7"/>
        <v>23</v>
      </c>
      <c r="O28" s="2" t="str">
        <f t="shared" ca="1" si="8"/>
        <v>Paiement scoot 500 </v>
      </c>
      <c r="P28" s="2" t="str">
        <f t="shared" ca="1" si="8"/>
        <v>1 marché</v>
      </c>
    </row>
    <row r="29" spans="1:30" ht="16.2" outlineLevel="1" thickBot="1">
      <c r="A29" s="2" t="str">
        <f t="shared" si="2"/>
        <v/>
      </c>
      <c r="B29" t="str">
        <f t="shared" si="6"/>
        <v>5</v>
      </c>
      <c r="C29" t="str">
        <f t="shared" si="3"/>
        <v>07 Jun Mer</v>
      </c>
      <c r="D29" s="330" t="s">
        <v>628</v>
      </c>
      <c r="E29" s="505" t="s">
        <v>646</v>
      </c>
      <c r="F29" s="505" t="s">
        <v>999</v>
      </c>
      <c r="G29" s="506"/>
      <c r="I29" s="479">
        <f t="shared" si="4"/>
        <v>1</v>
      </c>
      <c r="K29" s="2">
        <f t="shared" si="7"/>
        <v>24</v>
      </c>
      <c r="O29" s="2" t="str">
        <f t="shared" ref="O29:P75" ca="1" si="9">INDIRECT("E"&amp;O$4+$K29)</f>
        <v>Récup caution 2000</v>
      </c>
      <c r="P29" s="2" t="str">
        <f t="shared" ca="1" si="9"/>
        <v>2 midi</v>
      </c>
    </row>
    <row r="30" spans="1:30" ht="16.2" outlineLevel="1" thickBot="1">
      <c r="A30" s="2" t="str">
        <f t="shared" si="2"/>
        <v/>
      </c>
      <c r="B30" t="str">
        <f t="shared" si="6"/>
        <v>6</v>
      </c>
      <c r="C30" t="str">
        <f t="shared" si="3"/>
        <v>07 Jun Mer</v>
      </c>
      <c r="D30" s="330" t="s">
        <v>628</v>
      </c>
      <c r="E30" s="505" t="s">
        <v>647</v>
      </c>
      <c r="F30" s="505">
        <v>60</v>
      </c>
      <c r="G30" s="506"/>
      <c r="I30" s="479" t="str">
        <f t="shared" si="4"/>
        <v/>
      </c>
      <c r="K30" s="2">
        <f t="shared" si="7"/>
        <v>25</v>
      </c>
      <c r="O30" s="2" t="str">
        <f t="shared" ca="1" si="9"/>
        <v>Remboursement batterie 330</v>
      </c>
      <c r="P30" s="2" t="str">
        <f t="shared" ca="1" si="9"/>
        <v>3 soir</v>
      </c>
    </row>
    <row r="31" spans="1:30" ht="16.2" outlineLevel="1" thickBot="1">
      <c r="A31" s="2" t="str">
        <f t="shared" si="2"/>
        <v/>
      </c>
      <c r="B31" t="str">
        <f t="shared" si="6"/>
        <v>7</v>
      </c>
      <c r="C31" t="str">
        <f t="shared" si="3"/>
        <v>07 Jun Mer</v>
      </c>
      <c r="D31" s="330" t="s">
        <v>628</v>
      </c>
      <c r="E31" s="505" t="s">
        <v>648</v>
      </c>
      <c r="F31" s="505">
        <v>250</v>
      </c>
      <c r="G31" s="506"/>
      <c r="I31" s="479" t="str">
        <f t="shared" si="4"/>
        <v/>
      </c>
      <c r="K31" s="2">
        <f t="shared" si="7"/>
        <v>26</v>
      </c>
      <c r="O31" s="2" t="str">
        <f t="shared" ca="1" si="9"/>
        <v>Fruit de la passion 100</v>
      </c>
      <c r="P31" s="2" t="str">
        <f t="shared" ca="1" si="9"/>
        <v>4 café jus</v>
      </c>
    </row>
    <row r="32" spans="1:30" outlineLevel="1">
      <c r="A32" s="2" t="str">
        <f t="shared" si="2"/>
        <v/>
      </c>
      <c r="B32" t="str">
        <f t="shared" si="6"/>
        <v>J</v>
      </c>
      <c r="C32" t="str">
        <f t="shared" si="3"/>
        <v>07 Jun Mer</v>
      </c>
      <c r="D32" s="330" t="s">
        <v>628</v>
      </c>
      <c r="E32" s="509" t="s">
        <v>1000</v>
      </c>
      <c r="F32" s="499"/>
      <c r="G32" s="499"/>
      <c r="I32" s="479" t="str">
        <f t="shared" si="4"/>
        <v/>
      </c>
      <c r="K32" s="2">
        <f t="shared" si="7"/>
        <v>27</v>
      </c>
      <c r="O32" s="2" t="str">
        <f t="shared" ca="1" si="9"/>
        <v>200 tip Trang et Linh</v>
      </c>
      <c r="P32" s="2" t="str">
        <f t="shared" ca="1" si="9"/>
        <v>5 Bar Cig</v>
      </c>
    </row>
    <row r="33" spans="1:74" outlineLevel="1">
      <c r="A33" s="2" t="str">
        <f t="shared" si="2"/>
        <v/>
      </c>
      <c r="B33" t="str">
        <f t="shared" si="6"/>
        <v/>
      </c>
      <c r="C33" t="str">
        <f t="shared" si="3"/>
        <v>07 Jun Mer</v>
      </c>
      <c r="D33" s="330" t="s">
        <v>628</v>
      </c>
      <c r="E33" s="499"/>
      <c r="F33" s="499"/>
      <c r="G33" s="499"/>
      <c r="I33" s="479" t="str">
        <f t="shared" si="4"/>
        <v/>
      </c>
      <c r="K33" s="2">
        <f t="shared" si="7"/>
        <v>28</v>
      </c>
      <c r="O33" s="2" t="str">
        <f t="shared" ca="1" si="9"/>
        <v>Électricité 1080</v>
      </c>
      <c r="P33" s="2" t="str">
        <f t="shared" ca="1" si="9"/>
        <v>6 taxi int</v>
      </c>
    </row>
    <row r="34" spans="1:74" outlineLevel="1">
      <c r="A34" s="2" t="str">
        <f t="shared" si="2"/>
        <v/>
      </c>
      <c r="B34" t="str">
        <f t="shared" si="6"/>
        <v>H</v>
      </c>
      <c r="C34" t="str">
        <f t="shared" si="3"/>
        <v>07 Jun Mer</v>
      </c>
      <c r="D34" s="330" t="s">
        <v>628</v>
      </c>
      <c r="E34" s="509" t="s">
        <v>1001</v>
      </c>
      <c r="F34" s="499"/>
      <c r="G34" s="499"/>
      <c r="I34" s="479" t="str">
        <f t="shared" si="4"/>
        <v/>
      </c>
      <c r="K34" s="2">
        <f t="shared" si="7"/>
        <v>29</v>
      </c>
      <c r="O34" s="2" t="str">
        <f t="shared" ca="1" si="9"/>
        <v>5000 remboursés à Hoa</v>
      </c>
      <c r="P34" s="2" t="str">
        <f t="shared" ca="1" si="9"/>
        <v>7 Divrs &amp; Tel</v>
      </c>
    </row>
    <row r="35" spans="1:74" outlineLevel="1">
      <c r="A35" s="2" t="str">
        <f t="shared" si="2"/>
        <v/>
      </c>
      <c r="B35" t="str">
        <f t="shared" si="6"/>
        <v>T</v>
      </c>
      <c r="C35" t="str">
        <f t="shared" si="3"/>
        <v>07 Jun Mer</v>
      </c>
      <c r="D35" s="330" t="s">
        <v>628</v>
      </c>
      <c r="E35" s="509" t="s">
        <v>1002</v>
      </c>
      <c r="F35" s="499"/>
      <c r="G35" s="499"/>
      <c r="I35" s="479" t="str">
        <f t="shared" si="4"/>
        <v/>
      </c>
      <c r="K35" s="2">
        <f t="shared" si="7"/>
        <v>30</v>
      </c>
      <c r="O35" s="2" t="str">
        <f t="shared" ca="1" si="9"/>
        <v>Taxi 250</v>
      </c>
      <c r="P35" s="2" t="str">
        <f t="shared" ca="1" si="9"/>
        <v>Reste 215 €</v>
      </c>
    </row>
    <row r="36" spans="1:74" outlineLevel="1">
      <c r="A36" s="2" t="str">
        <f t="shared" si="2"/>
        <v/>
      </c>
      <c r="B36" t="str">
        <f t="shared" si="6"/>
        <v>T</v>
      </c>
      <c r="C36" t="str">
        <f t="shared" si="3"/>
        <v>07 Jun Mer</v>
      </c>
      <c r="D36" s="330" t="s">
        <v>628</v>
      </c>
      <c r="E36" s="509" t="s">
        <v>1003</v>
      </c>
      <c r="F36" s="499"/>
      <c r="G36" s="499"/>
      <c r="I36" s="479" t="str">
        <f t="shared" si="4"/>
        <v/>
      </c>
      <c r="K36" s="2">
        <f t="shared" si="7"/>
        <v>31</v>
      </c>
      <c r="O36" s="2" t="str">
        <f t="shared" ca="1" si="9"/>
        <v>Cadeau Anh et fils 1600</v>
      </c>
      <c r="P36" s="2">
        <f t="shared" ca="1" si="9"/>
        <v>0</v>
      </c>
    </row>
    <row r="37" spans="1:74" outlineLevel="1">
      <c r="A37" s="2" t="str">
        <f t="shared" si="2"/>
        <v/>
      </c>
      <c r="B37" t="str">
        <f t="shared" si="6"/>
        <v>C</v>
      </c>
      <c r="C37" t="str">
        <f t="shared" si="3"/>
        <v>07 Jun Mer</v>
      </c>
      <c r="D37" s="330" t="s">
        <v>628</v>
      </c>
      <c r="E37" s="509" t="s">
        <v>1004</v>
      </c>
      <c r="F37" s="499"/>
      <c r="G37" s="499"/>
      <c r="I37" s="479" t="str">
        <f t="shared" si="4"/>
        <v/>
      </c>
      <c r="K37" s="2">
        <f t="shared" si="7"/>
        <v>32</v>
      </c>
      <c r="O37" s="2" t="str">
        <f t="shared" ca="1" si="9"/>
        <v>Coupelles 700</v>
      </c>
      <c r="P37" s="2">
        <f t="shared" ca="1" si="9"/>
        <v>0</v>
      </c>
    </row>
    <row r="38" spans="1:74" ht="16.2" outlineLevel="1" thickBot="1">
      <c r="A38" s="2" t="str">
        <f t="shared" si="2"/>
        <v/>
      </c>
      <c r="B38" t="str">
        <f t="shared" si="6"/>
        <v>C</v>
      </c>
      <c r="C38" t="str">
        <f t="shared" si="3"/>
        <v>07 Jun Mer</v>
      </c>
      <c r="D38" s="330" t="s">
        <v>628</v>
      </c>
      <c r="E38" s="509" t="s">
        <v>1005</v>
      </c>
      <c r="F38" s="499"/>
      <c r="G38" s="499"/>
      <c r="I38" s="479" t="str">
        <f t="shared" si="4"/>
        <v/>
      </c>
      <c r="K38" s="2">
        <f t="shared" si="7"/>
        <v>33</v>
      </c>
      <c r="O38" s="2" t="str">
        <f t="shared" ca="1" si="9"/>
        <v>correction difference de cash 4000</v>
      </c>
      <c r="P38" s="2">
        <f t="shared" ca="1" si="9"/>
        <v>0</v>
      </c>
    </row>
    <row r="39" spans="1:74" ht="16.2" outlineLevel="1" thickBot="1">
      <c r="A39" s="2">
        <f t="shared" si="2"/>
        <v>39</v>
      </c>
      <c r="B39" t="str">
        <f t="shared" si="6"/>
        <v>*</v>
      </c>
      <c r="C39" t="str">
        <f t="shared" si="3"/>
        <v>08 Jun Jeu</v>
      </c>
      <c r="D39" s="330" t="s">
        <v>628</v>
      </c>
      <c r="E39" s="504" t="s">
        <v>1006</v>
      </c>
      <c r="F39" s="505" t="s">
        <v>664</v>
      </c>
      <c r="G39" s="506"/>
      <c r="I39" s="479" t="str">
        <f t="shared" si="4"/>
        <v/>
      </c>
      <c r="K39" s="2">
        <f t="shared" si="7"/>
        <v>34</v>
      </c>
      <c r="O39" s="2">
        <f t="shared" ca="1" si="9"/>
        <v>0</v>
      </c>
      <c r="P39" s="2">
        <f t="shared" ca="1" si="9"/>
        <v>0</v>
      </c>
    </row>
    <row r="40" spans="1:74" ht="16.2" outlineLevel="1" thickBot="1">
      <c r="A40" s="2" t="str">
        <f t="shared" si="2"/>
        <v/>
      </c>
      <c r="B40" t="str">
        <f t="shared" si="6"/>
        <v>1</v>
      </c>
      <c r="C40" t="str">
        <f t="shared" si="3"/>
        <v>08 Jun Jeu</v>
      </c>
      <c r="D40" s="330" t="s">
        <v>628</v>
      </c>
      <c r="E40" s="505" t="s">
        <v>641</v>
      </c>
      <c r="F40" s="510" t="s">
        <v>1007</v>
      </c>
      <c r="G40" s="506"/>
      <c r="I40" s="479" t="str">
        <f t="shared" si="4"/>
        <v/>
      </c>
      <c r="K40" s="2">
        <f t="shared" si="7"/>
        <v>35</v>
      </c>
      <c r="O40" s="2" t="str">
        <f t="shared" ca="1" si="9"/>
        <v>* 23 Jul Dim</v>
      </c>
      <c r="P40" s="2">
        <f t="shared" ca="1" si="9"/>
        <v>0</v>
      </c>
    </row>
    <row r="41" spans="1:74" ht="16.2" outlineLevel="1" thickBot="1">
      <c r="A41" s="2" t="str">
        <f t="shared" si="2"/>
        <v/>
      </c>
      <c r="B41" t="str">
        <f t="shared" si="6"/>
        <v>2</v>
      </c>
      <c r="C41" t="str">
        <f t="shared" si="3"/>
        <v>08 Jun Jeu</v>
      </c>
      <c r="D41" s="330" t="s">
        <v>628</v>
      </c>
      <c r="E41" s="505" t="s">
        <v>642</v>
      </c>
      <c r="F41" s="505">
        <v>140</v>
      </c>
      <c r="G41" s="505" t="s">
        <v>1008</v>
      </c>
      <c r="I41" s="479" t="str">
        <f t="shared" si="4"/>
        <v/>
      </c>
      <c r="K41" s="2">
        <f t="shared" si="7"/>
        <v>36</v>
      </c>
      <c r="O41" s="2" t="str">
        <f t="shared" ca="1" si="9"/>
        <v>1 marché</v>
      </c>
      <c r="P41" s="2">
        <f t="shared" ca="1" si="9"/>
        <v>0</v>
      </c>
    </row>
    <row r="42" spans="1:74" ht="16.2" outlineLevel="1" thickBot="1">
      <c r="A42" s="2" t="str">
        <f t="shared" si="2"/>
        <v/>
      </c>
      <c r="B42" t="str">
        <f t="shared" si="6"/>
        <v>3</v>
      </c>
      <c r="C42" t="str">
        <f t="shared" si="3"/>
        <v>08 Jun Jeu</v>
      </c>
      <c r="D42" s="330" t="s">
        <v>628</v>
      </c>
      <c r="E42" s="505" t="s">
        <v>643</v>
      </c>
      <c r="F42" s="506"/>
      <c r="G42" s="506"/>
      <c r="I42" s="479" t="str">
        <f t="shared" si="4"/>
        <v/>
      </c>
      <c r="K42" s="2">
        <f t="shared" si="7"/>
        <v>37</v>
      </c>
      <c r="O42" s="2" t="str">
        <f t="shared" ca="1" si="9"/>
        <v>2 midi</v>
      </c>
      <c r="P42" s="2">
        <f t="shared" ca="1" si="9"/>
        <v>0</v>
      </c>
    </row>
    <row r="43" spans="1:74" ht="16.2" outlineLevel="1" thickBot="1">
      <c r="A43" s="2" t="str">
        <f t="shared" si="2"/>
        <v/>
      </c>
      <c r="B43" t="str">
        <f t="shared" si="6"/>
        <v>4</v>
      </c>
      <c r="C43" t="str">
        <f t="shared" si="3"/>
        <v>08 Jun Jeu</v>
      </c>
      <c r="D43" s="330" t="s">
        <v>628</v>
      </c>
      <c r="E43" s="505" t="s">
        <v>645</v>
      </c>
      <c r="F43" s="505">
        <v>55</v>
      </c>
      <c r="G43" s="506"/>
      <c r="I43" s="479" t="str">
        <f t="shared" si="4"/>
        <v/>
      </c>
      <c r="K43" s="2">
        <f t="shared" si="7"/>
        <v>38</v>
      </c>
      <c r="O43" s="2" t="str">
        <f t="shared" ca="1" si="9"/>
        <v>3 soir</v>
      </c>
      <c r="P43" s="2">
        <f t="shared" ca="1" si="9"/>
        <v>0</v>
      </c>
    </row>
    <row r="44" spans="1:74" ht="16.2" outlineLevel="1" thickBot="1">
      <c r="A44" s="2" t="str">
        <f t="shared" si="2"/>
        <v/>
      </c>
      <c r="B44" t="str">
        <f t="shared" si="6"/>
        <v>5</v>
      </c>
      <c r="C44" t="str">
        <f t="shared" si="3"/>
        <v>08 Jun Jeu</v>
      </c>
      <c r="D44" s="330" t="s">
        <v>628</v>
      </c>
      <c r="E44" s="505" t="s">
        <v>646</v>
      </c>
      <c r="F44" s="506"/>
      <c r="G44" s="506"/>
      <c r="I44" s="479" t="str">
        <f t="shared" si="4"/>
        <v/>
      </c>
      <c r="K44" s="2">
        <f t="shared" si="7"/>
        <v>39</v>
      </c>
      <c r="O44" s="2" t="str">
        <f t="shared" ca="1" si="9"/>
        <v>4 café jus</v>
      </c>
      <c r="P44" s="2">
        <f t="shared" ca="1" si="9"/>
        <v>0</v>
      </c>
    </row>
    <row r="45" spans="1:74" ht="16.2" outlineLevel="1" thickBot="1">
      <c r="A45" s="2" t="str">
        <f t="shared" si="2"/>
        <v/>
      </c>
      <c r="B45" t="str">
        <f t="shared" si="6"/>
        <v>6</v>
      </c>
      <c r="C45" t="str">
        <f t="shared" si="3"/>
        <v>08 Jun Jeu</v>
      </c>
      <c r="D45" s="330" t="s">
        <v>628</v>
      </c>
      <c r="E45" s="505" t="s">
        <v>647</v>
      </c>
      <c r="F45" s="506"/>
      <c r="G45" s="506"/>
      <c r="I45" s="479" t="str">
        <f t="shared" si="4"/>
        <v/>
      </c>
      <c r="K45" s="2">
        <f t="shared" si="7"/>
        <v>40</v>
      </c>
      <c r="O45" s="2" t="str">
        <f t="shared" ca="1" si="9"/>
        <v>5 Bar Cig</v>
      </c>
      <c r="P45" s="2">
        <f t="shared" ca="1" si="9"/>
        <v>0</v>
      </c>
    </row>
    <row r="46" spans="1:74" ht="16.2" outlineLevel="1" thickBot="1">
      <c r="A46" s="2" t="str">
        <f t="shared" si="2"/>
        <v/>
      </c>
      <c r="B46" t="str">
        <f t="shared" si="6"/>
        <v>7</v>
      </c>
      <c r="C46" t="str">
        <f t="shared" si="3"/>
        <v>08 Jun Jeu</v>
      </c>
      <c r="D46" s="330" t="s">
        <v>628</v>
      </c>
      <c r="E46" s="505" t="s">
        <v>648</v>
      </c>
      <c r="F46" s="505">
        <v>50</v>
      </c>
      <c r="G46" s="506"/>
      <c r="I46" s="479" t="str">
        <f t="shared" si="4"/>
        <v/>
      </c>
      <c r="K46" s="2">
        <f t="shared" si="7"/>
        <v>41</v>
      </c>
      <c r="O46" s="2" t="str">
        <f t="shared" ca="1" si="9"/>
        <v>6 taxi int</v>
      </c>
      <c r="P46" s="2">
        <f t="shared" ca="1" si="9"/>
        <v>0</v>
      </c>
    </row>
    <row r="47" spans="1:74" ht="30" outlineLevel="1">
      <c r="A47" s="2" t="str">
        <f t="shared" si="2"/>
        <v/>
      </c>
      <c r="B47" t="str">
        <f t="shared" si="6"/>
        <v>S</v>
      </c>
      <c r="C47" t="str">
        <f t="shared" si="3"/>
        <v>08 Jun Jeu</v>
      </c>
      <c r="D47" s="330" t="s">
        <v>628</v>
      </c>
      <c r="E47" s="509" t="s">
        <v>1009</v>
      </c>
      <c r="F47" s="499"/>
      <c r="G47" s="499"/>
      <c r="I47" s="479" t="str">
        <f t="shared" si="4"/>
        <v/>
      </c>
      <c r="K47" s="2">
        <f t="shared" si="7"/>
        <v>42</v>
      </c>
      <c r="O47" s="2" t="str">
        <f t="shared" ca="1" si="9"/>
        <v>7 Divrs &amp; Tel</v>
      </c>
      <c r="P47" s="2">
        <f t="shared" ca="1" si="9"/>
        <v>0</v>
      </c>
      <c r="AC47" t="s">
        <v>866</v>
      </c>
      <c r="AD47" t="s">
        <v>867</v>
      </c>
      <c r="AE47" t="s">
        <v>868</v>
      </c>
      <c r="AF47" t="s">
        <v>869</v>
      </c>
      <c r="AG47" t="s">
        <v>870</v>
      </c>
      <c r="AH47" t="s">
        <v>871</v>
      </c>
      <c r="AI47" t="s">
        <v>872</v>
      </c>
      <c r="AJ47" t="s">
        <v>873</v>
      </c>
      <c r="AK47" t="s">
        <v>874</v>
      </c>
      <c r="AL47" t="s">
        <v>875</v>
      </c>
      <c r="AM47" t="s">
        <v>876</v>
      </c>
      <c r="AN47" t="s">
        <v>877</v>
      </c>
      <c r="AO47" t="s">
        <v>877</v>
      </c>
      <c r="AP47" t="s">
        <v>877</v>
      </c>
      <c r="AQ47" t="s">
        <v>878</v>
      </c>
      <c r="AR47" t="s">
        <v>879</v>
      </c>
      <c r="AS47" t="s">
        <v>880</v>
      </c>
      <c r="AT47" t="s">
        <v>881</v>
      </c>
      <c r="AU47" t="s">
        <v>882</v>
      </c>
      <c r="AV47" t="s">
        <v>883</v>
      </c>
      <c r="AW47" t="s">
        <v>884</v>
      </c>
      <c r="AX47" t="s">
        <v>885</v>
      </c>
      <c r="AY47" t="s">
        <v>886</v>
      </c>
      <c r="AZ47" t="s">
        <v>887</v>
      </c>
      <c r="BA47" t="s">
        <v>888</v>
      </c>
      <c r="BB47" t="s">
        <v>889</v>
      </c>
      <c r="BC47" t="s">
        <v>890</v>
      </c>
      <c r="BD47" t="s">
        <v>891</v>
      </c>
      <c r="BE47" t="s">
        <v>892</v>
      </c>
      <c r="BF47" t="s">
        <v>893</v>
      </c>
      <c r="BG47" t="s">
        <v>894</v>
      </c>
      <c r="BH47" t="s">
        <v>895</v>
      </c>
      <c r="BI47" t="s">
        <v>896</v>
      </c>
      <c r="BJ47" t="s">
        <v>897</v>
      </c>
      <c r="BK47" t="s">
        <v>898</v>
      </c>
      <c r="BL47" t="s">
        <v>899</v>
      </c>
      <c r="BM47" t="s">
        <v>900</v>
      </c>
      <c r="BN47" t="s">
        <v>901</v>
      </c>
      <c r="BO47" t="s">
        <v>902</v>
      </c>
      <c r="BP47" t="s">
        <v>903</v>
      </c>
      <c r="BQ47" t="s">
        <v>904</v>
      </c>
      <c r="BR47" t="s">
        <v>905</v>
      </c>
      <c r="BS47" t="s">
        <v>906</v>
      </c>
      <c r="BT47" t="s">
        <v>907</v>
      </c>
      <c r="BU47" t="s">
        <v>908</v>
      </c>
      <c r="BV47" t="s">
        <v>909</v>
      </c>
    </row>
    <row r="48" spans="1:74" ht="16.2" outlineLevel="1" thickBot="1">
      <c r="A48" s="2" t="str">
        <f t="shared" si="2"/>
        <v/>
      </c>
      <c r="B48" t="str">
        <f t="shared" si="6"/>
        <v>P</v>
      </c>
      <c r="C48" t="str">
        <f t="shared" si="3"/>
        <v>08 Jun Jeu</v>
      </c>
      <c r="D48" s="330" t="s">
        <v>628</v>
      </c>
      <c r="E48" s="509" t="s">
        <v>1010</v>
      </c>
      <c r="F48" s="499"/>
      <c r="G48" s="499"/>
      <c r="I48" s="479" t="str">
        <f t="shared" si="4"/>
        <v/>
      </c>
      <c r="K48" s="2">
        <f t="shared" si="7"/>
        <v>43</v>
      </c>
      <c r="O48" s="2" t="str">
        <f t="shared" ca="1" si="9"/>
        <v>Reste 215 €</v>
      </c>
      <c r="P48" s="2">
        <f t="shared" ca="1" si="9"/>
        <v>0</v>
      </c>
    </row>
    <row r="49" spans="1:16" ht="16.2" outlineLevel="1" thickBot="1">
      <c r="A49" s="2">
        <f t="shared" si="2"/>
        <v>49</v>
      </c>
      <c r="B49" t="str">
        <f t="shared" si="6"/>
        <v>*</v>
      </c>
      <c r="C49" t="str">
        <f t="shared" si="3"/>
        <v>09 Jun Ven</v>
      </c>
      <c r="D49" s="330" t="s">
        <v>628</v>
      </c>
      <c r="E49" s="504" t="s">
        <v>1011</v>
      </c>
      <c r="F49" s="505" t="s">
        <v>664</v>
      </c>
      <c r="G49" s="506"/>
      <c r="I49" s="479" t="str">
        <f t="shared" si="4"/>
        <v/>
      </c>
      <c r="K49" s="2">
        <f t="shared" si="7"/>
        <v>44</v>
      </c>
      <c r="O49" s="2">
        <f t="shared" ca="1" si="9"/>
        <v>0</v>
      </c>
      <c r="P49" s="2">
        <f t="shared" ca="1" si="9"/>
        <v>0</v>
      </c>
    </row>
    <row r="50" spans="1:16" ht="16.2" outlineLevel="1" thickBot="1">
      <c r="A50" s="2" t="str">
        <f t="shared" si="2"/>
        <v/>
      </c>
      <c r="B50" t="str">
        <f t="shared" si="6"/>
        <v>1</v>
      </c>
      <c r="C50" t="str">
        <f t="shared" si="3"/>
        <v>09 Jun Ven</v>
      </c>
      <c r="D50" s="330" t="s">
        <v>628</v>
      </c>
      <c r="E50" s="505" t="s">
        <v>641</v>
      </c>
      <c r="F50" s="510" t="s">
        <v>1012</v>
      </c>
      <c r="G50" s="506"/>
      <c r="I50" s="479" t="str">
        <f t="shared" si="4"/>
        <v/>
      </c>
      <c r="K50" s="2">
        <f t="shared" si="7"/>
        <v>45</v>
      </c>
      <c r="O50" s="2">
        <f t="shared" ca="1" si="9"/>
        <v>0</v>
      </c>
      <c r="P50" s="2">
        <f t="shared" ca="1" si="9"/>
        <v>0</v>
      </c>
    </row>
    <row r="51" spans="1:16" ht="16.2" outlineLevel="1" thickBot="1">
      <c r="A51" s="2" t="str">
        <f t="shared" si="2"/>
        <v/>
      </c>
      <c r="B51" t="str">
        <f t="shared" si="6"/>
        <v>2</v>
      </c>
      <c r="C51" t="str">
        <f t="shared" si="3"/>
        <v>09 Jun Ven</v>
      </c>
      <c r="D51" s="330" t="s">
        <v>628</v>
      </c>
      <c r="E51" s="505" t="s">
        <v>642</v>
      </c>
      <c r="F51" s="505">
        <v>130</v>
      </c>
      <c r="G51" s="505" t="s">
        <v>660</v>
      </c>
      <c r="I51" s="479" t="str">
        <f t="shared" si="4"/>
        <v/>
      </c>
      <c r="K51" s="2">
        <f t="shared" si="7"/>
        <v>46</v>
      </c>
      <c r="O51" s="2">
        <f t="shared" ca="1" si="9"/>
        <v>0</v>
      </c>
      <c r="P51" s="2">
        <f t="shared" ca="1" si="9"/>
        <v>0</v>
      </c>
    </row>
    <row r="52" spans="1:16" ht="16.2" outlineLevel="1" thickBot="1">
      <c r="A52" s="2" t="str">
        <f t="shared" si="2"/>
        <v/>
      </c>
      <c r="B52" t="str">
        <f t="shared" si="6"/>
        <v>3</v>
      </c>
      <c r="C52" t="str">
        <f t="shared" si="3"/>
        <v>09 Jun Ven</v>
      </c>
      <c r="D52" s="330" t="s">
        <v>628</v>
      </c>
      <c r="E52" s="505" t="s">
        <v>643</v>
      </c>
      <c r="F52" s="505">
        <v>150</v>
      </c>
      <c r="G52" s="505" t="s">
        <v>1013</v>
      </c>
      <c r="I52" s="479" t="str">
        <f t="shared" si="4"/>
        <v/>
      </c>
      <c r="K52" s="2">
        <f t="shared" si="7"/>
        <v>47</v>
      </c>
      <c r="O52" s="2">
        <f t="shared" ca="1" si="9"/>
        <v>0</v>
      </c>
      <c r="P52" s="2">
        <f t="shared" ca="1" si="9"/>
        <v>0</v>
      </c>
    </row>
    <row r="53" spans="1:16" ht="16.2" outlineLevel="1" thickBot="1">
      <c r="A53" s="2" t="str">
        <f t="shared" si="2"/>
        <v/>
      </c>
      <c r="B53" t="str">
        <f t="shared" si="6"/>
        <v>4</v>
      </c>
      <c r="C53" t="str">
        <f t="shared" si="3"/>
        <v>09 Jun Ven</v>
      </c>
      <c r="D53" s="330" t="s">
        <v>628</v>
      </c>
      <c r="E53" s="505" t="s">
        <v>645</v>
      </c>
      <c r="F53" s="505" t="s">
        <v>730</v>
      </c>
      <c r="G53" s="506"/>
      <c r="I53" s="479" t="str">
        <f t="shared" si="4"/>
        <v/>
      </c>
      <c r="K53" s="2">
        <f t="shared" si="7"/>
        <v>48</v>
      </c>
      <c r="O53" s="2">
        <f t="shared" ca="1" si="9"/>
        <v>0</v>
      </c>
      <c r="P53" s="2">
        <f t="shared" ca="1" si="9"/>
        <v>0</v>
      </c>
    </row>
    <row r="54" spans="1:16" ht="16.2" outlineLevel="1" thickBot="1">
      <c r="A54" s="2" t="str">
        <f t="shared" si="2"/>
        <v/>
      </c>
      <c r="B54" t="str">
        <f t="shared" si="6"/>
        <v>5</v>
      </c>
      <c r="C54" t="str">
        <f t="shared" si="3"/>
        <v>09 Jun Ven</v>
      </c>
      <c r="D54" s="330" t="s">
        <v>628</v>
      </c>
      <c r="E54" s="505" t="s">
        <v>646</v>
      </c>
      <c r="F54" s="505">
        <v>90</v>
      </c>
      <c r="G54" s="506"/>
      <c r="I54" s="479" t="str">
        <f t="shared" si="4"/>
        <v/>
      </c>
      <c r="K54" s="2">
        <f t="shared" si="7"/>
        <v>49</v>
      </c>
      <c r="O54" s="2">
        <f t="shared" ca="1" si="9"/>
        <v>0</v>
      </c>
      <c r="P54" s="2">
        <f t="shared" ca="1" si="9"/>
        <v>0</v>
      </c>
    </row>
    <row r="55" spans="1:16" ht="16.2" outlineLevel="1" thickBot="1">
      <c r="A55" s="2" t="str">
        <f t="shared" si="2"/>
        <v/>
      </c>
      <c r="B55" t="str">
        <f t="shared" si="6"/>
        <v>6</v>
      </c>
      <c r="C55" t="str">
        <f t="shared" si="3"/>
        <v>09 Jun Ven</v>
      </c>
      <c r="D55" s="330" t="s">
        <v>628</v>
      </c>
      <c r="E55" s="505" t="s">
        <v>647</v>
      </c>
      <c r="F55" s="505">
        <v>70</v>
      </c>
      <c r="G55" s="505" t="s">
        <v>1014</v>
      </c>
      <c r="I55" s="479" t="str">
        <f t="shared" si="4"/>
        <v/>
      </c>
      <c r="K55" s="2">
        <f t="shared" si="7"/>
        <v>50</v>
      </c>
      <c r="O55" s="2">
        <f t="shared" ca="1" si="9"/>
        <v>0</v>
      </c>
      <c r="P55" s="2">
        <f t="shared" ca="1" si="9"/>
        <v>0</v>
      </c>
    </row>
    <row r="56" spans="1:16" ht="16.2" outlineLevel="1" thickBot="1">
      <c r="A56" s="2" t="str">
        <f t="shared" si="2"/>
        <v/>
      </c>
      <c r="B56" t="str">
        <f t="shared" si="6"/>
        <v>7</v>
      </c>
      <c r="C56" t="str">
        <f t="shared" si="3"/>
        <v>09 Jun Ven</v>
      </c>
      <c r="D56" s="330" t="s">
        <v>628</v>
      </c>
      <c r="E56" s="505" t="s">
        <v>648</v>
      </c>
      <c r="F56" s="505">
        <v>5</v>
      </c>
      <c r="G56" s="506"/>
      <c r="I56" s="479" t="str">
        <f t="shared" si="4"/>
        <v/>
      </c>
      <c r="K56" s="2">
        <f t="shared" si="7"/>
        <v>51</v>
      </c>
      <c r="O56" s="2">
        <f t="shared" ca="1" si="9"/>
        <v>0</v>
      </c>
      <c r="P56" s="2">
        <f t="shared" ca="1" si="9"/>
        <v>0</v>
      </c>
    </row>
    <row r="57" spans="1:16" ht="16.2" outlineLevel="1" thickBot="1">
      <c r="A57" s="2" t="str">
        <f t="shared" si="2"/>
        <v/>
      </c>
      <c r="B57" t="str">
        <f t="shared" si="6"/>
        <v/>
      </c>
      <c r="C57" t="str">
        <f t="shared" si="3"/>
        <v>09 Jun Ven</v>
      </c>
      <c r="D57" s="330" t="s">
        <v>628</v>
      </c>
      <c r="E57" s="507"/>
      <c r="F57" s="499"/>
      <c r="G57" s="499"/>
      <c r="I57" s="479" t="str">
        <f t="shared" si="4"/>
        <v/>
      </c>
      <c r="K57" s="2">
        <f t="shared" si="7"/>
        <v>52</v>
      </c>
      <c r="O57" s="2">
        <f t="shared" ca="1" si="9"/>
        <v>0</v>
      </c>
      <c r="P57" s="2">
        <f t="shared" ca="1" si="9"/>
        <v>0</v>
      </c>
    </row>
    <row r="58" spans="1:16" ht="16.2" outlineLevel="1" thickBot="1">
      <c r="A58" s="2">
        <f t="shared" si="2"/>
        <v>58</v>
      </c>
      <c r="B58" t="str">
        <f t="shared" si="6"/>
        <v>*</v>
      </c>
      <c r="C58" t="str">
        <f t="shared" si="3"/>
        <v>10 Jun Sam</v>
      </c>
      <c r="D58" s="330" t="s">
        <v>628</v>
      </c>
      <c r="E58" s="504" t="s">
        <v>1015</v>
      </c>
      <c r="F58" s="505" t="s">
        <v>664</v>
      </c>
      <c r="G58" s="506"/>
      <c r="I58" s="479" t="str">
        <f t="shared" si="4"/>
        <v/>
      </c>
      <c r="K58" s="2">
        <f t="shared" si="7"/>
        <v>53</v>
      </c>
      <c r="O58" s="2">
        <f t="shared" ca="1" si="9"/>
        <v>0</v>
      </c>
      <c r="P58" s="2">
        <f t="shared" ca="1" si="9"/>
        <v>0</v>
      </c>
    </row>
    <row r="59" spans="1:16" ht="16.2" outlineLevel="1" thickBot="1">
      <c r="A59" s="2" t="str">
        <f t="shared" si="2"/>
        <v/>
      </c>
      <c r="B59" t="str">
        <f t="shared" si="6"/>
        <v>1</v>
      </c>
      <c r="C59" t="str">
        <f t="shared" si="3"/>
        <v>10 Jun Sam</v>
      </c>
      <c r="D59" s="330" t="s">
        <v>628</v>
      </c>
      <c r="E59" s="505" t="s">
        <v>641</v>
      </c>
      <c r="F59" s="510" t="s">
        <v>1016</v>
      </c>
      <c r="G59" s="506"/>
      <c r="I59" s="479" t="str">
        <f t="shared" si="4"/>
        <v/>
      </c>
      <c r="K59" s="2">
        <f t="shared" si="7"/>
        <v>54</v>
      </c>
      <c r="O59" s="2">
        <f t="shared" ca="1" si="9"/>
        <v>0</v>
      </c>
      <c r="P59" s="2">
        <f t="shared" ca="1" si="9"/>
        <v>0</v>
      </c>
    </row>
    <row r="60" spans="1:16" ht="16.2" outlineLevel="1" thickBot="1">
      <c r="A60" s="2" t="str">
        <f t="shared" si="2"/>
        <v/>
      </c>
      <c r="B60" t="str">
        <f t="shared" si="6"/>
        <v>2</v>
      </c>
      <c r="C60" t="str">
        <f t="shared" si="3"/>
        <v>10 Jun Sam</v>
      </c>
      <c r="D60" s="330" t="s">
        <v>628</v>
      </c>
      <c r="E60" s="505" t="s">
        <v>642</v>
      </c>
      <c r="F60" s="506"/>
      <c r="G60" s="506"/>
      <c r="I60" s="479" t="str">
        <f t="shared" si="4"/>
        <v/>
      </c>
      <c r="K60" s="2">
        <f t="shared" si="7"/>
        <v>55</v>
      </c>
      <c r="O60" s="2">
        <f t="shared" ca="1" si="9"/>
        <v>0</v>
      </c>
      <c r="P60" s="2">
        <f t="shared" ca="1" si="9"/>
        <v>0</v>
      </c>
    </row>
    <row r="61" spans="1:16" ht="16.2" outlineLevel="1" thickBot="1">
      <c r="A61" s="2" t="str">
        <f t="shared" si="2"/>
        <v/>
      </c>
      <c r="B61" t="str">
        <f t="shared" si="6"/>
        <v>3</v>
      </c>
      <c r="C61" t="str">
        <f t="shared" si="3"/>
        <v>10 Jun Sam</v>
      </c>
      <c r="D61" s="330" t="s">
        <v>628</v>
      </c>
      <c r="E61" s="505" t="s">
        <v>643</v>
      </c>
      <c r="F61" s="505">
        <v>100</v>
      </c>
      <c r="G61" s="505" t="s">
        <v>975</v>
      </c>
      <c r="I61" s="479" t="str">
        <f t="shared" si="4"/>
        <v/>
      </c>
      <c r="K61" s="2">
        <f t="shared" si="7"/>
        <v>56</v>
      </c>
      <c r="O61" s="2">
        <f t="shared" ca="1" si="9"/>
        <v>0</v>
      </c>
      <c r="P61" s="2">
        <f t="shared" ca="1" si="9"/>
        <v>0</v>
      </c>
    </row>
    <row r="62" spans="1:16" ht="16.2" outlineLevel="1" thickBot="1">
      <c r="A62" s="2" t="str">
        <f t="shared" si="2"/>
        <v/>
      </c>
      <c r="B62" t="str">
        <f t="shared" si="6"/>
        <v>4</v>
      </c>
      <c r="C62" t="str">
        <f t="shared" si="3"/>
        <v>10 Jun Sam</v>
      </c>
      <c r="D62" s="330" t="s">
        <v>628</v>
      </c>
      <c r="E62" s="505" t="s">
        <v>645</v>
      </c>
      <c r="F62" s="505" t="s">
        <v>730</v>
      </c>
      <c r="G62" s="506"/>
      <c r="I62" s="479" t="str">
        <f t="shared" si="4"/>
        <v/>
      </c>
      <c r="K62" s="2">
        <f t="shared" si="7"/>
        <v>57</v>
      </c>
      <c r="O62" s="2">
        <f t="shared" ca="1" si="9"/>
        <v>0</v>
      </c>
      <c r="P62" s="2">
        <f t="shared" ca="1" si="9"/>
        <v>0</v>
      </c>
    </row>
    <row r="63" spans="1:16" ht="16.2" outlineLevel="1" thickBot="1">
      <c r="A63" s="2" t="str">
        <f t="shared" si="2"/>
        <v/>
      </c>
      <c r="B63" t="str">
        <f t="shared" si="6"/>
        <v>5</v>
      </c>
      <c r="C63" t="str">
        <f t="shared" si="3"/>
        <v>10 Jun Sam</v>
      </c>
      <c r="D63" s="330" t="s">
        <v>628</v>
      </c>
      <c r="E63" s="505" t="s">
        <v>646</v>
      </c>
      <c r="F63" s="505">
        <v>40</v>
      </c>
      <c r="G63" s="506"/>
      <c r="I63" s="479" t="str">
        <f t="shared" si="4"/>
        <v/>
      </c>
      <c r="K63" s="2">
        <f t="shared" si="7"/>
        <v>58</v>
      </c>
      <c r="O63" s="2">
        <f t="shared" ca="1" si="9"/>
        <v>0</v>
      </c>
      <c r="P63" s="2">
        <f t="shared" ca="1" si="9"/>
        <v>0</v>
      </c>
    </row>
    <row r="64" spans="1:16" ht="16.2" outlineLevel="1" thickBot="1">
      <c r="A64" s="2" t="str">
        <f t="shared" si="2"/>
        <v/>
      </c>
      <c r="B64" t="str">
        <f t="shared" si="6"/>
        <v>6</v>
      </c>
      <c r="C64" t="str">
        <f t="shared" si="3"/>
        <v>10 Jun Sam</v>
      </c>
      <c r="D64" s="330" t="s">
        <v>628</v>
      </c>
      <c r="E64" s="505" t="s">
        <v>647</v>
      </c>
      <c r="F64" s="506"/>
      <c r="G64" s="506"/>
      <c r="I64" s="479" t="str">
        <f t="shared" si="4"/>
        <v/>
      </c>
      <c r="K64" s="2">
        <f t="shared" si="7"/>
        <v>59</v>
      </c>
      <c r="O64" s="2">
        <f t="shared" ca="1" si="9"/>
        <v>0</v>
      </c>
      <c r="P64" s="2">
        <f t="shared" ca="1" si="9"/>
        <v>0</v>
      </c>
    </row>
    <row r="65" spans="1:16" ht="16.2" outlineLevel="1" thickBot="1">
      <c r="A65" s="2" t="str">
        <f t="shared" si="2"/>
        <v/>
      </c>
      <c r="B65" t="str">
        <f t="shared" si="6"/>
        <v>7</v>
      </c>
      <c r="C65" t="str">
        <f t="shared" si="3"/>
        <v>10 Jun Sam</v>
      </c>
      <c r="D65" s="330" t="s">
        <v>628</v>
      </c>
      <c r="E65" s="505" t="s">
        <v>648</v>
      </c>
      <c r="F65" s="505">
        <v>5</v>
      </c>
      <c r="G65" s="506"/>
      <c r="I65" s="479" t="str">
        <f t="shared" si="4"/>
        <v/>
      </c>
      <c r="K65" s="2">
        <f t="shared" si="7"/>
        <v>60</v>
      </c>
      <c r="O65" s="2">
        <f t="shared" ca="1" si="9"/>
        <v>0</v>
      </c>
      <c r="P65" s="2">
        <f t="shared" ca="1" si="9"/>
        <v>0</v>
      </c>
    </row>
    <row r="66" spans="1:16" ht="30.6" outlineLevel="1" thickBot="1">
      <c r="A66" s="2" t="str">
        <f t="shared" si="2"/>
        <v/>
      </c>
      <c r="B66" t="str">
        <f t="shared" si="6"/>
        <v>P</v>
      </c>
      <c r="C66" t="str">
        <f t="shared" si="3"/>
        <v>10 Jun Sam</v>
      </c>
      <c r="D66" s="330" t="s">
        <v>628</v>
      </c>
      <c r="E66" s="509" t="s">
        <v>1017</v>
      </c>
      <c r="F66" s="499"/>
      <c r="G66" s="499"/>
      <c r="I66" s="479" t="str">
        <f t="shared" si="4"/>
        <v/>
      </c>
      <c r="K66" s="2">
        <f t="shared" si="7"/>
        <v>61</v>
      </c>
      <c r="O66" s="2">
        <f t="shared" ca="1" si="9"/>
        <v>0</v>
      </c>
      <c r="P66" s="2">
        <f t="shared" ca="1" si="9"/>
        <v>0</v>
      </c>
    </row>
    <row r="67" spans="1:16" ht="16.2" outlineLevel="1" thickBot="1">
      <c r="A67" s="2">
        <f t="shared" si="2"/>
        <v>67</v>
      </c>
      <c r="B67" t="str">
        <f t="shared" si="6"/>
        <v>*</v>
      </c>
      <c r="C67" t="str">
        <f t="shared" si="3"/>
        <v>11 Jun Dim</v>
      </c>
      <c r="D67" s="330" t="s">
        <v>628</v>
      </c>
      <c r="E67" s="504" t="s">
        <v>1018</v>
      </c>
      <c r="F67" s="505" t="s">
        <v>664</v>
      </c>
      <c r="G67" s="506"/>
      <c r="I67" s="479" t="str">
        <f t="shared" si="4"/>
        <v/>
      </c>
      <c r="K67" s="2">
        <f t="shared" si="7"/>
        <v>62</v>
      </c>
      <c r="O67" s="2">
        <f t="shared" ca="1" si="9"/>
        <v>0</v>
      </c>
      <c r="P67" s="2">
        <f t="shared" ca="1" si="9"/>
        <v>0</v>
      </c>
    </row>
    <row r="68" spans="1:16" ht="16.2" outlineLevel="1" thickBot="1">
      <c r="A68" s="2" t="str">
        <f t="shared" si="2"/>
        <v/>
      </c>
      <c r="B68" t="str">
        <f t="shared" si="6"/>
        <v>1</v>
      </c>
      <c r="C68" t="str">
        <f t="shared" si="3"/>
        <v>11 Jun Dim</v>
      </c>
      <c r="D68" s="330" t="s">
        <v>628</v>
      </c>
      <c r="E68" s="505" t="s">
        <v>641</v>
      </c>
      <c r="F68" s="505" t="s">
        <v>1019</v>
      </c>
      <c r="G68" s="506"/>
      <c r="I68" s="479" t="str">
        <f t="shared" si="4"/>
        <v/>
      </c>
      <c r="K68" s="2">
        <f t="shared" si="7"/>
        <v>63</v>
      </c>
      <c r="O68" s="2">
        <f t="shared" ca="1" si="9"/>
        <v>0</v>
      </c>
      <c r="P68" s="2">
        <f t="shared" ca="1" si="9"/>
        <v>0</v>
      </c>
    </row>
    <row r="69" spans="1:16" ht="16.2" outlineLevel="1" thickBot="1">
      <c r="A69" s="2" t="str">
        <f t="shared" si="2"/>
        <v/>
      </c>
      <c r="B69" t="str">
        <f t="shared" si="6"/>
        <v>2</v>
      </c>
      <c r="C69" t="str">
        <f t="shared" si="3"/>
        <v>11 Jun Dim</v>
      </c>
      <c r="D69" s="330" t="s">
        <v>628</v>
      </c>
      <c r="E69" s="505" t="s">
        <v>642</v>
      </c>
      <c r="F69" s="505">
        <v>350</v>
      </c>
      <c r="G69" s="506"/>
      <c r="I69" s="479" t="str">
        <f t="shared" si="4"/>
        <v/>
      </c>
      <c r="K69" s="2">
        <f t="shared" si="7"/>
        <v>64</v>
      </c>
      <c r="O69" s="2">
        <f t="shared" ca="1" si="9"/>
        <v>0</v>
      </c>
      <c r="P69" s="2">
        <f t="shared" ca="1" si="9"/>
        <v>0</v>
      </c>
    </row>
    <row r="70" spans="1:16" ht="16.2" outlineLevel="1" thickBot="1">
      <c r="A70" s="2" t="str">
        <f t="shared" ref="A70:A75" si="10">IF(B70="*",ROW(),"")</f>
        <v/>
      </c>
      <c r="B70" t="str">
        <f t="shared" si="6"/>
        <v>3</v>
      </c>
      <c r="C70" t="str">
        <f t="shared" ref="C70:C75" si="11">IF(B70="*",RIGHT(E70,10),C69)</f>
        <v>11 Jun Dim</v>
      </c>
      <c r="D70" s="330" t="s">
        <v>628</v>
      </c>
      <c r="E70" s="505" t="s">
        <v>643</v>
      </c>
      <c r="F70" s="505">
        <v>100</v>
      </c>
      <c r="G70" s="505" t="s">
        <v>733</v>
      </c>
      <c r="I70" s="479" t="str">
        <f t="shared" si="4"/>
        <v/>
      </c>
      <c r="K70" s="2">
        <f t="shared" si="7"/>
        <v>65</v>
      </c>
      <c r="O70" s="2">
        <f t="shared" ca="1" si="9"/>
        <v>0</v>
      </c>
      <c r="P70" s="2">
        <f t="shared" ca="1" si="9"/>
        <v>0</v>
      </c>
    </row>
    <row r="71" spans="1:16" ht="16.2" outlineLevel="1" thickBot="1">
      <c r="A71" s="2" t="str">
        <f t="shared" si="10"/>
        <v/>
      </c>
      <c r="B71" t="str">
        <f t="shared" si="6"/>
        <v>4</v>
      </c>
      <c r="C71" t="str">
        <f t="shared" si="11"/>
        <v>11 Jun Dim</v>
      </c>
      <c r="D71" s="330" t="s">
        <v>628</v>
      </c>
      <c r="E71" s="505" t="s">
        <v>645</v>
      </c>
      <c r="F71" s="505">
        <v>55</v>
      </c>
      <c r="G71" s="506"/>
      <c r="I71" s="479" t="str">
        <f t="shared" ref="I71:I135" si="12">IFERROR(IF(VALUE(B71)=5,FIND($I$4,F71,1),""),"")</f>
        <v/>
      </c>
      <c r="K71" s="2">
        <f t="shared" si="7"/>
        <v>66</v>
      </c>
      <c r="O71" s="2">
        <f t="shared" ca="1" si="9"/>
        <v>0</v>
      </c>
      <c r="P71" s="2">
        <f t="shared" ca="1" si="9"/>
        <v>0</v>
      </c>
    </row>
    <row r="72" spans="1:16" ht="16.2" outlineLevel="1" thickBot="1">
      <c r="A72" s="2" t="str">
        <f t="shared" si="10"/>
        <v/>
      </c>
      <c r="B72" t="str">
        <f t="shared" ref="B72:B75" si="13">LEFT(E72,1)</f>
        <v>5</v>
      </c>
      <c r="C72" t="str">
        <f t="shared" si="11"/>
        <v>11 Jun Dim</v>
      </c>
      <c r="D72" s="330" t="s">
        <v>628</v>
      </c>
      <c r="E72" s="505" t="s">
        <v>646</v>
      </c>
      <c r="F72" s="506"/>
      <c r="G72" s="506"/>
      <c r="I72" s="479" t="str">
        <f t="shared" si="12"/>
        <v/>
      </c>
      <c r="K72" s="2">
        <f t="shared" ref="K72:K75" si="14">K71+1</f>
        <v>67</v>
      </c>
      <c r="O72" s="2">
        <f t="shared" ca="1" si="9"/>
        <v>0</v>
      </c>
      <c r="P72" s="2">
        <f t="shared" ca="1" si="9"/>
        <v>0</v>
      </c>
    </row>
    <row r="73" spans="1:16" ht="16.2" outlineLevel="1" thickBot="1">
      <c r="A73" s="2" t="str">
        <f t="shared" si="10"/>
        <v/>
      </c>
      <c r="B73" t="str">
        <f t="shared" si="13"/>
        <v>6</v>
      </c>
      <c r="C73" t="str">
        <f t="shared" si="11"/>
        <v>11 Jun Dim</v>
      </c>
      <c r="D73" s="330" t="s">
        <v>628</v>
      </c>
      <c r="E73" s="505" t="s">
        <v>647</v>
      </c>
      <c r="F73" s="506"/>
      <c r="G73" s="506"/>
      <c r="I73" s="479" t="str">
        <f t="shared" si="12"/>
        <v/>
      </c>
      <c r="K73" s="2">
        <f t="shared" si="14"/>
        <v>68</v>
      </c>
      <c r="O73" s="2">
        <f t="shared" ca="1" si="9"/>
        <v>0</v>
      </c>
      <c r="P73" s="2">
        <f t="shared" ca="1" si="9"/>
        <v>0</v>
      </c>
    </row>
    <row r="74" spans="1:16" ht="16.2" outlineLevel="1" thickBot="1">
      <c r="A74" s="2" t="str">
        <f t="shared" si="10"/>
        <v/>
      </c>
      <c r="B74" t="str">
        <f t="shared" si="13"/>
        <v>7</v>
      </c>
      <c r="C74" t="str">
        <f t="shared" si="11"/>
        <v>11 Jun Dim</v>
      </c>
      <c r="D74" s="330" t="s">
        <v>628</v>
      </c>
      <c r="E74" s="505" t="s">
        <v>648</v>
      </c>
      <c r="F74" s="506"/>
      <c r="G74" s="506"/>
      <c r="I74" s="479" t="str">
        <f t="shared" si="12"/>
        <v/>
      </c>
      <c r="K74" s="2">
        <f t="shared" si="14"/>
        <v>69</v>
      </c>
      <c r="O74" s="2">
        <f t="shared" ca="1" si="9"/>
        <v>0</v>
      </c>
      <c r="P74" s="2">
        <f t="shared" ca="1" si="9"/>
        <v>0</v>
      </c>
    </row>
    <row r="75" spans="1:16" ht="16.2" outlineLevel="1" thickBot="1">
      <c r="A75" s="2" t="str">
        <f t="shared" si="10"/>
        <v/>
      </c>
      <c r="B75" t="str">
        <f t="shared" si="13"/>
        <v>3</v>
      </c>
      <c r="C75" t="str">
        <f t="shared" si="11"/>
        <v>11 Jun Dim</v>
      </c>
      <c r="D75" s="330" t="s">
        <v>628</v>
      </c>
      <c r="E75" s="509" t="s">
        <v>1022</v>
      </c>
      <c r="F75" s="499"/>
      <c r="G75" s="499"/>
      <c r="I75" s="479" t="str">
        <f t="shared" si="12"/>
        <v/>
      </c>
      <c r="K75" s="2">
        <f t="shared" si="14"/>
        <v>70</v>
      </c>
      <c r="O75" s="2">
        <f t="shared" ca="1" si="9"/>
        <v>0</v>
      </c>
      <c r="P75" s="2">
        <f t="shared" ca="1" si="9"/>
        <v>0</v>
      </c>
    </row>
    <row r="76" spans="1:16" ht="16.2" thickBot="1">
      <c r="A76" s="2">
        <f t="shared" ref="A76:A139" si="15">IF(B76="*",ROW(),"")</f>
        <v>76</v>
      </c>
      <c r="B76" t="str">
        <f t="shared" ref="B76:B139" si="16">LEFT(E76,1)</f>
        <v>*</v>
      </c>
      <c r="C76" t="str">
        <f t="shared" ref="C76:C139" si="17">IF(B76="*",RIGHT(E76,10),C75)</f>
        <v>12 Jun Lun</v>
      </c>
      <c r="D76" s="330" t="s">
        <v>628</v>
      </c>
      <c r="E76" s="497" t="s">
        <v>1023</v>
      </c>
      <c r="F76" s="495" t="s">
        <v>664</v>
      </c>
      <c r="G76" s="498"/>
      <c r="I76" s="479" t="str">
        <f t="shared" si="12"/>
        <v/>
      </c>
    </row>
    <row r="77" spans="1:16" ht="16.2" thickBot="1">
      <c r="A77" s="2" t="str">
        <f t="shared" si="15"/>
        <v/>
      </c>
      <c r="B77" t="str">
        <f t="shared" si="16"/>
        <v>1</v>
      </c>
      <c r="C77" t="str">
        <f t="shared" si="17"/>
        <v>12 Jun Lun</v>
      </c>
      <c r="D77" s="330" t="s">
        <v>628</v>
      </c>
      <c r="E77" s="495" t="s">
        <v>641</v>
      </c>
      <c r="F77" s="498"/>
      <c r="G77" s="498"/>
      <c r="I77" s="479" t="str">
        <f t="shared" si="12"/>
        <v/>
      </c>
    </row>
    <row r="78" spans="1:16" ht="16.2" thickBot="1">
      <c r="A78" s="2" t="str">
        <f t="shared" si="15"/>
        <v/>
      </c>
      <c r="B78" t="str">
        <f t="shared" si="16"/>
        <v>2</v>
      </c>
      <c r="C78" t="str">
        <f t="shared" si="17"/>
        <v>12 Jun Lun</v>
      </c>
      <c r="D78" s="330" t="s">
        <v>628</v>
      </c>
      <c r="E78" s="495" t="s">
        <v>642</v>
      </c>
      <c r="F78" s="495">
        <v>170</v>
      </c>
      <c r="G78" s="495" t="s">
        <v>1024</v>
      </c>
      <c r="I78" s="479" t="str">
        <f t="shared" si="12"/>
        <v/>
      </c>
    </row>
    <row r="79" spans="1:16" ht="16.2" thickBot="1">
      <c r="A79" s="2" t="str">
        <f t="shared" si="15"/>
        <v/>
      </c>
      <c r="B79" t="str">
        <f t="shared" si="16"/>
        <v>3</v>
      </c>
      <c r="C79" t="str">
        <f t="shared" si="17"/>
        <v>12 Jun Lun</v>
      </c>
      <c r="D79" s="330" t="s">
        <v>628</v>
      </c>
      <c r="E79" s="495" t="s">
        <v>643</v>
      </c>
      <c r="F79" s="495">
        <v>140</v>
      </c>
      <c r="G79" s="498"/>
      <c r="I79" s="479" t="str">
        <f t="shared" si="12"/>
        <v/>
      </c>
    </row>
    <row r="80" spans="1:16" ht="16.2" thickBot="1">
      <c r="A80" s="2" t="str">
        <f t="shared" si="15"/>
        <v/>
      </c>
      <c r="B80" t="str">
        <f t="shared" si="16"/>
        <v>4</v>
      </c>
      <c r="C80" t="str">
        <f t="shared" si="17"/>
        <v>12 Jun Lun</v>
      </c>
      <c r="D80" s="330" t="s">
        <v>628</v>
      </c>
      <c r="E80" s="495" t="s">
        <v>645</v>
      </c>
      <c r="F80" s="495">
        <v>25</v>
      </c>
      <c r="G80" s="498"/>
      <c r="I80" s="479" t="str">
        <f t="shared" si="12"/>
        <v/>
      </c>
    </row>
    <row r="81" spans="1:9" ht="16.2" thickBot="1">
      <c r="A81" s="2" t="str">
        <f t="shared" si="15"/>
        <v/>
      </c>
      <c r="B81" t="str">
        <f t="shared" si="16"/>
        <v>5</v>
      </c>
      <c r="C81" t="str">
        <f t="shared" si="17"/>
        <v>12 Jun Lun</v>
      </c>
      <c r="D81" s="330" t="s">
        <v>628</v>
      </c>
      <c r="E81" s="495" t="s">
        <v>646</v>
      </c>
      <c r="F81" s="495" t="s">
        <v>1035</v>
      </c>
      <c r="G81" s="495" t="s">
        <v>1025</v>
      </c>
      <c r="I81" s="479">
        <v>1</v>
      </c>
    </row>
    <row r="82" spans="1:9" ht="16.2" thickBot="1">
      <c r="A82" s="2" t="str">
        <f t="shared" si="15"/>
        <v/>
      </c>
      <c r="B82" t="str">
        <f t="shared" si="16"/>
        <v>6</v>
      </c>
      <c r="C82" t="str">
        <f t="shared" si="17"/>
        <v>12 Jun Lun</v>
      </c>
      <c r="D82" s="330" t="s">
        <v>628</v>
      </c>
      <c r="E82" s="495" t="s">
        <v>647</v>
      </c>
      <c r="F82" s="498"/>
      <c r="G82" s="498"/>
      <c r="I82" s="479" t="str">
        <f t="shared" si="12"/>
        <v/>
      </c>
    </row>
    <row r="83" spans="1:9" ht="16.2" thickBot="1">
      <c r="A83" s="2" t="str">
        <f t="shared" si="15"/>
        <v/>
      </c>
      <c r="B83" t="str">
        <f t="shared" si="16"/>
        <v>7</v>
      </c>
      <c r="C83" t="str">
        <f t="shared" si="17"/>
        <v>12 Jun Lun</v>
      </c>
      <c r="D83" s="330" t="s">
        <v>628</v>
      </c>
      <c r="E83" s="495" t="s">
        <v>648</v>
      </c>
      <c r="F83" s="495">
        <v>10</v>
      </c>
      <c r="G83" s="498"/>
      <c r="I83" s="479" t="str">
        <f t="shared" si="12"/>
        <v/>
      </c>
    </row>
    <row r="84" spans="1:9" ht="16.2" thickBot="1">
      <c r="A84" s="2" t="str">
        <f t="shared" si="15"/>
        <v/>
      </c>
      <c r="B84" t="str">
        <f t="shared" si="16"/>
        <v/>
      </c>
      <c r="C84" t="str">
        <f t="shared" si="17"/>
        <v>12 Jun Lun</v>
      </c>
      <c r="D84" s="330" t="s">
        <v>628</v>
      </c>
      <c r="E84" s="494"/>
      <c r="F84" s="499"/>
      <c r="G84" s="499"/>
      <c r="I84" s="479" t="str">
        <f t="shared" si="12"/>
        <v/>
      </c>
    </row>
    <row r="85" spans="1:9" ht="16.2" thickBot="1">
      <c r="A85" s="2">
        <f t="shared" si="15"/>
        <v>85</v>
      </c>
      <c r="B85" t="str">
        <f t="shared" si="16"/>
        <v>*</v>
      </c>
      <c r="C85" t="str">
        <f t="shared" si="17"/>
        <v>13 Jun Mar</v>
      </c>
      <c r="D85" s="330" t="s">
        <v>628</v>
      </c>
      <c r="E85" s="497" t="s">
        <v>1026</v>
      </c>
      <c r="F85" s="495" t="s">
        <v>664</v>
      </c>
      <c r="G85" s="498"/>
      <c r="I85" s="479" t="str">
        <f t="shared" si="12"/>
        <v/>
      </c>
    </row>
    <row r="86" spans="1:9" ht="16.2" thickBot="1">
      <c r="A86" s="2" t="str">
        <f t="shared" si="15"/>
        <v/>
      </c>
      <c r="B86" t="str">
        <f t="shared" si="16"/>
        <v>1</v>
      </c>
      <c r="C86" t="str">
        <f t="shared" si="17"/>
        <v>13 Jun Mar</v>
      </c>
      <c r="D86" s="330" t="s">
        <v>628</v>
      </c>
      <c r="E86" s="495" t="s">
        <v>641</v>
      </c>
      <c r="F86" s="495" t="s">
        <v>1027</v>
      </c>
      <c r="G86" s="498"/>
      <c r="I86" s="479" t="str">
        <f t="shared" si="12"/>
        <v/>
      </c>
    </row>
    <row r="87" spans="1:9" ht="16.2" thickBot="1">
      <c r="A87" s="2" t="str">
        <f t="shared" si="15"/>
        <v/>
      </c>
      <c r="B87" t="str">
        <f t="shared" si="16"/>
        <v>2</v>
      </c>
      <c r="C87" t="str">
        <f t="shared" si="17"/>
        <v>13 Jun Mar</v>
      </c>
      <c r="D87" s="330" t="s">
        <v>628</v>
      </c>
      <c r="E87" s="495" t="s">
        <v>642</v>
      </c>
      <c r="F87" s="498"/>
      <c r="G87" s="498"/>
      <c r="I87" s="479" t="str">
        <f t="shared" si="12"/>
        <v/>
      </c>
    </row>
    <row r="88" spans="1:9" ht="16.2" thickBot="1">
      <c r="A88" s="2" t="str">
        <f t="shared" si="15"/>
        <v/>
      </c>
      <c r="B88" t="str">
        <f t="shared" si="16"/>
        <v>3</v>
      </c>
      <c r="C88" t="str">
        <f t="shared" si="17"/>
        <v>13 Jun Mar</v>
      </c>
      <c r="D88" s="330" t="s">
        <v>628</v>
      </c>
      <c r="E88" s="495" t="s">
        <v>643</v>
      </c>
      <c r="F88" s="495">
        <v>120</v>
      </c>
      <c r="G88" s="495" t="s">
        <v>1028</v>
      </c>
      <c r="I88" s="479" t="str">
        <f t="shared" si="12"/>
        <v/>
      </c>
    </row>
    <row r="89" spans="1:9" ht="16.2" thickBot="1">
      <c r="A89" s="2" t="str">
        <f t="shared" si="15"/>
        <v/>
      </c>
      <c r="B89" t="str">
        <f t="shared" si="16"/>
        <v>4</v>
      </c>
      <c r="C89" t="str">
        <f t="shared" si="17"/>
        <v>13 Jun Mar</v>
      </c>
      <c r="D89" s="330" t="s">
        <v>628</v>
      </c>
      <c r="E89" s="495" t="s">
        <v>645</v>
      </c>
      <c r="F89" s="495">
        <v>55</v>
      </c>
      <c r="G89" s="498"/>
      <c r="I89" s="479" t="str">
        <f t="shared" si="12"/>
        <v/>
      </c>
    </row>
    <row r="90" spans="1:9" ht="16.2" thickBot="1">
      <c r="A90" s="2" t="str">
        <f t="shared" si="15"/>
        <v/>
      </c>
      <c r="B90" t="str">
        <f t="shared" si="16"/>
        <v>5</v>
      </c>
      <c r="C90" t="str">
        <f t="shared" si="17"/>
        <v>13 Jun Mar</v>
      </c>
      <c r="D90" s="330" t="s">
        <v>628</v>
      </c>
      <c r="E90" s="495" t="s">
        <v>646</v>
      </c>
      <c r="F90" s="498"/>
      <c r="G90" s="498"/>
      <c r="I90" s="479" t="str">
        <f t="shared" si="12"/>
        <v/>
      </c>
    </row>
    <row r="91" spans="1:9" ht="16.2" thickBot="1">
      <c r="A91" s="2" t="str">
        <f t="shared" si="15"/>
        <v/>
      </c>
      <c r="B91" t="str">
        <f t="shared" si="16"/>
        <v>6</v>
      </c>
      <c r="C91" t="str">
        <f t="shared" si="17"/>
        <v>13 Jun Mar</v>
      </c>
      <c r="D91" s="330" t="s">
        <v>628</v>
      </c>
      <c r="E91" s="495" t="s">
        <v>647</v>
      </c>
      <c r="F91" s="498"/>
      <c r="G91" s="498"/>
      <c r="I91" s="479" t="str">
        <f t="shared" si="12"/>
        <v/>
      </c>
    </row>
    <row r="92" spans="1:9" ht="16.2" thickBot="1">
      <c r="A92" s="2" t="str">
        <f t="shared" si="15"/>
        <v/>
      </c>
      <c r="B92" t="str">
        <f t="shared" si="16"/>
        <v>7</v>
      </c>
      <c r="C92" t="str">
        <f t="shared" si="17"/>
        <v>13 Jun Mar</v>
      </c>
      <c r="D92" s="330" t="s">
        <v>628</v>
      </c>
      <c r="E92" s="495" t="s">
        <v>648</v>
      </c>
      <c r="F92" s="498"/>
      <c r="G92" s="498"/>
      <c r="I92" s="479" t="str">
        <f t="shared" si="12"/>
        <v/>
      </c>
    </row>
    <row r="93" spans="1:9">
      <c r="A93" s="2" t="str">
        <f t="shared" si="15"/>
        <v/>
      </c>
      <c r="B93" t="str">
        <f t="shared" si="16"/>
        <v>C</v>
      </c>
      <c r="C93" t="str">
        <f t="shared" si="17"/>
        <v>13 Jun Mar</v>
      </c>
      <c r="D93" s="330" t="s">
        <v>628</v>
      </c>
      <c r="E93" s="493" t="s">
        <v>1029</v>
      </c>
      <c r="F93" s="499"/>
      <c r="G93" s="499"/>
      <c r="I93" s="479" t="str">
        <f t="shared" si="12"/>
        <v/>
      </c>
    </row>
    <row r="94" spans="1:9" ht="30.6" thickBot="1">
      <c r="A94" s="2" t="str">
        <f t="shared" si="15"/>
        <v/>
      </c>
      <c r="B94" t="str">
        <f t="shared" si="16"/>
        <v>P</v>
      </c>
      <c r="C94" t="str">
        <f t="shared" si="17"/>
        <v>13 Jun Mar</v>
      </c>
      <c r="D94" s="330" t="s">
        <v>628</v>
      </c>
      <c r="E94" s="493" t="s">
        <v>1036</v>
      </c>
      <c r="F94" s="499"/>
      <c r="G94" s="499"/>
      <c r="I94" s="479" t="str">
        <f t="shared" si="12"/>
        <v/>
      </c>
    </row>
    <row r="95" spans="1:9" ht="16.2" thickBot="1">
      <c r="A95" s="2">
        <f t="shared" si="15"/>
        <v>95</v>
      </c>
      <c r="B95" t="str">
        <f t="shared" si="16"/>
        <v>*</v>
      </c>
      <c r="C95" t="str">
        <f t="shared" si="17"/>
        <v>14 Jun Mer</v>
      </c>
      <c r="D95" s="330" t="s">
        <v>628</v>
      </c>
      <c r="E95" s="497" t="s">
        <v>1030</v>
      </c>
      <c r="F95" s="495" t="s">
        <v>664</v>
      </c>
      <c r="G95" s="498"/>
      <c r="I95" s="479" t="str">
        <f t="shared" si="12"/>
        <v/>
      </c>
    </row>
    <row r="96" spans="1:9" ht="16.2" thickBot="1">
      <c r="A96" s="2" t="str">
        <f t="shared" si="15"/>
        <v/>
      </c>
      <c r="B96" t="str">
        <f t="shared" si="16"/>
        <v>1</v>
      </c>
      <c r="C96" t="str">
        <f t="shared" si="17"/>
        <v>14 Jun Mer</v>
      </c>
      <c r="D96" s="330" t="s">
        <v>628</v>
      </c>
      <c r="E96" s="495" t="s">
        <v>641</v>
      </c>
      <c r="F96" s="498"/>
      <c r="G96" s="498"/>
      <c r="I96" s="479" t="str">
        <f t="shared" si="12"/>
        <v/>
      </c>
    </row>
    <row r="97" spans="1:9" ht="16.2" thickBot="1">
      <c r="A97" s="2" t="str">
        <f t="shared" si="15"/>
        <v/>
      </c>
      <c r="B97" t="str">
        <f t="shared" si="16"/>
        <v>2</v>
      </c>
      <c r="C97" t="str">
        <f t="shared" si="17"/>
        <v>14 Jun Mer</v>
      </c>
      <c r="D97" s="330" t="s">
        <v>628</v>
      </c>
      <c r="E97" s="495" t="s">
        <v>642</v>
      </c>
      <c r="F97" s="495">
        <v>160</v>
      </c>
      <c r="G97" s="498"/>
      <c r="I97" s="479" t="str">
        <f t="shared" si="12"/>
        <v/>
      </c>
    </row>
    <row r="98" spans="1:9" ht="16.2" thickBot="1">
      <c r="A98" s="2" t="str">
        <f t="shared" si="15"/>
        <v/>
      </c>
      <c r="B98" t="str">
        <f t="shared" si="16"/>
        <v>3</v>
      </c>
      <c r="C98" t="str">
        <f t="shared" si="17"/>
        <v>14 Jun Mer</v>
      </c>
      <c r="D98" s="330" t="s">
        <v>628</v>
      </c>
      <c r="E98" s="495" t="s">
        <v>643</v>
      </c>
      <c r="F98" s="498"/>
      <c r="G98" s="495" t="s">
        <v>1031</v>
      </c>
      <c r="I98" s="479" t="str">
        <f t="shared" si="12"/>
        <v/>
      </c>
    </row>
    <row r="99" spans="1:9" ht="16.2" thickBot="1">
      <c r="A99" s="2" t="str">
        <f t="shared" si="15"/>
        <v/>
      </c>
      <c r="B99" t="str">
        <f t="shared" si="16"/>
        <v>4</v>
      </c>
      <c r="C99" t="str">
        <f t="shared" si="17"/>
        <v>14 Jun Mer</v>
      </c>
      <c r="D99" s="330" t="s">
        <v>628</v>
      </c>
      <c r="E99" s="495" t="s">
        <v>645</v>
      </c>
      <c r="F99" s="495">
        <v>55</v>
      </c>
      <c r="G99" s="498"/>
      <c r="I99" s="479" t="str">
        <f t="shared" si="12"/>
        <v/>
      </c>
    </row>
    <row r="100" spans="1:9" ht="16.2" thickBot="1">
      <c r="A100" s="2" t="str">
        <f t="shared" si="15"/>
        <v/>
      </c>
      <c r="B100" t="str">
        <f t="shared" si="16"/>
        <v>5</v>
      </c>
      <c r="C100" t="str">
        <f t="shared" si="17"/>
        <v>14 Jun Mer</v>
      </c>
      <c r="D100" s="330" t="s">
        <v>628</v>
      </c>
      <c r="E100" s="495" t="s">
        <v>646</v>
      </c>
      <c r="F100" s="498"/>
      <c r="G100" s="498"/>
      <c r="I100" s="479" t="str">
        <f t="shared" si="12"/>
        <v/>
      </c>
    </row>
    <row r="101" spans="1:9" ht="16.2" thickBot="1">
      <c r="A101" s="2" t="str">
        <f t="shared" si="15"/>
        <v/>
      </c>
      <c r="B101" t="str">
        <f t="shared" si="16"/>
        <v>6</v>
      </c>
      <c r="C101" t="str">
        <f t="shared" si="17"/>
        <v>14 Jun Mer</v>
      </c>
      <c r="D101" s="330" t="s">
        <v>628</v>
      </c>
      <c r="E101" s="495" t="s">
        <v>647</v>
      </c>
      <c r="F101" s="498"/>
      <c r="G101" s="498"/>
      <c r="I101" s="479" t="str">
        <f t="shared" si="12"/>
        <v/>
      </c>
    </row>
    <row r="102" spans="1:9" ht="16.2" thickBot="1">
      <c r="A102" s="2" t="str">
        <f t="shared" si="15"/>
        <v/>
      </c>
      <c r="B102" t="str">
        <f t="shared" si="16"/>
        <v>7</v>
      </c>
      <c r="C102" t="str">
        <f t="shared" si="17"/>
        <v>14 Jun Mer</v>
      </c>
      <c r="D102" s="330" t="s">
        <v>628</v>
      </c>
      <c r="E102" s="495" t="s">
        <v>648</v>
      </c>
      <c r="F102" s="498"/>
      <c r="G102" s="498"/>
      <c r="I102" s="479" t="str">
        <f t="shared" si="12"/>
        <v/>
      </c>
    </row>
    <row r="103" spans="1:9" ht="30.6" thickBot="1">
      <c r="A103" s="2" t="str">
        <f t="shared" si="15"/>
        <v/>
      </c>
      <c r="B103" t="str">
        <f t="shared" si="16"/>
        <v>G</v>
      </c>
      <c r="C103" t="str">
        <f t="shared" si="17"/>
        <v>14 Jun Mer</v>
      </c>
      <c r="D103" s="330" t="s">
        <v>628</v>
      </c>
      <c r="E103" s="493" t="s">
        <v>1037</v>
      </c>
      <c r="F103" s="499"/>
      <c r="G103" s="499"/>
      <c r="I103" s="479" t="str">
        <f t="shared" si="12"/>
        <v/>
      </c>
    </row>
    <row r="104" spans="1:9" ht="16.2" thickBot="1">
      <c r="A104" s="2">
        <f t="shared" si="15"/>
        <v>104</v>
      </c>
      <c r="B104" t="str">
        <f t="shared" si="16"/>
        <v>*</v>
      </c>
      <c r="C104" t="str">
        <f t="shared" si="17"/>
        <v>15 Jun Jeu</v>
      </c>
      <c r="D104" s="330" t="s">
        <v>628</v>
      </c>
      <c r="E104" s="497" t="s">
        <v>1032</v>
      </c>
      <c r="F104" s="495" t="s">
        <v>664</v>
      </c>
      <c r="G104" s="498"/>
      <c r="I104" s="479" t="str">
        <f t="shared" si="12"/>
        <v/>
      </c>
    </row>
    <row r="105" spans="1:9" ht="16.2" thickBot="1">
      <c r="A105" s="2" t="str">
        <f t="shared" si="15"/>
        <v/>
      </c>
      <c r="B105" t="str">
        <f t="shared" si="16"/>
        <v>1</v>
      </c>
      <c r="C105" t="str">
        <f t="shared" si="17"/>
        <v>15 Jun Jeu</v>
      </c>
      <c r="D105" s="330" t="s">
        <v>628</v>
      </c>
      <c r="E105" s="495" t="s">
        <v>641</v>
      </c>
      <c r="F105" s="495">
        <v>40</v>
      </c>
      <c r="G105" s="498"/>
      <c r="I105" s="479" t="str">
        <f t="shared" si="12"/>
        <v/>
      </c>
    </row>
    <row r="106" spans="1:9" ht="16.2" thickBot="1">
      <c r="A106" s="2" t="str">
        <f t="shared" si="15"/>
        <v/>
      </c>
      <c r="B106" t="str">
        <f t="shared" si="16"/>
        <v>2</v>
      </c>
      <c r="C106" t="str">
        <f t="shared" si="17"/>
        <v>15 Jun Jeu</v>
      </c>
      <c r="D106" s="330" t="s">
        <v>628</v>
      </c>
      <c r="E106" s="495" t="s">
        <v>642</v>
      </c>
      <c r="F106" s="495">
        <v>160</v>
      </c>
      <c r="G106" s="495" t="s">
        <v>1033</v>
      </c>
      <c r="I106" s="479" t="str">
        <f t="shared" si="12"/>
        <v/>
      </c>
    </row>
    <row r="107" spans="1:9" ht="16.2" thickBot="1">
      <c r="A107" s="2" t="str">
        <f t="shared" si="15"/>
        <v/>
      </c>
      <c r="B107" t="str">
        <f t="shared" si="16"/>
        <v>3</v>
      </c>
      <c r="C107" t="str">
        <f t="shared" si="17"/>
        <v>15 Jun Jeu</v>
      </c>
      <c r="D107" s="330" t="s">
        <v>628</v>
      </c>
      <c r="E107" s="495" t="s">
        <v>643</v>
      </c>
      <c r="F107" s="495">
        <v>125</v>
      </c>
      <c r="G107" s="495" t="s">
        <v>733</v>
      </c>
      <c r="I107" s="479" t="str">
        <f t="shared" si="12"/>
        <v/>
      </c>
    </row>
    <row r="108" spans="1:9" ht="16.2" thickBot="1">
      <c r="A108" s="2" t="str">
        <f t="shared" si="15"/>
        <v/>
      </c>
      <c r="B108" t="str">
        <f t="shared" si="16"/>
        <v>4</v>
      </c>
      <c r="C108" t="str">
        <f t="shared" si="17"/>
        <v>15 Jun Jeu</v>
      </c>
      <c r="D108" s="330" t="s">
        <v>628</v>
      </c>
      <c r="E108" s="495" t="s">
        <v>645</v>
      </c>
      <c r="F108" s="495" t="s">
        <v>1034</v>
      </c>
      <c r="G108" s="498"/>
      <c r="I108" s="479" t="str">
        <f t="shared" si="12"/>
        <v/>
      </c>
    </row>
    <row r="109" spans="1:9" ht="16.2" thickBot="1">
      <c r="A109" s="2" t="str">
        <f t="shared" si="15"/>
        <v/>
      </c>
      <c r="B109" t="str">
        <f t="shared" si="16"/>
        <v>5</v>
      </c>
      <c r="C109" t="str">
        <f t="shared" si="17"/>
        <v>15 Jun Jeu</v>
      </c>
      <c r="D109" s="330" t="s">
        <v>628</v>
      </c>
      <c r="E109" s="495" t="s">
        <v>646</v>
      </c>
      <c r="F109" s="498" t="s">
        <v>999</v>
      </c>
      <c r="G109" s="498"/>
      <c r="I109" s="479">
        <f t="shared" si="12"/>
        <v>1</v>
      </c>
    </row>
    <row r="110" spans="1:9" ht="16.2" thickBot="1">
      <c r="A110" s="2" t="str">
        <f t="shared" si="15"/>
        <v/>
      </c>
      <c r="B110" t="str">
        <f t="shared" si="16"/>
        <v>6</v>
      </c>
      <c r="C110" t="str">
        <f t="shared" si="17"/>
        <v>15 Jun Jeu</v>
      </c>
      <c r="D110" s="330" t="s">
        <v>628</v>
      </c>
      <c r="E110" s="495" t="s">
        <v>647</v>
      </c>
      <c r="F110" s="498"/>
      <c r="G110" s="498"/>
      <c r="I110" s="479" t="str">
        <f t="shared" si="12"/>
        <v/>
      </c>
    </row>
    <row r="111" spans="1:9" ht="16.2" thickBot="1">
      <c r="A111" s="2" t="str">
        <f t="shared" si="15"/>
        <v/>
      </c>
      <c r="B111" t="str">
        <f t="shared" si="16"/>
        <v>7</v>
      </c>
      <c r="C111" t="str">
        <f t="shared" si="17"/>
        <v>15 Jun Jeu</v>
      </c>
      <c r="D111" s="330" t="s">
        <v>628</v>
      </c>
      <c r="E111" s="495" t="s">
        <v>648</v>
      </c>
      <c r="F111" s="498"/>
      <c r="G111" s="498"/>
      <c r="I111" s="479" t="str">
        <f t="shared" si="12"/>
        <v/>
      </c>
    </row>
    <row r="112" spans="1:9" ht="16.2" thickBot="1">
      <c r="A112" s="2" t="str">
        <f t="shared" si="15"/>
        <v/>
      </c>
      <c r="B112" t="str">
        <f t="shared" si="16"/>
        <v/>
      </c>
      <c r="C112" t="str">
        <f t="shared" si="17"/>
        <v>15 Jun Jeu</v>
      </c>
      <c r="D112" s="330" t="s">
        <v>628</v>
      </c>
      <c r="I112" s="479" t="str">
        <f t="shared" si="12"/>
        <v/>
      </c>
    </row>
    <row r="113" spans="1:9" ht="16.2" thickBot="1">
      <c r="A113" s="2">
        <f t="shared" si="15"/>
        <v>113</v>
      </c>
      <c r="B113" t="str">
        <f t="shared" si="16"/>
        <v>*</v>
      </c>
      <c r="C113" t="str">
        <f t="shared" si="17"/>
        <v>16 Jun Ven</v>
      </c>
      <c r="D113" s="330" t="s">
        <v>628</v>
      </c>
      <c r="E113" s="497" t="s">
        <v>1039</v>
      </c>
      <c r="F113" s="495" t="s">
        <v>664</v>
      </c>
      <c r="G113" s="498"/>
      <c r="I113" s="479" t="str">
        <f t="shared" si="12"/>
        <v/>
      </c>
    </row>
    <row r="114" spans="1:9" ht="16.2" thickBot="1">
      <c r="A114" s="2" t="str">
        <f t="shared" si="15"/>
        <v/>
      </c>
      <c r="B114" t="str">
        <f t="shared" si="16"/>
        <v>1</v>
      </c>
      <c r="C114" t="str">
        <f t="shared" si="17"/>
        <v>16 Jun Ven</v>
      </c>
      <c r="D114" s="330" t="s">
        <v>628</v>
      </c>
      <c r="E114" s="495" t="s">
        <v>641</v>
      </c>
      <c r="F114" s="498"/>
      <c r="G114" s="498"/>
      <c r="I114" s="479" t="str">
        <f t="shared" si="12"/>
        <v/>
      </c>
    </row>
    <row r="115" spans="1:9" ht="16.2" thickBot="1">
      <c r="A115" s="2" t="str">
        <f t="shared" si="15"/>
        <v/>
      </c>
      <c r="B115" t="str">
        <f t="shared" si="16"/>
        <v>2</v>
      </c>
      <c r="C115" t="str">
        <f t="shared" si="17"/>
        <v>16 Jun Ven</v>
      </c>
      <c r="D115" s="330" t="s">
        <v>628</v>
      </c>
      <c r="E115" s="495" t="s">
        <v>642</v>
      </c>
      <c r="F115" s="495">
        <v>317</v>
      </c>
      <c r="G115" s="495" t="s">
        <v>1040</v>
      </c>
      <c r="I115" s="479" t="str">
        <f t="shared" si="12"/>
        <v/>
      </c>
    </row>
    <row r="116" spans="1:9" ht="16.2" thickBot="1">
      <c r="A116" s="2" t="str">
        <f t="shared" si="15"/>
        <v/>
      </c>
      <c r="B116" t="str">
        <f t="shared" si="16"/>
        <v>3</v>
      </c>
      <c r="C116" t="str">
        <f t="shared" si="17"/>
        <v>16 Jun Ven</v>
      </c>
      <c r="D116" s="330" t="s">
        <v>628</v>
      </c>
      <c r="E116" s="495" t="s">
        <v>643</v>
      </c>
      <c r="F116" s="495">
        <v>210</v>
      </c>
      <c r="G116" s="495" t="s">
        <v>1041</v>
      </c>
      <c r="I116" s="479" t="str">
        <f t="shared" si="12"/>
        <v/>
      </c>
    </row>
    <row r="117" spans="1:9" ht="16.2" thickBot="1">
      <c r="A117" s="2" t="str">
        <f t="shared" si="15"/>
        <v/>
      </c>
      <c r="B117" t="str">
        <f t="shared" si="16"/>
        <v>4</v>
      </c>
      <c r="C117" t="str">
        <f t="shared" si="17"/>
        <v>16 Jun Ven</v>
      </c>
      <c r="D117" s="330" t="s">
        <v>628</v>
      </c>
      <c r="E117" s="495" t="s">
        <v>645</v>
      </c>
      <c r="F117" s="495">
        <v>55</v>
      </c>
      <c r="G117" s="498"/>
      <c r="I117" s="479" t="str">
        <f t="shared" si="12"/>
        <v/>
      </c>
    </row>
    <row r="118" spans="1:9" ht="16.2" thickBot="1">
      <c r="A118" s="2" t="str">
        <f t="shared" si="15"/>
        <v/>
      </c>
      <c r="B118" t="str">
        <f t="shared" si="16"/>
        <v>5</v>
      </c>
      <c r="C118" t="str">
        <f t="shared" si="17"/>
        <v>16 Jun Ven</v>
      </c>
      <c r="D118" s="330" t="s">
        <v>628</v>
      </c>
      <c r="E118" s="495" t="s">
        <v>646</v>
      </c>
      <c r="F118" s="498"/>
      <c r="G118" s="498"/>
      <c r="I118" s="479" t="str">
        <f t="shared" si="12"/>
        <v/>
      </c>
    </row>
    <row r="119" spans="1:9" ht="16.2" thickBot="1">
      <c r="A119" s="2" t="str">
        <f t="shared" si="15"/>
        <v/>
      </c>
      <c r="B119" t="str">
        <f t="shared" si="16"/>
        <v>6</v>
      </c>
      <c r="C119" t="str">
        <f t="shared" si="17"/>
        <v>16 Jun Ven</v>
      </c>
      <c r="D119" s="330" t="s">
        <v>628</v>
      </c>
      <c r="E119" s="495" t="s">
        <v>647</v>
      </c>
      <c r="F119" s="498"/>
      <c r="G119" s="498"/>
      <c r="I119" s="479" t="str">
        <f t="shared" si="12"/>
        <v/>
      </c>
    </row>
    <row r="120" spans="1:9" ht="16.2" thickBot="1">
      <c r="A120" s="2" t="str">
        <f t="shared" si="15"/>
        <v/>
      </c>
      <c r="B120" t="str">
        <f t="shared" si="16"/>
        <v>7</v>
      </c>
      <c r="C120" t="str">
        <f t="shared" si="17"/>
        <v>16 Jun Ven</v>
      </c>
      <c r="D120" s="330" t="s">
        <v>628</v>
      </c>
      <c r="E120" s="495" t="s">
        <v>648</v>
      </c>
      <c r="F120" s="498"/>
      <c r="G120" s="498"/>
      <c r="I120" s="479" t="str">
        <f t="shared" si="12"/>
        <v/>
      </c>
    </row>
    <row r="121" spans="1:9">
      <c r="A121" s="2" t="str">
        <f t="shared" si="15"/>
        <v/>
      </c>
      <c r="B121" t="str">
        <f t="shared" si="16"/>
        <v>V</v>
      </c>
      <c r="C121" t="str">
        <f t="shared" si="17"/>
        <v>16 Jun Ven</v>
      </c>
      <c r="D121" s="330" t="s">
        <v>628</v>
      </c>
      <c r="E121" s="493" t="s">
        <v>1042</v>
      </c>
      <c r="F121" s="499"/>
      <c r="G121" s="499"/>
      <c r="I121" s="479" t="str">
        <f t="shared" si="12"/>
        <v/>
      </c>
    </row>
    <row r="122" spans="1:9">
      <c r="A122" s="2" t="str">
        <f t="shared" si="15"/>
        <v/>
      </c>
      <c r="B122" t="str">
        <f t="shared" si="16"/>
        <v>P</v>
      </c>
      <c r="C122" t="str">
        <f t="shared" si="17"/>
        <v>16 Jun Ven</v>
      </c>
      <c r="D122" s="330" t="s">
        <v>628</v>
      </c>
      <c r="E122" s="493" t="s">
        <v>1043</v>
      </c>
      <c r="F122" s="499"/>
      <c r="G122" s="499"/>
      <c r="I122" s="479" t="str">
        <f t="shared" si="12"/>
        <v/>
      </c>
    </row>
    <row r="123" spans="1:9">
      <c r="A123" s="2" t="str">
        <f t="shared" si="15"/>
        <v/>
      </c>
      <c r="B123" t="str">
        <f t="shared" si="16"/>
        <v>C</v>
      </c>
      <c r="C123" t="str">
        <f t="shared" si="17"/>
        <v>16 Jun Ven</v>
      </c>
      <c r="D123" s="330" t="s">
        <v>628</v>
      </c>
      <c r="E123" s="493" t="s">
        <v>1044</v>
      </c>
      <c r="F123" s="499"/>
      <c r="G123" s="499"/>
      <c r="I123" s="479" t="str">
        <f t="shared" si="12"/>
        <v/>
      </c>
    </row>
    <row r="124" spans="1:9">
      <c r="A124" s="2" t="str">
        <f t="shared" si="15"/>
        <v/>
      </c>
      <c r="B124" t="str">
        <f t="shared" si="16"/>
        <v>S</v>
      </c>
      <c r="C124" t="str">
        <f t="shared" si="17"/>
        <v>16 Jun Ven</v>
      </c>
      <c r="D124" s="330" t="s">
        <v>628</v>
      </c>
      <c r="E124" s="493" t="s">
        <v>1045</v>
      </c>
      <c r="F124" s="499"/>
      <c r="G124" s="499"/>
      <c r="I124" s="479" t="str">
        <f t="shared" si="12"/>
        <v/>
      </c>
    </row>
    <row r="125" spans="1:9">
      <c r="A125" s="2" t="str">
        <f t="shared" si="15"/>
        <v/>
      </c>
      <c r="B125" t="str">
        <f t="shared" si="16"/>
        <v>C</v>
      </c>
      <c r="C125" t="str">
        <f t="shared" si="17"/>
        <v>16 Jun Ven</v>
      </c>
      <c r="D125" s="330" t="s">
        <v>628</v>
      </c>
      <c r="E125" s="493" t="s">
        <v>1046</v>
      </c>
      <c r="F125" s="499"/>
      <c r="G125" s="499"/>
      <c r="I125" s="479" t="str">
        <f t="shared" si="12"/>
        <v/>
      </c>
    </row>
    <row r="126" spans="1:9">
      <c r="A126" s="2" t="str">
        <f t="shared" si="15"/>
        <v/>
      </c>
      <c r="B126" t="str">
        <f t="shared" si="16"/>
        <v>B</v>
      </c>
      <c r="C126" t="str">
        <f t="shared" si="17"/>
        <v>16 Jun Ven</v>
      </c>
      <c r="D126" s="330" t="s">
        <v>628</v>
      </c>
      <c r="E126" s="493" t="s">
        <v>1047</v>
      </c>
      <c r="F126" s="499"/>
      <c r="G126" s="499"/>
      <c r="I126" s="479" t="str">
        <f t="shared" si="12"/>
        <v/>
      </c>
    </row>
    <row r="127" spans="1:9">
      <c r="A127" s="2" t="str">
        <f t="shared" si="15"/>
        <v/>
      </c>
      <c r="B127" t="str">
        <f t="shared" si="16"/>
        <v>D</v>
      </c>
      <c r="C127" t="str">
        <f t="shared" si="17"/>
        <v>16 Jun Ven</v>
      </c>
      <c r="D127" s="330" t="s">
        <v>628</v>
      </c>
      <c r="E127" s="493" t="s">
        <v>1048</v>
      </c>
      <c r="F127" s="499"/>
      <c r="G127" s="499"/>
      <c r="I127" s="479" t="str">
        <f t="shared" si="12"/>
        <v/>
      </c>
    </row>
    <row r="128" spans="1:9" ht="16.2" thickBot="1">
      <c r="A128" s="2" t="str">
        <f t="shared" si="15"/>
        <v/>
      </c>
      <c r="B128" t="str">
        <f t="shared" si="16"/>
        <v/>
      </c>
      <c r="C128" t="str">
        <f t="shared" si="17"/>
        <v>16 Jun Ven</v>
      </c>
      <c r="D128" s="330" t="s">
        <v>628</v>
      </c>
      <c r="E128" s="494"/>
      <c r="F128" s="499"/>
      <c r="G128" s="499"/>
      <c r="I128" s="479" t="str">
        <f t="shared" si="12"/>
        <v/>
      </c>
    </row>
    <row r="129" spans="1:9" ht="16.2" thickBot="1">
      <c r="A129" s="2">
        <f t="shared" si="15"/>
        <v>129</v>
      </c>
      <c r="B129" t="str">
        <f t="shared" si="16"/>
        <v>*</v>
      </c>
      <c r="C129" t="str">
        <f t="shared" si="17"/>
        <v>17 Jun Sam</v>
      </c>
      <c r="D129" s="330" t="s">
        <v>628</v>
      </c>
      <c r="E129" s="497" t="s">
        <v>1049</v>
      </c>
      <c r="F129" s="495" t="s">
        <v>664</v>
      </c>
      <c r="G129" s="498"/>
      <c r="I129" s="479" t="str">
        <f t="shared" si="12"/>
        <v/>
      </c>
    </row>
    <row r="130" spans="1:9" ht="16.2" thickBot="1">
      <c r="A130" s="2" t="str">
        <f t="shared" si="15"/>
        <v/>
      </c>
      <c r="B130" t="str">
        <f t="shared" si="16"/>
        <v>1</v>
      </c>
      <c r="C130" t="str">
        <f t="shared" si="17"/>
        <v>17 Jun Sam</v>
      </c>
      <c r="D130" s="330" t="s">
        <v>628</v>
      </c>
      <c r="E130" s="495" t="s">
        <v>641</v>
      </c>
      <c r="F130" s="495">
        <v>40</v>
      </c>
      <c r="G130" s="498"/>
      <c r="I130" s="479" t="str">
        <f t="shared" si="12"/>
        <v/>
      </c>
    </row>
    <row r="131" spans="1:9" ht="16.2" thickBot="1">
      <c r="A131" s="2" t="str">
        <f t="shared" si="15"/>
        <v/>
      </c>
      <c r="B131" t="str">
        <f t="shared" si="16"/>
        <v>2</v>
      </c>
      <c r="C131" t="str">
        <f t="shared" si="17"/>
        <v>17 Jun Sam</v>
      </c>
      <c r="D131" s="330" t="s">
        <v>628</v>
      </c>
      <c r="E131" s="495" t="s">
        <v>642</v>
      </c>
      <c r="F131" s="495" t="s">
        <v>1050</v>
      </c>
      <c r="G131" s="495" t="s">
        <v>1051</v>
      </c>
      <c r="I131" s="479" t="str">
        <f t="shared" si="12"/>
        <v/>
      </c>
    </row>
    <row r="132" spans="1:9" ht="16.2" thickBot="1">
      <c r="A132" s="2" t="str">
        <f t="shared" si="15"/>
        <v/>
      </c>
      <c r="B132" t="str">
        <f t="shared" si="16"/>
        <v>3</v>
      </c>
      <c r="C132" t="str">
        <f t="shared" si="17"/>
        <v>17 Jun Sam</v>
      </c>
      <c r="D132" s="330" t="s">
        <v>628</v>
      </c>
      <c r="E132" s="495" t="s">
        <v>643</v>
      </c>
      <c r="F132" s="495">
        <v>140</v>
      </c>
      <c r="G132" s="498"/>
      <c r="I132" s="479" t="str">
        <f t="shared" si="12"/>
        <v/>
      </c>
    </row>
    <row r="133" spans="1:9" ht="16.2" thickBot="1">
      <c r="A133" s="2" t="str">
        <f t="shared" si="15"/>
        <v/>
      </c>
      <c r="B133" t="str">
        <f t="shared" si="16"/>
        <v>4</v>
      </c>
      <c r="C133" t="str">
        <f t="shared" si="17"/>
        <v>17 Jun Sam</v>
      </c>
      <c r="D133" s="330" t="s">
        <v>628</v>
      </c>
      <c r="E133" s="495" t="s">
        <v>645</v>
      </c>
      <c r="F133" s="495">
        <v>25</v>
      </c>
      <c r="G133" s="498"/>
      <c r="I133" s="479" t="str">
        <f t="shared" si="12"/>
        <v/>
      </c>
    </row>
    <row r="134" spans="1:9" ht="16.2" thickBot="1">
      <c r="A134" s="2" t="str">
        <f t="shared" si="15"/>
        <v/>
      </c>
      <c r="B134" t="str">
        <f t="shared" si="16"/>
        <v>5</v>
      </c>
      <c r="C134" t="str">
        <f t="shared" si="17"/>
        <v>17 Jun Sam</v>
      </c>
      <c r="D134" s="330" t="s">
        <v>628</v>
      </c>
      <c r="E134" s="495" t="s">
        <v>646</v>
      </c>
      <c r="F134" s="495" t="s">
        <v>1052</v>
      </c>
      <c r="G134" s="495" t="s">
        <v>1025</v>
      </c>
      <c r="I134" s="479">
        <f t="shared" si="12"/>
        <v>1</v>
      </c>
    </row>
    <row r="135" spans="1:9" ht="16.2" thickBot="1">
      <c r="A135" s="2" t="str">
        <f t="shared" si="15"/>
        <v/>
      </c>
      <c r="B135" t="str">
        <f t="shared" si="16"/>
        <v>6</v>
      </c>
      <c r="C135" t="str">
        <f t="shared" si="17"/>
        <v>17 Jun Sam</v>
      </c>
      <c r="D135" s="330" t="s">
        <v>628</v>
      </c>
      <c r="E135" s="495" t="s">
        <v>647</v>
      </c>
      <c r="F135" s="495">
        <v>10</v>
      </c>
      <c r="G135" s="498"/>
      <c r="I135" s="479" t="str">
        <f t="shared" si="12"/>
        <v/>
      </c>
    </row>
    <row r="136" spans="1:9" ht="16.2" thickBot="1">
      <c r="A136" s="2" t="str">
        <f t="shared" si="15"/>
        <v/>
      </c>
      <c r="B136" t="str">
        <f t="shared" si="16"/>
        <v>7</v>
      </c>
      <c r="C136" t="str">
        <f t="shared" si="17"/>
        <v>17 Jun Sam</v>
      </c>
      <c r="D136" s="330" t="s">
        <v>628</v>
      </c>
      <c r="E136" s="495" t="s">
        <v>648</v>
      </c>
      <c r="F136" s="498"/>
      <c r="G136" s="498"/>
      <c r="I136" s="479" t="str">
        <f t="shared" ref="I136:I199" si="18">IFERROR(IF(VALUE(B136)=5,FIND($I$4,F136,1),""),"")</f>
        <v/>
      </c>
    </row>
    <row r="137" spans="1:9" ht="16.2" thickBot="1">
      <c r="A137" s="2" t="str">
        <f t="shared" si="15"/>
        <v/>
      </c>
      <c r="B137" t="str">
        <f t="shared" si="16"/>
        <v/>
      </c>
      <c r="C137" t="str">
        <f t="shared" si="17"/>
        <v>17 Jun Sam</v>
      </c>
      <c r="D137" s="330" t="s">
        <v>628</v>
      </c>
      <c r="E137" s="494"/>
      <c r="F137" s="499"/>
      <c r="G137" s="499"/>
      <c r="I137" s="479" t="str">
        <f t="shared" si="18"/>
        <v/>
      </c>
    </row>
    <row r="138" spans="1:9" ht="16.2" thickBot="1">
      <c r="A138" s="2">
        <f t="shared" si="15"/>
        <v>138</v>
      </c>
      <c r="B138" t="str">
        <f t="shared" si="16"/>
        <v>*</v>
      </c>
      <c r="C138" t="str">
        <f t="shared" si="17"/>
        <v>18 Jun Dim</v>
      </c>
      <c r="D138" s="330" t="s">
        <v>628</v>
      </c>
      <c r="E138" s="497" t="s">
        <v>1053</v>
      </c>
      <c r="F138" s="495" t="s">
        <v>664</v>
      </c>
      <c r="G138" s="498"/>
      <c r="I138" s="479" t="str">
        <f t="shared" si="18"/>
        <v/>
      </c>
    </row>
    <row r="139" spans="1:9" ht="16.2" thickBot="1">
      <c r="A139" s="2" t="str">
        <f t="shared" si="15"/>
        <v/>
      </c>
      <c r="B139" t="str">
        <f t="shared" si="16"/>
        <v>1</v>
      </c>
      <c r="C139" t="str">
        <f t="shared" si="17"/>
        <v>18 Jun Dim</v>
      </c>
      <c r="D139" s="330" t="s">
        <v>628</v>
      </c>
      <c r="E139" s="495" t="s">
        <v>641</v>
      </c>
      <c r="F139" s="498"/>
      <c r="G139" s="498"/>
      <c r="I139" s="479" t="str">
        <f t="shared" si="18"/>
        <v/>
      </c>
    </row>
    <row r="140" spans="1:9" ht="16.2" thickBot="1">
      <c r="A140" s="2" t="str">
        <f t="shared" ref="A140:A203" si="19">IF(B140="*",ROW(),"")</f>
        <v/>
      </c>
      <c r="B140" t="str">
        <f t="shared" ref="B140:B203" si="20">LEFT(E140,1)</f>
        <v>2</v>
      </c>
      <c r="C140" t="str">
        <f t="shared" ref="C140:C203" si="21">IF(B140="*",RIGHT(E140,10),C139)</f>
        <v>18 Jun Dim</v>
      </c>
      <c r="D140" s="330" t="s">
        <v>628</v>
      </c>
      <c r="E140" s="495" t="s">
        <v>642</v>
      </c>
      <c r="F140" s="495">
        <v>190</v>
      </c>
      <c r="G140" s="495" t="s">
        <v>1054</v>
      </c>
      <c r="I140" s="479" t="str">
        <f t="shared" si="18"/>
        <v/>
      </c>
    </row>
    <row r="141" spans="1:9" ht="16.2" thickBot="1">
      <c r="A141" s="2" t="str">
        <f t="shared" si="19"/>
        <v/>
      </c>
      <c r="B141" t="str">
        <f t="shared" si="20"/>
        <v>3</v>
      </c>
      <c r="C141" t="str">
        <f t="shared" si="21"/>
        <v>18 Jun Dim</v>
      </c>
      <c r="D141" s="330" t="s">
        <v>628</v>
      </c>
      <c r="E141" s="495" t="s">
        <v>643</v>
      </c>
      <c r="F141" s="495">
        <v>140</v>
      </c>
      <c r="G141" s="495" t="s">
        <v>1024</v>
      </c>
      <c r="I141" s="479" t="str">
        <f t="shared" si="18"/>
        <v/>
      </c>
    </row>
    <row r="142" spans="1:9" ht="16.2" thickBot="1">
      <c r="A142" s="2" t="str">
        <f t="shared" si="19"/>
        <v/>
      </c>
      <c r="B142" t="str">
        <f t="shared" si="20"/>
        <v>4</v>
      </c>
      <c r="C142" t="str">
        <f t="shared" si="21"/>
        <v>18 Jun Dim</v>
      </c>
      <c r="D142" s="330" t="s">
        <v>628</v>
      </c>
      <c r="E142" s="495" t="s">
        <v>645</v>
      </c>
      <c r="F142" s="495">
        <v>55</v>
      </c>
      <c r="G142" s="498"/>
      <c r="I142" s="479" t="str">
        <f t="shared" si="18"/>
        <v/>
      </c>
    </row>
    <row r="143" spans="1:9" ht="30.6" thickBot="1">
      <c r="A143" s="2" t="str">
        <f t="shared" si="19"/>
        <v/>
      </c>
      <c r="B143" t="str">
        <f t="shared" si="20"/>
        <v>5</v>
      </c>
      <c r="C143" t="str">
        <f t="shared" si="21"/>
        <v>18 Jun Dim</v>
      </c>
      <c r="D143" s="330" t="s">
        <v>628</v>
      </c>
      <c r="E143" s="495" t="s">
        <v>646</v>
      </c>
      <c r="F143" s="495" t="s">
        <v>1055</v>
      </c>
      <c r="G143" s="495" t="s">
        <v>1056</v>
      </c>
      <c r="I143" s="479">
        <f t="shared" si="18"/>
        <v>1</v>
      </c>
    </row>
    <row r="144" spans="1:9" ht="16.2" thickBot="1">
      <c r="A144" s="2" t="str">
        <f t="shared" si="19"/>
        <v/>
      </c>
      <c r="B144" t="str">
        <f t="shared" si="20"/>
        <v>6</v>
      </c>
      <c r="C144" t="str">
        <f t="shared" si="21"/>
        <v>18 Jun Dim</v>
      </c>
      <c r="D144" s="330" t="s">
        <v>628</v>
      </c>
      <c r="E144" s="495" t="s">
        <v>647</v>
      </c>
      <c r="F144" s="498"/>
      <c r="G144" s="498"/>
      <c r="I144" s="479" t="str">
        <f t="shared" si="18"/>
        <v/>
      </c>
    </row>
    <row r="145" spans="1:12" ht="16.2" thickBot="1">
      <c r="A145" s="2" t="str">
        <f t="shared" si="19"/>
        <v/>
      </c>
      <c r="B145" t="str">
        <f t="shared" si="20"/>
        <v>7</v>
      </c>
      <c r="C145" t="str">
        <f t="shared" si="21"/>
        <v>18 Jun Dim</v>
      </c>
      <c r="D145" s="330" t="s">
        <v>628</v>
      </c>
      <c r="E145" s="495" t="s">
        <v>648</v>
      </c>
      <c r="F145" s="498"/>
      <c r="G145" s="498"/>
      <c r="I145" s="479" t="str">
        <f t="shared" si="18"/>
        <v/>
      </c>
    </row>
    <row r="146" spans="1:12">
      <c r="A146" s="2" t="str">
        <f t="shared" si="19"/>
        <v/>
      </c>
      <c r="B146" t="str">
        <f t="shared" si="20"/>
        <v/>
      </c>
      <c r="C146" t="str">
        <f t="shared" si="21"/>
        <v>18 Jun Dim</v>
      </c>
      <c r="D146" s="330" t="s">
        <v>628</v>
      </c>
      <c r="E146" s="494"/>
      <c r="F146" s="499"/>
      <c r="G146" s="499"/>
      <c r="I146" s="479" t="str">
        <f t="shared" si="18"/>
        <v/>
      </c>
    </row>
    <row r="147" spans="1:12" ht="16.2" thickBot="1">
      <c r="A147" s="2" t="str">
        <f t="shared" si="19"/>
        <v/>
      </c>
      <c r="B147" t="str">
        <f t="shared" si="20"/>
        <v/>
      </c>
      <c r="C147" t="str">
        <f t="shared" si="21"/>
        <v>18 Jun Dim</v>
      </c>
      <c r="D147" s="330" t="s">
        <v>628</v>
      </c>
      <c r="E147" s="494"/>
      <c r="F147" s="499"/>
      <c r="G147" s="499"/>
      <c r="I147" s="479" t="str">
        <f t="shared" si="18"/>
        <v/>
      </c>
    </row>
    <row r="148" spans="1:12" ht="16.2" thickBot="1">
      <c r="A148" s="2">
        <f t="shared" si="19"/>
        <v>148</v>
      </c>
      <c r="B148" t="str">
        <f t="shared" si="20"/>
        <v>*</v>
      </c>
      <c r="C148" t="str">
        <f t="shared" si="21"/>
        <v>19 Jun Lun</v>
      </c>
      <c r="D148" s="330" t="s">
        <v>628</v>
      </c>
      <c r="E148" s="497" t="s">
        <v>1057</v>
      </c>
      <c r="F148" s="495" t="s">
        <v>664</v>
      </c>
      <c r="G148" s="498"/>
      <c r="I148" s="479" t="str">
        <f t="shared" si="18"/>
        <v/>
      </c>
    </row>
    <row r="149" spans="1:12" ht="16.2" thickBot="1">
      <c r="A149" s="2" t="str">
        <f t="shared" si="19"/>
        <v/>
      </c>
      <c r="B149" t="str">
        <f t="shared" si="20"/>
        <v>1</v>
      </c>
      <c r="C149" t="str">
        <f t="shared" si="21"/>
        <v>19 Jun Lun</v>
      </c>
      <c r="D149" s="330" t="s">
        <v>628</v>
      </c>
      <c r="E149" s="495" t="s">
        <v>641</v>
      </c>
      <c r="F149" s="498"/>
      <c r="G149" s="498"/>
      <c r="I149" s="479" t="str">
        <f t="shared" si="18"/>
        <v/>
      </c>
    </row>
    <row r="150" spans="1:12" ht="16.2" thickBot="1">
      <c r="A150" s="2" t="str">
        <f t="shared" si="19"/>
        <v/>
      </c>
      <c r="B150" t="str">
        <f t="shared" si="20"/>
        <v>2</v>
      </c>
      <c r="C150" t="str">
        <f t="shared" si="21"/>
        <v>19 Jun Lun</v>
      </c>
      <c r="D150" s="330" t="s">
        <v>628</v>
      </c>
      <c r="E150" s="495" t="s">
        <v>642</v>
      </c>
      <c r="F150" s="495">
        <v>700</v>
      </c>
      <c r="G150" s="495" t="s">
        <v>1058</v>
      </c>
      <c r="I150" s="479" t="str">
        <f t="shared" si="18"/>
        <v/>
      </c>
    </row>
    <row r="151" spans="1:12" ht="16.2" thickBot="1">
      <c r="A151" s="2" t="str">
        <f t="shared" si="19"/>
        <v/>
      </c>
      <c r="B151" t="str">
        <f t="shared" si="20"/>
        <v>3</v>
      </c>
      <c r="C151" t="str">
        <f t="shared" si="21"/>
        <v>19 Jun Lun</v>
      </c>
      <c r="D151" s="330" t="s">
        <v>628</v>
      </c>
      <c r="E151" s="495" t="s">
        <v>643</v>
      </c>
      <c r="F151" s="495">
        <v>160</v>
      </c>
      <c r="G151" s="495" t="s">
        <v>733</v>
      </c>
      <c r="I151" s="479" t="str">
        <f t="shared" si="18"/>
        <v/>
      </c>
    </row>
    <row r="152" spans="1:12" ht="16.2" thickBot="1">
      <c r="A152" s="2" t="str">
        <f t="shared" si="19"/>
        <v/>
      </c>
      <c r="B152" t="str">
        <f t="shared" si="20"/>
        <v>4</v>
      </c>
      <c r="C152" t="str">
        <f t="shared" si="21"/>
        <v>19 Jun Lun</v>
      </c>
      <c r="D152" s="330" t="s">
        <v>628</v>
      </c>
      <c r="E152" s="495" t="s">
        <v>645</v>
      </c>
      <c r="F152" s="495">
        <v>55</v>
      </c>
      <c r="G152" s="498"/>
      <c r="I152" s="479" t="str">
        <f t="shared" si="18"/>
        <v/>
      </c>
    </row>
    <row r="153" spans="1:12" ht="16.2" thickBot="1">
      <c r="A153" s="2" t="str">
        <f t="shared" si="19"/>
        <v/>
      </c>
      <c r="B153" t="str">
        <f t="shared" si="20"/>
        <v>5</v>
      </c>
      <c r="C153" t="str">
        <f t="shared" si="21"/>
        <v>19 Jun Lun</v>
      </c>
      <c r="D153" s="330" t="s">
        <v>628</v>
      </c>
      <c r="E153" s="495" t="s">
        <v>646</v>
      </c>
      <c r="F153" s="495" t="s">
        <v>999</v>
      </c>
      <c r="G153" s="498"/>
      <c r="I153" s="479">
        <f t="shared" si="18"/>
        <v>1</v>
      </c>
    </row>
    <row r="154" spans="1:12" ht="16.2" thickBot="1">
      <c r="A154" s="2" t="str">
        <f t="shared" si="19"/>
        <v/>
      </c>
      <c r="B154" t="str">
        <f t="shared" si="20"/>
        <v>6</v>
      </c>
      <c r="C154" t="str">
        <f t="shared" si="21"/>
        <v>19 Jun Lun</v>
      </c>
      <c r="D154" s="330" t="s">
        <v>628</v>
      </c>
      <c r="E154" s="495" t="s">
        <v>647</v>
      </c>
      <c r="F154" s="498"/>
      <c r="G154" s="498"/>
      <c r="I154" s="479" t="str">
        <f t="shared" si="18"/>
        <v/>
      </c>
      <c r="L154" s="2">
        <v>157</v>
      </c>
    </row>
    <row r="155" spans="1:12" ht="16.2" thickBot="1">
      <c r="A155" s="2" t="str">
        <f t="shared" si="19"/>
        <v/>
      </c>
      <c r="B155" t="str">
        <f t="shared" si="20"/>
        <v>7</v>
      </c>
      <c r="C155" t="str">
        <f t="shared" si="21"/>
        <v>19 Jun Lun</v>
      </c>
      <c r="D155" s="330" t="s">
        <v>628</v>
      </c>
      <c r="E155" s="495" t="s">
        <v>648</v>
      </c>
      <c r="F155" s="498"/>
      <c r="G155" s="498"/>
      <c r="I155" s="479" t="str">
        <f t="shared" si="18"/>
        <v/>
      </c>
      <c r="L155" s="2">
        <v>166</v>
      </c>
    </row>
    <row r="156" spans="1:12" ht="16.2" thickBot="1">
      <c r="A156" s="2" t="str">
        <f t="shared" si="19"/>
        <v/>
      </c>
      <c r="B156" t="str">
        <f t="shared" si="20"/>
        <v/>
      </c>
      <c r="C156" t="str">
        <f t="shared" si="21"/>
        <v>19 Jun Lun</v>
      </c>
      <c r="D156" s="330" t="s">
        <v>628</v>
      </c>
      <c r="E156" s="494"/>
      <c r="F156" s="499"/>
      <c r="G156" s="499"/>
      <c r="I156" s="479" t="str">
        <f t="shared" si="18"/>
        <v/>
      </c>
      <c r="L156" s="2">
        <v>175</v>
      </c>
    </row>
    <row r="157" spans="1:12" ht="16.2" thickBot="1">
      <c r="A157" s="2">
        <f t="shared" si="19"/>
        <v>157</v>
      </c>
      <c r="B157" t="str">
        <f t="shared" si="20"/>
        <v>*</v>
      </c>
      <c r="C157" t="str">
        <f t="shared" si="21"/>
        <v>20 Jun Mar</v>
      </c>
      <c r="D157" s="330" t="s">
        <v>628</v>
      </c>
      <c r="E157" s="497" t="s">
        <v>1059</v>
      </c>
      <c r="F157" s="495" t="s">
        <v>664</v>
      </c>
      <c r="G157" s="498"/>
      <c r="I157" s="479" t="str">
        <f t="shared" si="18"/>
        <v/>
      </c>
      <c r="L157" s="2">
        <v>184</v>
      </c>
    </row>
    <row r="158" spans="1:12" ht="16.2" thickBot="1">
      <c r="A158" s="2" t="str">
        <f t="shared" si="19"/>
        <v/>
      </c>
      <c r="B158" t="str">
        <f t="shared" si="20"/>
        <v>1</v>
      </c>
      <c r="C158" t="str">
        <f t="shared" si="21"/>
        <v>20 Jun Mar</v>
      </c>
      <c r="D158" s="330" t="s">
        <v>628</v>
      </c>
      <c r="E158" s="495" t="s">
        <v>641</v>
      </c>
      <c r="F158" s="495" t="s">
        <v>1060</v>
      </c>
      <c r="G158" s="498"/>
      <c r="I158" s="479" t="str">
        <f t="shared" si="18"/>
        <v/>
      </c>
      <c r="L158" s="2">
        <v>193</v>
      </c>
    </row>
    <row r="159" spans="1:12" ht="16.2" thickBot="1">
      <c r="A159" s="2" t="str">
        <f t="shared" si="19"/>
        <v/>
      </c>
      <c r="B159" t="str">
        <f t="shared" si="20"/>
        <v>2</v>
      </c>
      <c r="C159" t="str">
        <f t="shared" si="21"/>
        <v>20 Jun Mar</v>
      </c>
      <c r="D159" s="330" t="s">
        <v>628</v>
      </c>
      <c r="E159" s="495" t="s">
        <v>642</v>
      </c>
      <c r="F159" s="495">
        <v>200</v>
      </c>
      <c r="G159" s="498"/>
      <c r="I159" s="479" t="str">
        <f t="shared" si="18"/>
        <v/>
      </c>
      <c r="L159" s="2">
        <v>202</v>
      </c>
    </row>
    <row r="160" spans="1:12" ht="16.2" thickBot="1">
      <c r="A160" s="2" t="str">
        <f t="shared" si="19"/>
        <v/>
      </c>
      <c r="B160" t="str">
        <f t="shared" si="20"/>
        <v>3</v>
      </c>
      <c r="C160" t="str">
        <f t="shared" si="21"/>
        <v>20 Jun Mar</v>
      </c>
      <c r="D160" s="330" t="s">
        <v>628</v>
      </c>
      <c r="E160" s="495" t="s">
        <v>643</v>
      </c>
      <c r="F160" s="495">
        <v>90</v>
      </c>
      <c r="G160" s="495" t="s">
        <v>660</v>
      </c>
      <c r="I160" s="479" t="str">
        <f t="shared" si="18"/>
        <v/>
      </c>
      <c r="L160" s="2" t="s">
        <v>963</v>
      </c>
    </row>
    <row r="161" spans="1:12" ht="16.2" thickBot="1">
      <c r="A161" s="2" t="str">
        <f t="shared" si="19"/>
        <v/>
      </c>
      <c r="B161" t="str">
        <f t="shared" si="20"/>
        <v>4</v>
      </c>
      <c r="C161" t="str">
        <f t="shared" si="21"/>
        <v>20 Jun Mar</v>
      </c>
      <c r="D161" s="330" t="s">
        <v>628</v>
      </c>
      <c r="E161" s="495" t="s">
        <v>645</v>
      </c>
      <c r="F161" s="498"/>
      <c r="G161" s="498"/>
      <c r="I161" s="479" t="str">
        <f t="shared" si="18"/>
        <v/>
      </c>
      <c r="L161" s="2" t="s">
        <v>963</v>
      </c>
    </row>
    <row r="162" spans="1:12" ht="16.2" thickBot="1">
      <c r="A162" s="2" t="str">
        <f t="shared" si="19"/>
        <v/>
      </c>
      <c r="B162" t="str">
        <f t="shared" si="20"/>
        <v>5</v>
      </c>
      <c r="C162" t="str">
        <f t="shared" si="21"/>
        <v>20 Jun Mar</v>
      </c>
      <c r="D162" s="330" t="s">
        <v>628</v>
      </c>
      <c r="E162" s="495" t="s">
        <v>646</v>
      </c>
      <c r="F162" s="495" t="s">
        <v>1061</v>
      </c>
      <c r="G162" s="495" t="s">
        <v>1062</v>
      </c>
      <c r="I162" s="479">
        <f t="shared" si="18"/>
        <v>1</v>
      </c>
      <c r="L162" s="2" t="s">
        <v>963</v>
      </c>
    </row>
    <row r="163" spans="1:12" ht="16.2" thickBot="1">
      <c r="A163" s="2" t="str">
        <f t="shared" si="19"/>
        <v/>
      </c>
      <c r="B163" t="str">
        <f t="shared" si="20"/>
        <v>6</v>
      </c>
      <c r="C163" t="str">
        <f t="shared" si="21"/>
        <v>20 Jun Mar</v>
      </c>
      <c r="D163" s="330" t="s">
        <v>628</v>
      </c>
      <c r="E163" s="495" t="s">
        <v>647</v>
      </c>
      <c r="F163" s="498"/>
      <c r="G163" s="498"/>
      <c r="I163" s="479" t="str">
        <f t="shared" si="18"/>
        <v/>
      </c>
      <c r="L163" s="2" t="s">
        <v>963</v>
      </c>
    </row>
    <row r="164" spans="1:12" ht="16.2" thickBot="1">
      <c r="A164" s="2" t="str">
        <f t="shared" si="19"/>
        <v/>
      </c>
      <c r="B164" t="str">
        <f t="shared" si="20"/>
        <v>7</v>
      </c>
      <c r="C164" t="str">
        <f t="shared" si="21"/>
        <v>20 Jun Mar</v>
      </c>
      <c r="D164" s="330" t="s">
        <v>628</v>
      </c>
      <c r="E164" s="495" t="s">
        <v>648</v>
      </c>
      <c r="F164" s="498"/>
      <c r="G164" s="498"/>
      <c r="I164" s="479" t="str">
        <f t="shared" si="18"/>
        <v/>
      </c>
      <c r="L164" s="2" t="s">
        <v>963</v>
      </c>
    </row>
    <row r="165" spans="1:12" ht="16.2" thickBot="1">
      <c r="A165" s="2" t="str">
        <f t="shared" si="19"/>
        <v/>
      </c>
      <c r="B165" t="str">
        <f t="shared" si="20"/>
        <v/>
      </c>
      <c r="C165" t="str">
        <f t="shared" si="21"/>
        <v>20 Jun Mar</v>
      </c>
      <c r="D165" s="330" t="s">
        <v>628</v>
      </c>
      <c r="E165" s="494"/>
      <c r="F165" s="499"/>
      <c r="G165" s="499"/>
      <c r="I165" s="479" t="str">
        <f t="shared" si="18"/>
        <v/>
      </c>
      <c r="L165" s="2" t="s">
        <v>963</v>
      </c>
    </row>
    <row r="166" spans="1:12" ht="16.2" thickBot="1">
      <c r="A166" s="2">
        <f t="shared" si="19"/>
        <v>166</v>
      </c>
      <c r="B166" t="str">
        <f t="shared" si="20"/>
        <v>*</v>
      </c>
      <c r="C166" t="str">
        <f t="shared" si="21"/>
        <v>21 Jun Mer</v>
      </c>
      <c r="D166" s="330" t="s">
        <v>628</v>
      </c>
      <c r="E166" s="497" t="s">
        <v>1063</v>
      </c>
      <c r="F166" s="495" t="s">
        <v>664</v>
      </c>
      <c r="G166" s="498"/>
      <c r="I166" s="479" t="str">
        <f t="shared" si="18"/>
        <v/>
      </c>
      <c r="L166" s="2" t="s">
        <v>963</v>
      </c>
    </row>
    <row r="167" spans="1:12" ht="16.2" thickBot="1">
      <c r="A167" s="2" t="str">
        <f t="shared" si="19"/>
        <v/>
      </c>
      <c r="B167" t="str">
        <f t="shared" si="20"/>
        <v>1</v>
      </c>
      <c r="C167" t="str">
        <f t="shared" si="21"/>
        <v>21 Jun Mer</v>
      </c>
      <c r="D167" s="330" t="s">
        <v>628</v>
      </c>
      <c r="E167" s="495" t="s">
        <v>641</v>
      </c>
      <c r="F167" s="498"/>
      <c r="G167" s="498"/>
      <c r="I167" s="479" t="str">
        <f t="shared" si="18"/>
        <v/>
      </c>
      <c r="L167" s="2" t="s">
        <v>963</v>
      </c>
    </row>
    <row r="168" spans="1:12" ht="16.2" thickBot="1">
      <c r="A168" s="2" t="str">
        <f t="shared" si="19"/>
        <v/>
      </c>
      <c r="B168" t="str">
        <f t="shared" si="20"/>
        <v>2</v>
      </c>
      <c r="C168" t="str">
        <f t="shared" si="21"/>
        <v>21 Jun Mer</v>
      </c>
      <c r="D168" s="330" t="s">
        <v>628</v>
      </c>
      <c r="E168" s="495" t="s">
        <v>642</v>
      </c>
      <c r="F168" s="495">
        <v>125</v>
      </c>
      <c r="G168" s="495" t="s">
        <v>1064</v>
      </c>
      <c r="I168" s="479" t="str">
        <f t="shared" si="18"/>
        <v/>
      </c>
      <c r="L168" s="2" t="s">
        <v>963</v>
      </c>
    </row>
    <row r="169" spans="1:12" ht="16.2" thickBot="1">
      <c r="A169" s="2" t="str">
        <f t="shared" si="19"/>
        <v/>
      </c>
      <c r="B169" t="str">
        <f t="shared" si="20"/>
        <v>3</v>
      </c>
      <c r="C169" t="str">
        <f t="shared" si="21"/>
        <v>21 Jun Mer</v>
      </c>
      <c r="D169" s="330" t="s">
        <v>628</v>
      </c>
      <c r="E169" s="495" t="s">
        <v>643</v>
      </c>
      <c r="F169" s="498"/>
      <c r="G169" s="498"/>
      <c r="I169" s="479" t="str">
        <f t="shared" si="18"/>
        <v/>
      </c>
      <c r="L169" s="2" t="s">
        <v>963</v>
      </c>
    </row>
    <row r="170" spans="1:12" ht="16.2" thickBot="1">
      <c r="A170" s="2" t="str">
        <f t="shared" si="19"/>
        <v/>
      </c>
      <c r="B170" t="str">
        <f t="shared" si="20"/>
        <v>4</v>
      </c>
      <c r="C170" t="str">
        <f t="shared" si="21"/>
        <v>21 Jun Mer</v>
      </c>
      <c r="D170" s="330" t="s">
        <v>628</v>
      </c>
      <c r="E170" s="495" t="s">
        <v>645</v>
      </c>
      <c r="F170" s="495">
        <v>55</v>
      </c>
      <c r="G170" s="498"/>
      <c r="I170" s="479" t="str">
        <f t="shared" si="18"/>
        <v/>
      </c>
      <c r="L170" s="2" t="s">
        <v>963</v>
      </c>
    </row>
    <row r="171" spans="1:12" ht="16.2" thickBot="1">
      <c r="A171" s="2" t="str">
        <f t="shared" si="19"/>
        <v/>
      </c>
      <c r="B171" t="str">
        <f t="shared" si="20"/>
        <v>5</v>
      </c>
      <c r="C171" t="str">
        <f t="shared" si="21"/>
        <v>21 Jun Mer</v>
      </c>
      <c r="D171" s="330" t="s">
        <v>628</v>
      </c>
      <c r="E171" s="495" t="s">
        <v>646</v>
      </c>
      <c r="F171" s="498"/>
      <c r="G171" s="498"/>
      <c r="I171" s="479" t="str">
        <f t="shared" si="18"/>
        <v/>
      </c>
      <c r="L171" s="2" t="s">
        <v>963</v>
      </c>
    </row>
    <row r="172" spans="1:12" ht="16.2" thickBot="1">
      <c r="A172" s="2" t="str">
        <f t="shared" si="19"/>
        <v/>
      </c>
      <c r="B172" t="str">
        <f t="shared" si="20"/>
        <v>6</v>
      </c>
      <c r="C172" t="str">
        <f t="shared" si="21"/>
        <v>21 Jun Mer</v>
      </c>
      <c r="D172" s="330" t="s">
        <v>628</v>
      </c>
      <c r="E172" s="495" t="s">
        <v>647</v>
      </c>
      <c r="F172" s="495" t="s">
        <v>1065</v>
      </c>
      <c r="G172" s="498"/>
      <c r="I172" s="479" t="str">
        <f t="shared" si="18"/>
        <v/>
      </c>
      <c r="L172" s="2" t="s">
        <v>963</v>
      </c>
    </row>
    <row r="173" spans="1:12" ht="16.2" thickBot="1">
      <c r="A173" s="2" t="str">
        <f t="shared" si="19"/>
        <v/>
      </c>
      <c r="B173" t="str">
        <f t="shared" si="20"/>
        <v>7</v>
      </c>
      <c r="C173" t="str">
        <f t="shared" si="21"/>
        <v>21 Jun Mer</v>
      </c>
      <c r="D173" s="330" t="s">
        <v>628</v>
      </c>
      <c r="E173" s="495" t="s">
        <v>648</v>
      </c>
      <c r="F173" s="495" t="s">
        <v>1066</v>
      </c>
      <c r="G173" s="498"/>
      <c r="I173" s="479" t="str">
        <f t="shared" si="18"/>
        <v/>
      </c>
      <c r="L173" s="2" t="s">
        <v>963</v>
      </c>
    </row>
    <row r="174" spans="1:12" ht="16.2" thickBot="1">
      <c r="A174" s="2" t="str">
        <f t="shared" si="19"/>
        <v/>
      </c>
      <c r="B174" t="str">
        <f t="shared" si="20"/>
        <v>H</v>
      </c>
      <c r="C174" t="str">
        <f t="shared" si="21"/>
        <v>21 Jun Mer</v>
      </c>
      <c r="D174" s="330" t="s">
        <v>628</v>
      </c>
      <c r="E174" s="493" t="s">
        <v>1067</v>
      </c>
      <c r="F174" s="499"/>
      <c r="G174" s="499"/>
      <c r="I174" s="479" t="str">
        <f t="shared" si="18"/>
        <v/>
      </c>
      <c r="L174" s="2" t="s">
        <v>963</v>
      </c>
    </row>
    <row r="175" spans="1:12" ht="16.2" thickBot="1">
      <c r="A175" s="2">
        <f t="shared" si="19"/>
        <v>175</v>
      </c>
      <c r="B175" t="str">
        <f t="shared" si="20"/>
        <v>*</v>
      </c>
      <c r="C175" t="str">
        <f t="shared" si="21"/>
        <v>22 Jun Jeu</v>
      </c>
      <c r="D175" s="330" t="s">
        <v>628</v>
      </c>
      <c r="E175" s="497" t="s">
        <v>1068</v>
      </c>
      <c r="F175" s="495" t="s">
        <v>664</v>
      </c>
      <c r="G175" s="498"/>
      <c r="I175" s="479" t="str">
        <f t="shared" si="18"/>
        <v/>
      </c>
      <c r="L175" s="2" t="s">
        <v>963</v>
      </c>
    </row>
    <row r="176" spans="1:12" ht="16.2" thickBot="1">
      <c r="A176" s="2" t="str">
        <f t="shared" si="19"/>
        <v/>
      </c>
      <c r="B176" t="str">
        <f t="shared" si="20"/>
        <v>1</v>
      </c>
      <c r="C176" t="str">
        <f t="shared" si="21"/>
        <v>22 Jun Jeu</v>
      </c>
      <c r="D176" s="330" t="s">
        <v>628</v>
      </c>
      <c r="E176" s="495" t="s">
        <v>641</v>
      </c>
      <c r="F176" s="498"/>
      <c r="G176" s="498"/>
      <c r="I176" s="479" t="str">
        <f t="shared" si="18"/>
        <v/>
      </c>
      <c r="L176" s="2" t="s">
        <v>963</v>
      </c>
    </row>
    <row r="177" spans="1:12" ht="16.2" thickBot="1">
      <c r="A177" s="2" t="str">
        <f t="shared" si="19"/>
        <v/>
      </c>
      <c r="B177" t="str">
        <f t="shared" si="20"/>
        <v>2</v>
      </c>
      <c r="C177" t="str">
        <f t="shared" si="21"/>
        <v>22 Jun Jeu</v>
      </c>
      <c r="D177" s="330" t="s">
        <v>628</v>
      </c>
      <c r="E177" s="495" t="s">
        <v>642</v>
      </c>
      <c r="F177" s="495">
        <v>125</v>
      </c>
      <c r="G177" s="498"/>
      <c r="I177" s="479" t="str">
        <f t="shared" si="18"/>
        <v/>
      </c>
      <c r="L177" s="2" t="s">
        <v>963</v>
      </c>
    </row>
    <row r="178" spans="1:12" ht="16.2" thickBot="1">
      <c r="A178" s="2" t="str">
        <f t="shared" si="19"/>
        <v/>
      </c>
      <c r="B178" t="str">
        <f t="shared" si="20"/>
        <v>3</v>
      </c>
      <c r="C178" t="str">
        <f t="shared" si="21"/>
        <v>22 Jun Jeu</v>
      </c>
      <c r="D178" s="330" t="s">
        <v>628</v>
      </c>
      <c r="E178" s="495" t="s">
        <v>643</v>
      </c>
      <c r="F178" s="498"/>
      <c r="G178" s="498"/>
      <c r="I178" s="479" t="str">
        <f t="shared" si="18"/>
        <v/>
      </c>
      <c r="L178" s="2" t="s">
        <v>963</v>
      </c>
    </row>
    <row r="179" spans="1:12" ht="16.2" thickBot="1">
      <c r="A179" s="2" t="str">
        <f t="shared" si="19"/>
        <v/>
      </c>
      <c r="B179" t="str">
        <f t="shared" si="20"/>
        <v>4</v>
      </c>
      <c r="C179" t="str">
        <f t="shared" si="21"/>
        <v>22 Jun Jeu</v>
      </c>
      <c r="D179" s="330" t="s">
        <v>628</v>
      </c>
      <c r="E179" s="495" t="s">
        <v>645</v>
      </c>
      <c r="F179" s="495">
        <v>55</v>
      </c>
      <c r="G179" s="498"/>
      <c r="I179" s="479" t="str">
        <f t="shared" si="18"/>
        <v/>
      </c>
      <c r="L179" s="2" t="s">
        <v>963</v>
      </c>
    </row>
    <row r="180" spans="1:12" ht="16.2" thickBot="1">
      <c r="A180" s="2" t="str">
        <f t="shared" si="19"/>
        <v/>
      </c>
      <c r="B180" t="str">
        <f t="shared" si="20"/>
        <v>5</v>
      </c>
      <c r="C180" t="str">
        <f t="shared" si="21"/>
        <v>22 Jun Jeu</v>
      </c>
      <c r="D180" s="330" t="s">
        <v>628</v>
      </c>
      <c r="E180" s="495" t="s">
        <v>646</v>
      </c>
      <c r="F180" s="495" t="s">
        <v>999</v>
      </c>
      <c r="G180" s="498"/>
      <c r="I180" s="479">
        <f t="shared" si="18"/>
        <v>1</v>
      </c>
      <c r="L180" s="2" t="s">
        <v>963</v>
      </c>
    </row>
    <row r="181" spans="1:12" ht="16.2" thickBot="1">
      <c r="A181" s="2" t="str">
        <f t="shared" si="19"/>
        <v/>
      </c>
      <c r="B181" t="str">
        <f t="shared" si="20"/>
        <v>6</v>
      </c>
      <c r="C181" t="str">
        <f t="shared" si="21"/>
        <v>22 Jun Jeu</v>
      </c>
      <c r="D181" s="330" t="s">
        <v>628</v>
      </c>
      <c r="E181" s="495" t="s">
        <v>647</v>
      </c>
      <c r="F181" s="498"/>
      <c r="G181" s="498"/>
      <c r="I181" s="479" t="str">
        <f t="shared" si="18"/>
        <v/>
      </c>
      <c r="L181" s="2" t="s">
        <v>963</v>
      </c>
    </row>
    <row r="182" spans="1:12" ht="16.2" thickBot="1">
      <c r="A182" s="2" t="str">
        <f t="shared" si="19"/>
        <v/>
      </c>
      <c r="B182" t="str">
        <f t="shared" si="20"/>
        <v>7</v>
      </c>
      <c r="C182" t="str">
        <f t="shared" si="21"/>
        <v>22 Jun Jeu</v>
      </c>
      <c r="D182" s="330" t="s">
        <v>628</v>
      </c>
      <c r="E182" s="495" t="s">
        <v>648</v>
      </c>
      <c r="F182" s="498"/>
      <c r="G182" s="498"/>
      <c r="I182" s="479" t="str">
        <f t="shared" si="18"/>
        <v/>
      </c>
      <c r="L182" s="2" t="s">
        <v>963</v>
      </c>
    </row>
    <row r="183" spans="1:12" ht="16.2" thickBot="1">
      <c r="A183" s="2" t="str">
        <f t="shared" si="19"/>
        <v/>
      </c>
      <c r="B183" t="str">
        <f t="shared" si="20"/>
        <v/>
      </c>
      <c r="C183" t="str">
        <f t="shared" si="21"/>
        <v>22 Jun Jeu</v>
      </c>
      <c r="D183" s="330" t="s">
        <v>628</v>
      </c>
      <c r="E183" s="496"/>
      <c r="F183" s="499"/>
      <c r="G183" s="499"/>
      <c r="I183" s="479" t="str">
        <f t="shared" si="18"/>
        <v/>
      </c>
      <c r="L183" s="2" t="s">
        <v>963</v>
      </c>
    </row>
    <row r="184" spans="1:12" ht="16.2" thickBot="1">
      <c r="A184" s="2">
        <f t="shared" si="19"/>
        <v>184</v>
      </c>
      <c r="B184" t="str">
        <f t="shared" si="20"/>
        <v>*</v>
      </c>
      <c r="C184" t="str">
        <f t="shared" si="21"/>
        <v>23 Jun Ven</v>
      </c>
      <c r="D184" s="330" t="s">
        <v>628</v>
      </c>
      <c r="E184" s="497" t="s">
        <v>1069</v>
      </c>
      <c r="F184" s="495" t="s">
        <v>664</v>
      </c>
      <c r="G184" s="498"/>
      <c r="I184" s="479" t="str">
        <f t="shared" si="18"/>
        <v/>
      </c>
      <c r="L184" s="2" t="s">
        <v>963</v>
      </c>
    </row>
    <row r="185" spans="1:12" ht="16.2" thickBot="1">
      <c r="A185" s="2" t="str">
        <f t="shared" si="19"/>
        <v/>
      </c>
      <c r="B185" t="str">
        <f t="shared" si="20"/>
        <v>1</v>
      </c>
      <c r="C185" t="str">
        <f t="shared" si="21"/>
        <v>23 Jun Ven</v>
      </c>
      <c r="D185" s="330" t="s">
        <v>628</v>
      </c>
      <c r="E185" s="495" t="s">
        <v>641</v>
      </c>
      <c r="F185" s="495">
        <v>150</v>
      </c>
      <c r="G185" s="498"/>
      <c r="I185" s="479" t="str">
        <f t="shared" si="18"/>
        <v/>
      </c>
      <c r="L185" s="2" t="s">
        <v>963</v>
      </c>
    </row>
    <row r="186" spans="1:12" ht="16.2" thickBot="1">
      <c r="A186" s="2" t="str">
        <f t="shared" si="19"/>
        <v/>
      </c>
      <c r="B186" t="str">
        <f t="shared" si="20"/>
        <v>2</v>
      </c>
      <c r="C186" t="str">
        <f t="shared" si="21"/>
        <v>23 Jun Ven</v>
      </c>
      <c r="D186" s="330" t="s">
        <v>628</v>
      </c>
      <c r="E186" s="495" t="s">
        <v>642</v>
      </c>
      <c r="F186" s="495">
        <v>220</v>
      </c>
      <c r="G186" s="498"/>
      <c r="I186" s="479" t="str">
        <f t="shared" si="18"/>
        <v/>
      </c>
      <c r="L186" s="2" t="s">
        <v>963</v>
      </c>
    </row>
    <row r="187" spans="1:12" ht="16.2" thickBot="1">
      <c r="A187" s="2" t="str">
        <f t="shared" si="19"/>
        <v/>
      </c>
      <c r="B187" t="str">
        <f t="shared" si="20"/>
        <v>3</v>
      </c>
      <c r="C187" t="str">
        <f t="shared" si="21"/>
        <v>23 Jun Ven</v>
      </c>
      <c r="D187" s="330" t="s">
        <v>628</v>
      </c>
      <c r="E187" s="495" t="s">
        <v>643</v>
      </c>
      <c r="F187" s="495">
        <v>320</v>
      </c>
      <c r="G187" s="495" t="s">
        <v>1070</v>
      </c>
      <c r="I187" s="479" t="str">
        <f t="shared" si="18"/>
        <v/>
      </c>
      <c r="L187" s="2" t="s">
        <v>963</v>
      </c>
    </row>
    <row r="188" spans="1:12" ht="16.2" thickBot="1">
      <c r="A188" s="2" t="str">
        <f t="shared" si="19"/>
        <v/>
      </c>
      <c r="B188" t="str">
        <f t="shared" si="20"/>
        <v>4</v>
      </c>
      <c r="C188" t="str">
        <f t="shared" si="21"/>
        <v>23 Jun Ven</v>
      </c>
      <c r="D188" s="330" t="s">
        <v>628</v>
      </c>
      <c r="E188" s="495" t="s">
        <v>645</v>
      </c>
      <c r="F188" s="498"/>
      <c r="G188" s="498"/>
      <c r="I188" s="479" t="str">
        <f t="shared" si="18"/>
        <v/>
      </c>
      <c r="L188" s="2" t="s">
        <v>963</v>
      </c>
    </row>
    <row r="189" spans="1:12" ht="16.2" thickBot="1">
      <c r="A189" s="2" t="str">
        <f t="shared" si="19"/>
        <v/>
      </c>
      <c r="B189" t="str">
        <f t="shared" si="20"/>
        <v>5</v>
      </c>
      <c r="C189" t="str">
        <f t="shared" si="21"/>
        <v>23 Jun Ven</v>
      </c>
      <c r="D189" s="330" t="s">
        <v>628</v>
      </c>
      <c r="E189" s="495" t="s">
        <v>646</v>
      </c>
      <c r="F189" s="495" t="s">
        <v>999</v>
      </c>
      <c r="G189" s="498"/>
      <c r="I189" s="479">
        <f t="shared" si="18"/>
        <v>1</v>
      </c>
      <c r="L189" s="2" t="s">
        <v>963</v>
      </c>
    </row>
    <row r="190" spans="1:12" ht="16.2" thickBot="1">
      <c r="A190" s="2" t="str">
        <f t="shared" si="19"/>
        <v/>
      </c>
      <c r="B190" t="str">
        <f t="shared" si="20"/>
        <v>6</v>
      </c>
      <c r="C190" t="str">
        <f t="shared" si="21"/>
        <v>23 Jun Ven</v>
      </c>
      <c r="D190" s="330" t="s">
        <v>628</v>
      </c>
      <c r="E190" s="495" t="s">
        <v>647</v>
      </c>
      <c r="F190" s="498"/>
      <c r="G190" s="498"/>
      <c r="I190" s="479" t="str">
        <f t="shared" si="18"/>
        <v/>
      </c>
      <c r="L190" s="2" t="s">
        <v>963</v>
      </c>
    </row>
    <row r="191" spans="1:12" ht="16.2" thickBot="1">
      <c r="A191" s="2" t="str">
        <f t="shared" si="19"/>
        <v/>
      </c>
      <c r="B191" t="str">
        <f t="shared" si="20"/>
        <v>7</v>
      </c>
      <c r="C191" t="str">
        <f t="shared" si="21"/>
        <v>23 Jun Ven</v>
      </c>
      <c r="D191" s="330" t="s">
        <v>628</v>
      </c>
      <c r="E191" s="495" t="s">
        <v>648</v>
      </c>
      <c r="F191" s="498"/>
      <c r="G191" s="498"/>
      <c r="I191" s="479" t="str">
        <f t="shared" si="18"/>
        <v/>
      </c>
      <c r="L191" s="2" t="s">
        <v>963</v>
      </c>
    </row>
    <row r="192" spans="1:12" ht="16.2" thickBot="1">
      <c r="A192" s="2" t="str">
        <f t="shared" si="19"/>
        <v/>
      </c>
      <c r="B192" t="str">
        <f t="shared" si="20"/>
        <v>R</v>
      </c>
      <c r="C192" t="str">
        <f t="shared" si="21"/>
        <v>23 Jun Ven</v>
      </c>
      <c r="D192" s="330" t="s">
        <v>628</v>
      </c>
      <c r="E192" s="493" t="s">
        <v>1071</v>
      </c>
      <c r="F192" s="499"/>
      <c r="G192" s="499"/>
      <c r="I192" s="479" t="str">
        <f t="shared" si="18"/>
        <v/>
      </c>
      <c r="L192" s="2" t="s">
        <v>963</v>
      </c>
    </row>
    <row r="193" spans="1:12" ht="16.2" thickBot="1">
      <c r="A193" s="2">
        <f t="shared" si="19"/>
        <v>193</v>
      </c>
      <c r="B193" t="str">
        <f t="shared" si="20"/>
        <v>*</v>
      </c>
      <c r="C193" t="str">
        <f t="shared" si="21"/>
        <v>24 Jun Sam</v>
      </c>
      <c r="D193" s="330" t="s">
        <v>628</v>
      </c>
      <c r="E193" s="497" t="s">
        <v>1072</v>
      </c>
      <c r="F193" s="495" t="s">
        <v>664</v>
      </c>
      <c r="G193" s="498"/>
      <c r="I193" s="479" t="str">
        <f t="shared" si="18"/>
        <v/>
      </c>
      <c r="L193" s="2" t="s">
        <v>963</v>
      </c>
    </row>
    <row r="194" spans="1:12" ht="16.2" thickBot="1">
      <c r="A194" s="2" t="str">
        <f t="shared" si="19"/>
        <v/>
      </c>
      <c r="B194" t="str">
        <f t="shared" si="20"/>
        <v>1</v>
      </c>
      <c r="C194" t="str">
        <f t="shared" si="21"/>
        <v>24 Jun Sam</v>
      </c>
      <c r="D194" s="330" t="s">
        <v>628</v>
      </c>
      <c r="E194" s="495" t="s">
        <v>641</v>
      </c>
      <c r="F194" s="498"/>
      <c r="G194" s="498"/>
      <c r="I194" s="479" t="str">
        <f t="shared" si="18"/>
        <v/>
      </c>
      <c r="L194" s="2" t="s">
        <v>963</v>
      </c>
    </row>
    <row r="195" spans="1:12" ht="16.2" thickBot="1">
      <c r="A195" s="2" t="str">
        <f t="shared" si="19"/>
        <v/>
      </c>
      <c r="B195" t="str">
        <f t="shared" si="20"/>
        <v>2</v>
      </c>
      <c r="C195" t="str">
        <f t="shared" si="21"/>
        <v>24 Jun Sam</v>
      </c>
      <c r="D195" s="330" t="s">
        <v>628</v>
      </c>
      <c r="E195" s="495" t="s">
        <v>642</v>
      </c>
      <c r="F195" s="495">
        <v>300</v>
      </c>
      <c r="G195" s="495" t="s">
        <v>1073</v>
      </c>
      <c r="I195" s="479" t="str">
        <f t="shared" si="18"/>
        <v/>
      </c>
      <c r="L195" s="2" t="s">
        <v>963</v>
      </c>
    </row>
    <row r="196" spans="1:12" ht="16.2" thickBot="1">
      <c r="A196" s="2" t="str">
        <f t="shared" si="19"/>
        <v/>
      </c>
      <c r="B196" t="str">
        <f t="shared" si="20"/>
        <v>3</v>
      </c>
      <c r="C196" t="str">
        <f t="shared" si="21"/>
        <v>24 Jun Sam</v>
      </c>
      <c r="D196" s="330" t="s">
        <v>628</v>
      </c>
      <c r="E196" s="495" t="s">
        <v>643</v>
      </c>
      <c r="F196" s="495">
        <v>125</v>
      </c>
      <c r="G196" s="495" t="s">
        <v>975</v>
      </c>
      <c r="I196" s="479" t="str">
        <f t="shared" si="18"/>
        <v/>
      </c>
      <c r="L196" s="2" t="s">
        <v>963</v>
      </c>
    </row>
    <row r="197" spans="1:12" ht="16.2" thickBot="1">
      <c r="A197" s="2" t="str">
        <f t="shared" si="19"/>
        <v/>
      </c>
      <c r="B197" t="str">
        <f t="shared" si="20"/>
        <v>4</v>
      </c>
      <c r="C197" t="str">
        <f t="shared" si="21"/>
        <v>24 Jun Sam</v>
      </c>
      <c r="D197" s="330" t="s">
        <v>628</v>
      </c>
      <c r="E197" s="495" t="s">
        <v>645</v>
      </c>
      <c r="F197" s="495">
        <v>25</v>
      </c>
      <c r="G197" s="498"/>
      <c r="I197" s="479" t="str">
        <f t="shared" si="18"/>
        <v/>
      </c>
      <c r="L197" s="2" t="s">
        <v>963</v>
      </c>
    </row>
    <row r="198" spans="1:12" ht="16.2" thickBot="1">
      <c r="A198" s="2" t="str">
        <f t="shared" si="19"/>
        <v/>
      </c>
      <c r="B198" t="str">
        <f t="shared" si="20"/>
        <v>5</v>
      </c>
      <c r="C198" t="str">
        <f t="shared" si="21"/>
        <v>24 Jun Sam</v>
      </c>
      <c r="D198" s="330" t="s">
        <v>628</v>
      </c>
      <c r="E198" s="495" t="s">
        <v>646</v>
      </c>
      <c r="F198" s="495" t="s">
        <v>999</v>
      </c>
      <c r="G198" s="498"/>
      <c r="I198" s="479">
        <f t="shared" si="18"/>
        <v>1</v>
      </c>
      <c r="L198" s="2" t="s">
        <v>963</v>
      </c>
    </row>
    <row r="199" spans="1:12" ht="16.2" thickBot="1">
      <c r="A199" s="2" t="str">
        <f t="shared" si="19"/>
        <v/>
      </c>
      <c r="B199" t="str">
        <f t="shared" si="20"/>
        <v>6</v>
      </c>
      <c r="C199" t="str">
        <f t="shared" si="21"/>
        <v>24 Jun Sam</v>
      </c>
      <c r="D199" s="330" t="s">
        <v>628</v>
      </c>
      <c r="E199" s="495" t="s">
        <v>647</v>
      </c>
      <c r="F199" s="498"/>
      <c r="G199" s="498"/>
      <c r="I199" s="479" t="str">
        <f t="shared" si="18"/>
        <v/>
      </c>
      <c r="L199" s="2" t="s">
        <v>963</v>
      </c>
    </row>
    <row r="200" spans="1:12" ht="16.2" thickBot="1">
      <c r="A200" s="2" t="str">
        <f t="shared" si="19"/>
        <v/>
      </c>
      <c r="B200" t="str">
        <f t="shared" si="20"/>
        <v>7</v>
      </c>
      <c r="C200" t="str">
        <f t="shared" si="21"/>
        <v>24 Jun Sam</v>
      </c>
      <c r="D200" s="330" t="s">
        <v>628</v>
      </c>
      <c r="E200" s="495" t="s">
        <v>648</v>
      </c>
      <c r="F200" s="498"/>
      <c r="G200" s="498"/>
      <c r="I200" s="479" t="str">
        <f t="shared" ref="I200:I263" si="22">IFERROR(IF(VALUE(B200)=5,FIND($I$4,F200,1),""),"")</f>
        <v/>
      </c>
      <c r="L200" s="2" t="s">
        <v>963</v>
      </c>
    </row>
    <row r="201" spans="1:12" ht="16.2" thickBot="1">
      <c r="A201" s="2" t="str">
        <f t="shared" si="19"/>
        <v/>
      </c>
      <c r="B201" t="str">
        <f t="shared" si="20"/>
        <v/>
      </c>
      <c r="C201" t="str">
        <f t="shared" si="21"/>
        <v>24 Jun Sam</v>
      </c>
      <c r="D201" s="330" t="s">
        <v>628</v>
      </c>
      <c r="E201" s="494"/>
      <c r="F201" s="499"/>
      <c r="G201" s="499"/>
      <c r="I201" s="479" t="str">
        <f t="shared" si="22"/>
        <v/>
      </c>
      <c r="L201" s="2" t="s">
        <v>963</v>
      </c>
    </row>
    <row r="202" spans="1:12" ht="16.2" thickBot="1">
      <c r="A202" s="2">
        <f t="shared" si="19"/>
        <v>202</v>
      </c>
      <c r="B202" t="str">
        <f t="shared" si="20"/>
        <v>*</v>
      </c>
      <c r="C202" t="str">
        <f t="shared" si="21"/>
        <v>25 Jun Dim</v>
      </c>
      <c r="D202" s="330" t="s">
        <v>628</v>
      </c>
      <c r="E202" s="497" t="s">
        <v>1074</v>
      </c>
      <c r="F202" s="495" t="s">
        <v>664</v>
      </c>
      <c r="G202" s="498"/>
      <c r="I202" s="479" t="str">
        <f t="shared" si="22"/>
        <v/>
      </c>
      <c r="L202" s="2" t="s">
        <v>963</v>
      </c>
    </row>
    <row r="203" spans="1:12" ht="16.2" thickBot="1">
      <c r="A203" s="2" t="str">
        <f t="shared" si="19"/>
        <v/>
      </c>
      <c r="B203" t="str">
        <f t="shared" si="20"/>
        <v>1</v>
      </c>
      <c r="C203" t="str">
        <f t="shared" si="21"/>
        <v>25 Jun Dim</v>
      </c>
      <c r="D203" s="330" t="s">
        <v>628</v>
      </c>
      <c r="E203" s="495" t="s">
        <v>641</v>
      </c>
      <c r="F203" s="498"/>
      <c r="G203" s="498"/>
      <c r="I203" s="479" t="str">
        <f t="shared" si="22"/>
        <v/>
      </c>
      <c r="L203" s="2" t="s">
        <v>963</v>
      </c>
    </row>
    <row r="204" spans="1:12" ht="30.6" thickBot="1">
      <c r="A204" s="2" t="str">
        <f t="shared" ref="A204:A235" si="23">IF(B204="*",ROW(),"")</f>
        <v/>
      </c>
      <c r="B204" t="str">
        <f t="shared" ref="B204:B235" si="24">LEFT(E204,1)</f>
        <v>2</v>
      </c>
      <c r="C204" t="str">
        <f t="shared" ref="C204:C235" si="25">IF(B204="*",RIGHT(E204,10),C203)</f>
        <v>25 Jun Dim</v>
      </c>
      <c r="D204" s="330" t="s">
        <v>628</v>
      </c>
      <c r="E204" s="495" t="s">
        <v>642</v>
      </c>
      <c r="F204" s="495" t="s">
        <v>1075</v>
      </c>
      <c r="G204" s="495" t="s">
        <v>1076</v>
      </c>
      <c r="I204" s="479" t="str">
        <f t="shared" si="22"/>
        <v/>
      </c>
      <c r="L204" s="2" t="s">
        <v>963</v>
      </c>
    </row>
    <row r="205" spans="1:12" ht="16.2" thickBot="1">
      <c r="A205" s="2" t="str">
        <f t="shared" si="23"/>
        <v/>
      </c>
      <c r="B205" t="str">
        <f t="shared" si="24"/>
        <v>3</v>
      </c>
      <c r="C205" t="str">
        <f t="shared" si="25"/>
        <v>25 Jun Dim</v>
      </c>
      <c r="D205" s="330" t="s">
        <v>628</v>
      </c>
      <c r="E205" s="495" t="s">
        <v>643</v>
      </c>
      <c r="F205" s="495">
        <v>150</v>
      </c>
      <c r="G205" s="495" t="s">
        <v>651</v>
      </c>
      <c r="I205" s="479" t="str">
        <f t="shared" si="22"/>
        <v/>
      </c>
      <c r="L205" s="2" t="s">
        <v>963</v>
      </c>
    </row>
    <row r="206" spans="1:12" ht="16.2" thickBot="1">
      <c r="A206" s="2" t="str">
        <f t="shared" si="23"/>
        <v/>
      </c>
      <c r="B206" t="str">
        <f t="shared" si="24"/>
        <v>4</v>
      </c>
      <c r="C206" t="str">
        <f t="shared" si="25"/>
        <v>25 Jun Dim</v>
      </c>
      <c r="D206" s="330" t="s">
        <v>628</v>
      </c>
      <c r="E206" s="495" t="s">
        <v>645</v>
      </c>
      <c r="F206" s="495">
        <v>40</v>
      </c>
      <c r="G206" s="498"/>
      <c r="I206" s="479" t="str">
        <f t="shared" si="22"/>
        <v/>
      </c>
      <c r="L206" s="2" t="s">
        <v>963</v>
      </c>
    </row>
    <row r="207" spans="1:12" ht="16.2" thickBot="1">
      <c r="A207" s="2" t="str">
        <f t="shared" si="23"/>
        <v/>
      </c>
      <c r="B207" t="str">
        <f t="shared" si="24"/>
        <v>5</v>
      </c>
      <c r="C207" t="str">
        <f t="shared" si="25"/>
        <v>25 Jun Dim</v>
      </c>
      <c r="D207" s="330" t="s">
        <v>628</v>
      </c>
      <c r="E207" s="495" t="s">
        <v>646</v>
      </c>
      <c r="F207" s="495" t="s">
        <v>1077</v>
      </c>
      <c r="G207" s="495" t="s">
        <v>1078</v>
      </c>
      <c r="I207" s="479" t="str">
        <f t="shared" si="22"/>
        <v/>
      </c>
    </row>
    <row r="208" spans="1:12" ht="16.2" thickBot="1">
      <c r="A208" s="2" t="str">
        <f t="shared" si="23"/>
        <v/>
      </c>
      <c r="B208" t="str">
        <f t="shared" si="24"/>
        <v>6</v>
      </c>
      <c r="C208" t="str">
        <f t="shared" si="25"/>
        <v>25 Jun Dim</v>
      </c>
      <c r="D208" s="330" t="s">
        <v>628</v>
      </c>
      <c r="E208" s="495" t="s">
        <v>647</v>
      </c>
      <c r="F208" s="495" t="s">
        <v>1079</v>
      </c>
      <c r="G208" s="498"/>
      <c r="I208" s="479" t="str">
        <f t="shared" si="22"/>
        <v/>
      </c>
    </row>
    <row r="209" spans="1:12" ht="16.2" thickBot="1">
      <c r="A209" s="2" t="str">
        <f t="shared" si="23"/>
        <v/>
      </c>
      <c r="B209" t="str">
        <f t="shared" si="24"/>
        <v>7</v>
      </c>
      <c r="C209" t="str">
        <f t="shared" si="25"/>
        <v>25 Jun Dim</v>
      </c>
      <c r="D209" s="330" t="s">
        <v>628</v>
      </c>
      <c r="E209" s="495" t="s">
        <v>648</v>
      </c>
      <c r="F209" s="498"/>
      <c r="G209" s="498"/>
      <c r="I209" s="479" t="str">
        <f t="shared" si="22"/>
        <v/>
      </c>
    </row>
    <row r="210" spans="1:12" ht="16.2" thickBot="1">
      <c r="A210" s="2" t="str">
        <f t="shared" si="23"/>
        <v/>
      </c>
      <c r="B210" t="str">
        <f t="shared" si="24"/>
        <v/>
      </c>
      <c r="C210" t="str">
        <f t="shared" si="25"/>
        <v>25 Jun Dim</v>
      </c>
      <c r="D210" s="330" t="s">
        <v>628</v>
      </c>
      <c r="I210" s="479" t="str">
        <f t="shared" si="22"/>
        <v/>
      </c>
    </row>
    <row r="211" spans="1:12" ht="16.2" thickBot="1">
      <c r="A211" s="2">
        <f t="shared" si="23"/>
        <v>211</v>
      </c>
      <c r="B211" t="str">
        <f t="shared" si="24"/>
        <v>*</v>
      </c>
      <c r="C211" t="str">
        <f t="shared" si="25"/>
        <v>26 Jun Lun</v>
      </c>
      <c r="D211" s="330" t="s">
        <v>628</v>
      </c>
      <c r="E211" s="497" t="s">
        <v>1082</v>
      </c>
      <c r="F211" s="495" t="s">
        <v>664</v>
      </c>
      <c r="G211" s="498"/>
      <c r="I211" s="479" t="str">
        <f t="shared" si="22"/>
        <v/>
      </c>
    </row>
    <row r="212" spans="1:12" ht="16.2" thickBot="1">
      <c r="A212" s="2" t="str">
        <f t="shared" si="23"/>
        <v/>
      </c>
      <c r="B212" t="str">
        <f t="shared" si="24"/>
        <v>1</v>
      </c>
      <c r="C212" t="str">
        <f t="shared" si="25"/>
        <v>26 Jun Lun</v>
      </c>
      <c r="D212" s="330" t="s">
        <v>628</v>
      </c>
      <c r="E212" s="495" t="s">
        <v>641</v>
      </c>
      <c r="F212" s="495">
        <v>30</v>
      </c>
      <c r="G212" s="498"/>
      <c r="I212" s="479" t="str">
        <f t="shared" si="22"/>
        <v/>
      </c>
    </row>
    <row r="213" spans="1:12" ht="16.2" thickBot="1">
      <c r="A213" s="2" t="str">
        <f t="shared" si="23"/>
        <v/>
      </c>
      <c r="B213" t="str">
        <f t="shared" si="24"/>
        <v>2</v>
      </c>
      <c r="C213" t="str">
        <f t="shared" si="25"/>
        <v>26 Jun Lun</v>
      </c>
      <c r="D213" s="330" t="s">
        <v>628</v>
      </c>
      <c r="E213" s="495" t="s">
        <v>642</v>
      </c>
      <c r="F213" s="495">
        <v>265</v>
      </c>
      <c r="G213" s="498"/>
      <c r="I213" s="479" t="str">
        <f t="shared" si="22"/>
        <v/>
      </c>
    </row>
    <row r="214" spans="1:12" ht="16.2" thickBot="1">
      <c r="A214" s="2" t="str">
        <f t="shared" si="23"/>
        <v/>
      </c>
      <c r="B214" t="str">
        <f t="shared" si="24"/>
        <v>3</v>
      </c>
      <c r="C214" t="str">
        <f t="shared" si="25"/>
        <v>26 Jun Lun</v>
      </c>
      <c r="D214" s="330" t="s">
        <v>628</v>
      </c>
      <c r="E214" s="495" t="s">
        <v>643</v>
      </c>
      <c r="F214" s="495">
        <v>180</v>
      </c>
      <c r="G214" s="498"/>
      <c r="I214" s="479" t="str">
        <f t="shared" si="22"/>
        <v/>
      </c>
    </row>
    <row r="215" spans="1:12" ht="16.2" thickBot="1">
      <c r="A215" s="2" t="str">
        <f t="shared" si="23"/>
        <v/>
      </c>
      <c r="B215" t="str">
        <f t="shared" si="24"/>
        <v>4</v>
      </c>
      <c r="C215" t="str">
        <f t="shared" si="25"/>
        <v>26 Jun Lun</v>
      </c>
      <c r="D215" s="330" t="s">
        <v>628</v>
      </c>
      <c r="E215" s="495" t="s">
        <v>645</v>
      </c>
      <c r="F215" s="495" t="s">
        <v>1083</v>
      </c>
      <c r="G215" s="498"/>
      <c r="I215" s="479" t="str">
        <f t="shared" si="22"/>
        <v/>
      </c>
    </row>
    <row r="216" spans="1:12" ht="16.2" thickBot="1">
      <c r="A216" s="2" t="str">
        <f t="shared" si="23"/>
        <v/>
      </c>
      <c r="B216" t="str">
        <f t="shared" si="24"/>
        <v>5</v>
      </c>
      <c r="C216" t="str">
        <f t="shared" si="25"/>
        <v>26 Jun Lun</v>
      </c>
      <c r="D216" s="330" t="s">
        <v>628</v>
      </c>
      <c r="E216" s="495" t="s">
        <v>646</v>
      </c>
      <c r="F216" s="495" t="s">
        <v>999</v>
      </c>
      <c r="G216" s="498"/>
      <c r="I216" s="479">
        <f t="shared" si="22"/>
        <v>1</v>
      </c>
    </row>
    <row r="217" spans="1:12" ht="16.2" thickBot="1">
      <c r="A217" s="2" t="str">
        <f t="shared" si="23"/>
        <v/>
      </c>
      <c r="B217" t="str">
        <f t="shared" si="24"/>
        <v>6</v>
      </c>
      <c r="C217" t="str">
        <f t="shared" si="25"/>
        <v>26 Jun Lun</v>
      </c>
      <c r="D217" s="330" t="s">
        <v>628</v>
      </c>
      <c r="E217" s="495" t="s">
        <v>647</v>
      </c>
      <c r="F217" s="495">
        <v>100</v>
      </c>
      <c r="G217" s="495" t="s">
        <v>1084</v>
      </c>
      <c r="I217" s="479" t="str">
        <f t="shared" si="22"/>
        <v/>
      </c>
    </row>
    <row r="218" spans="1:12" ht="16.2" thickBot="1">
      <c r="A218" s="2" t="str">
        <f t="shared" si="23"/>
        <v/>
      </c>
      <c r="B218" t="str">
        <f t="shared" si="24"/>
        <v>7</v>
      </c>
      <c r="C218" t="str">
        <f t="shared" si="25"/>
        <v>26 Jun Lun</v>
      </c>
      <c r="D218" s="330" t="s">
        <v>628</v>
      </c>
      <c r="E218" s="495" t="s">
        <v>648</v>
      </c>
      <c r="F218" s="498"/>
      <c r="G218" s="498"/>
      <c r="I218" s="479" t="str">
        <f t="shared" si="22"/>
        <v/>
      </c>
    </row>
    <row r="219" spans="1:12" ht="16.2" thickBot="1">
      <c r="A219" s="2" t="str">
        <f t="shared" si="23"/>
        <v/>
      </c>
      <c r="B219" t="str">
        <f t="shared" si="24"/>
        <v>7</v>
      </c>
      <c r="C219" t="str">
        <f t="shared" si="25"/>
        <v>26 Jun Lun</v>
      </c>
      <c r="D219" s="330" t="s">
        <v>628</v>
      </c>
      <c r="E219" s="493" t="s">
        <v>1085</v>
      </c>
      <c r="F219" s="499"/>
      <c r="G219" s="499"/>
      <c r="I219" s="479" t="str">
        <f t="shared" si="22"/>
        <v/>
      </c>
    </row>
    <row r="220" spans="1:12" ht="16.2" thickBot="1">
      <c r="A220" s="2">
        <f t="shared" si="23"/>
        <v>220</v>
      </c>
      <c r="B220" t="str">
        <f t="shared" si="24"/>
        <v>*</v>
      </c>
      <c r="C220" t="str">
        <f t="shared" si="25"/>
        <v>27 Jun Mar</v>
      </c>
      <c r="D220" s="330" t="s">
        <v>628</v>
      </c>
      <c r="E220" s="497" t="s">
        <v>1086</v>
      </c>
      <c r="F220" s="495" t="s">
        <v>664</v>
      </c>
      <c r="G220" s="498"/>
      <c r="I220" s="479" t="str">
        <f t="shared" si="22"/>
        <v/>
      </c>
    </row>
    <row r="221" spans="1:12" ht="16.2" thickBot="1">
      <c r="A221" s="2" t="str">
        <f t="shared" si="23"/>
        <v/>
      </c>
      <c r="B221" t="str">
        <f t="shared" si="24"/>
        <v>1</v>
      </c>
      <c r="C221" t="str">
        <f t="shared" si="25"/>
        <v>27 Jun Mar</v>
      </c>
      <c r="D221" s="330" t="s">
        <v>628</v>
      </c>
      <c r="E221" s="495" t="s">
        <v>641</v>
      </c>
      <c r="F221" s="498"/>
      <c r="G221" s="498"/>
      <c r="I221" s="479" t="str">
        <f t="shared" si="22"/>
        <v/>
      </c>
    </row>
    <row r="222" spans="1:12" ht="30.6" thickBot="1">
      <c r="A222" s="2" t="str">
        <f t="shared" si="23"/>
        <v/>
      </c>
      <c r="B222" t="str">
        <f t="shared" si="24"/>
        <v>2</v>
      </c>
      <c r="C222" t="str">
        <f t="shared" si="25"/>
        <v>27 Jun Mar</v>
      </c>
      <c r="D222" s="330" t="s">
        <v>628</v>
      </c>
      <c r="E222" s="495" t="s">
        <v>642</v>
      </c>
      <c r="F222" s="495">
        <v>210</v>
      </c>
      <c r="G222" s="495" t="s">
        <v>1087</v>
      </c>
      <c r="I222" s="479" t="str">
        <f t="shared" si="22"/>
        <v/>
      </c>
    </row>
    <row r="223" spans="1:12" ht="16.2" thickBot="1">
      <c r="A223" s="2" t="str">
        <f t="shared" si="23"/>
        <v/>
      </c>
      <c r="B223" t="str">
        <f t="shared" si="24"/>
        <v>3</v>
      </c>
      <c r="C223" t="str">
        <f t="shared" si="25"/>
        <v>27 Jun Mar</v>
      </c>
      <c r="D223" s="330" t="s">
        <v>628</v>
      </c>
      <c r="E223" s="495" t="s">
        <v>643</v>
      </c>
      <c r="F223" s="495">
        <v>45</v>
      </c>
      <c r="G223" s="495" t="s">
        <v>1088</v>
      </c>
      <c r="I223" s="479" t="str">
        <f t="shared" si="22"/>
        <v/>
      </c>
      <c r="L223" s="2">
        <v>211</v>
      </c>
    </row>
    <row r="224" spans="1:12" ht="30.6" thickBot="1">
      <c r="A224" s="2" t="str">
        <f t="shared" si="23"/>
        <v/>
      </c>
      <c r="B224" t="str">
        <f t="shared" si="24"/>
        <v>4</v>
      </c>
      <c r="C224" t="str">
        <f t="shared" si="25"/>
        <v>27 Jun Mar</v>
      </c>
      <c r="D224" s="330" t="s">
        <v>628</v>
      </c>
      <c r="E224" s="495" t="s">
        <v>645</v>
      </c>
      <c r="F224" s="500" t="s">
        <v>1106</v>
      </c>
      <c r="G224" s="495" t="s">
        <v>1089</v>
      </c>
      <c r="I224" s="479" t="str">
        <f t="shared" si="22"/>
        <v/>
      </c>
      <c r="L224" s="2">
        <v>220</v>
      </c>
    </row>
    <row r="225" spans="1:12" ht="16.2" thickBot="1">
      <c r="A225" s="2" t="str">
        <f t="shared" si="23"/>
        <v/>
      </c>
      <c r="B225" t="str">
        <f t="shared" si="24"/>
        <v>5</v>
      </c>
      <c r="C225" t="str">
        <f t="shared" si="25"/>
        <v>27 Jun Mar</v>
      </c>
      <c r="D225" s="330" t="s">
        <v>628</v>
      </c>
      <c r="E225" s="495" t="s">
        <v>646</v>
      </c>
      <c r="F225" s="495" t="s">
        <v>999</v>
      </c>
      <c r="G225" s="498"/>
      <c r="I225" s="479">
        <f t="shared" si="22"/>
        <v>1</v>
      </c>
      <c r="L225" s="2">
        <v>229</v>
      </c>
    </row>
    <row r="226" spans="1:12" ht="16.2" thickBot="1">
      <c r="A226" s="2" t="str">
        <f t="shared" si="23"/>
        <v/>
      </c>
      <c r="B226" t="str">
        <f t="shared" si="24"/>
        <v>6</v>
      </c>
      <c r="C226" t="str">
        <f t="shared" si="25"/>
        <v>27 Jun Mar</v>
      </c>
      <c r="D226" s="330" t="s">
        <v>628</v>
      </c>
      <c r="E226" s="495" t="s">
        <v>647</v>
      </c>
      <c r="F226" s="495">
        <v>80</v>
      </c>
      <c r="G226" s="498"/>
      <c r="I226" s="479" t="str">
        <f t="shared" si="22"/>
        <v/>
      </c>
      <c r="L226" s="2">
        <v>238</v>
      </c>
    </row>
    <row r="227" spans="1:12" ht="16.2" thickBot="1">
      <c r="A227" s="2" t="str">
        <f t="shared" si="23"/>
        <v/>
      </c>
      <c r="B227" t="str">
        <f t="shared" si="24"/>
        <v>7</v>
      </c>
      <c r="C227" t="str">
        <f t="shared" si="25"/>
        <v>27 Jun Mar</v>
      </c>
      <c r="D227" s="330" t="s">
        <v>628</v>
      </c>
      <c r="E227" s="495" t="s">
        <v>648</v>
      </c>
      <c r="F227" s="498"/>
      <c r="G227" s="498"/>
      <c r="I227" s="479" t="str">
        <f t="shared" si="22"/>
        <v/>
      </c>
      <c r="L227" s="2">
        <v>247</v>
      </c>
    </row>
    <row r="228" spans="1:12" ht="16.2" thickBot="1">
      <c r="A228" s="2" t="str">
        <f t="shared" si="23"/>
        <v/>
      </c>
      <c r="B228" t="str">
        <f t="shared" si="24"/>
        <v/>
      </c>
      <c r="C228" t="str">
        <f t="shared" si="25"/>
        <v>27 Jun Mar</v>
      </c>
      <c r="D228" s="330" t="s">
        <v>628</v>
      </c>
      <c r="E228" s="494"/>
      <c r="F228" s="499"/>
      <c r="G228" s="499"/>
      <c r="I228" s="479" t="str">
        <f t="shared" si="22"/>
        <v/>
      </c>
      <c r="L228" s="2">
        <v>257</v>
      </c>
    </row>
    <row r="229" spans="1:12" ht="16.2" thickBot="1">
      <c r="A229" s="2">
        <f t="shared" si="23"/>
        <v>229</v>
      </c>
      <c r="B229" t="str">
        <f t="shared" si="24"/>
        <v>*</v>
      </c>
      <c r="C229" t="str">
        <f t="shared" si="25"/>
        <v>28 Jun Mer</v>
      </c>
      <c r="D229" s="330" t="s">
        <v>628</v>
      </c>
      <c r="E229" s="497" t="s">
        <v>1090</v>
      </c>
      <c r="F229" s="495" t="s">
        <v>664</v>
      </c>
      <c r="G229" s="498"/>
      <c r="I229" s="479" t="str">
        <f t="shared" si="22"/>
        <v/>
      </c>
    </row>
    <row r="230" spans="1:12" ht="16.2" thickBot="1">
      <c r="A230" s="2" t="str">
        <f t="shared" si="23"/>
        <v/>
      </c>
      <c r="B230" t="str">
        <f t="shared" si="24"/>
        <v>1</v>
      </c>
      <c r="C230" t="str">
        <f t="shared" si="25"/>
        <v>28 Jun Mer</v>
      </c>
      <c r="D230" s="330" t="s">
        <v>628</v>
      </c>
      <c r="E230" s="495" t="s">
        <v>641</v>
      </c>
      <c r="F230" s="495">
        <v>120</v>
      </c>
      <c r="G230" s="498"/>
      <c r="I230" s="479" t="str">
        <f t="shared" si="22"/>
        <v/>
      </c>
    </row>
    <row r="231" spans="1:12" ht="16.2" thickBot="1">
      <c r="A231" s="2" t="str">
        <f t="shared" si="23"/>
        <v/>
      </c>
      <c r="B231" t="str">
        <f t="shared" si="24"/>
        <v>2</v>
      </c>
      <c r="C231" t="str">
        <f t="shared" si="25"/>
        <v>28 Jun Mer</v>
      </c>
      <c r="D231" s="330" t="s">
        <v>628</v>
      </c>
      <c r="E231" s="495" t="s">
        <v>642</v>
      </c>
      <c r="F231" s="495" t="s">
        <v>1091</v>
      </c>
      <c r="G231" s="498"/>
      <c r="I231" s="479" t="str">
        <f t="shared" si="22"/>
        <v/>
      </c>
    </row>
    <row r="232" spans="1:12" ht="30.6" thickBot="1">
      <c r="A232" s="2" t="str">
        <f t="shared" si="23"/>
        <v/>
      </c>
      <c r="B232" t="str">
        <f t="shared" si="24"/>
        <v>3</v>
      </c>
      <c r="C232" t="str">
        <f t="shared" si="25"/>
        <v>28 Jun Mer</v>
      </c>
      <c r="D232" s="330" t="s">
        <v>628</v>
      </c>
      <c r="E232" s="495" t="s">
        <v>643</v>
      </c>
      <c r="F232" s="495" t="s">
        <v>1092</v>
      </c>
      <c r="G232" s="495" t="s">
        <v>1093</v>
      </c>
      <c r="I232" s="479" t="str">
        <f t="shared" si="22"/>
        <v/>
      </c>
    </row>
    <row r="233" spans="1:12" ht="16.2" thickBot="1">
      <c r="A233" s="2" t="str">
        <f t="shared" si="23"/>
        <v/>
      </c>
      <c r="B233" t="str">
        <f t="shared" si="24"/>
        <v>4</v>
      </c>
      <c r="C233" t="str">
        <f t="shared" si="25"/>
        <v>28 Jun Mer</v>
      </c>
      <c r="D233" s="330" t="s">
        <v>628</v>
      </c>
      <c r="E233" s="495" t="s">
        <v>645</v>
      </c>
      <c r="F233" s="495" t="s">
        <v>1094</v>
      </c>
      <c r="G233" s="498"/>
      <c r="I233" s="479" t="str">
        <f t="shared" si="22"/>
        <v/>
      </c>
    </row>
    <row r="234" spans="1:12" ht="16.2" thickBot="1">
      <c r="A234" s="2" t="str">
        <f t="shared" si="23"/>
        <v/>
      </c>
      <c r="B234" t="str">
        <f t="shared" si="24"/>
        <v>5</v>
      </c>
      <c r="C234" t="str">
        <f t="shared" si="25"/>
        <v>28 Jun Mer</v>
      </c>
      <c r="D234" s="330" t="s">
        <v>628</v>
      </c>
      <c r="E234" s="495" t="s">
        <v>646</v>
      </c>
      <c r="F234" s="498"/>
      <c r="G234" s="498"/>
      <c r="I234" s="479" t="str">
        <f t="shared" si="22"/>
        <v/>
      </c>
    </row>
    <row r="235" spans="1:12" ht="16.2" thickBot="1">
      <c r="A235" s="2" t="str">
        <f t="shared" si="23"/>
        <v/>
      </c>
      <c r="B235" t="str">
        <f t="shared" si="24"/>
        <v>6</v>
      </c>
      <c r="C235" t="str">
        <f t="shared" si="25"/>
        <v>28 Jun Mer</v>
      </c>
      <c r="D235" s="330" t="s">
        <v>628</v>
      </c>
      <c r="E235" s="495" t="s">
        <v>647</v>
      </c>
      <c r="F235" s="498"/>
      <c r="G235" s="498"/>
      <c r="I235" s="479" t="str">
        <f t="shared" si="22"/>
        <v/>
      </c>
    </row>
    <row r="236" spans="1:12" ht="16.2" thickBot="1">
      <c r="A236" s="2" t="str">
        <f t="shared" ref="A236:A266" si="26">IF(B236="*",ROW(),"")</f>
        <v/>
      </c>
      <c r="B236" t="str">
        <f t="shared" ref="B236:B266" si="27">LEFT(E236,1)</f>
        <v>7</v>
      </c>
      <c r="C236" t="str">
        <f t="shared" ref="C236:C266" si="28">IF(B236="*",RIGHT(E236,10),C235)</f>
        <v>28 Jun Mer</v>
      </c>
      <c r="D236" s="330" t="s">
        <v>628</v>
      </c>
      <c r="E236" s="495" t="s">
        <v>648</v>
      </c>
      <c r="F236" s="498"/>
      <c r="G236" s="498"/>
      <c r="I236" s="479" t="str">
        <f t="shared" si="22"/>
        <v/>
      </c>
    </row>
    <row r="237" spans="1:12" ht="16.2" thickBot="1">
      <c r="A237" s="2" t="str">
        <f t="shared" si="26"/>
        <v/>
      </c>
      <c r="B237" t="str">
        <f t="shared" si="27"/>
        <v>4</v>
      </c>
      <c r="C237" t="str">
        <f t="shared" si="28"/>
        <v>28 Jun Mer</v>
      </c>
      <c r="D237" s="330" t="s">
        <v>628</v>
      </c>
      <c r="E237" s="493" t="s">
        <v>1095</v>
      </c>
      <c r="F237" s="499"/>
      <c r="G237" s="499"/>
      <c r="I237" s="479" t="str">
        <f t="shared" si="22"/>
        <v/>
      </c>
    </row>
    <row r="238" spans="1:12" ht="16.2" thickBot="1">
      <c r="A238" s="2">
        <f t="shared" si="26"/>
        <v>238</v>
      </c>
      <c r="B238" t="str">
        <f t="shared" si="27"/>
        <v>*</v>
      </c>
      <c r="C238" t="str">
        <f t="shared" si="28"/>
        <v>29 Jun Jeu</v>
      </c>
      <c r="D238" s="330" t="s">
        <v>628</v>
      </c>
      <c r="E238" s="497" t="s">
        <v>1096</v>
      </c>
      <c r="F238" s="495" t="s">
        <v>664</v>
      </c>
      <c r="G238" s="498"/>
      <c r="I238" s="479" t="str">
        <f t="shared" si="22"/>
        <v/>
      </c>
    </row>
    <row r="239" spans="1:12" ht="16.2" thickBot="1">
      <c r="A239" s="2" t="str">
        <f t="shared" si="26"/>
        <v/>
      </c>
      <c r="B239" t="str">
        <f t="shared" si="27"/>
        <v>1</v>
      </c>
      <c r="C239" t="str">
        <f t="shared" si="28"/>
        <v>29 Jun Jeu</v>
      </c>
      <c r="D239" s="330" t="s">
        <v>628</v>
      </c>
      <c r="E239" s="495" t="s">
        <v>641</v>
      </c>
      <c r="F239" s="498"/>
      <c r="G239" s="498"/>
      <c r="I239" s="479" t="str">
        <f t="shared" si="22"/>
        <v/>
      </c>
    </row>
    <row r="240" spans="1:12" ht="16.2" thickBot="1">
      <c r="A240" s="2" t="str">
        <f t="shared" si="26"/>
        <v/>
      </c>
      <c r="B240" t="str">
        <f t="shared" si="27"/>
        <v>2</v>
      </c>
      <c r="C240" t="str">
        <f t="shared" si="28"/>
        <v>29 Jun Jeu</v>
      </c>
      <c r="D240" s="330" t="s">
        <v>628</v>
      </c>
      <c r="E240" s="495" t="s">
        <v>642</v>
      </c>
      <c r="F240" s="498"/>
      <c r="G240" s="498"/>
      <c r="I240" s="479" t="str">
        <f t="shared" si="22"/>
        <v/>
      </c>
    </row>
    <row r="241" spans="1:9" ht="16.2" thickBot="1">
      <c r="A241" s="2" t="str">
        <f t="shared" si="26"/>
        <v/>
      </c>
      <c r="B241" t="str">
        <f t="shared" si="27"/>
        <v>3</v>
      </c>
      <c r="C241" t="str">
        <f t="shared" si="28"/>
        <v>29 Jun Jeu</v>
      </c>
      <c r="D241" s="330" t="s">
        <v>628</v>
      </c>
      <c r="E241" s="495" t="s">
        <v>643</v>
      </c>
      <c r="F241" s="495">
        <v>125</v>
      </c>
      <c r="G241" s="498"/>
      <c r="I241" s="479" t="str">
        <f t="shared" si="22"/>
        <v/>
      </c>
    </row>
    <row r="242" spans="1:9" ht="16.2" thickBot="1">
      <c r="A242" s="2" t="str">
        <f t="shared" si="26"/>
        <v/>
      </c>
      <c r="B242" t="str">
        <f t="shared" si="27"/>
        <v>4</v>
      </c>
      <c r="C242" t="str">
        <f t="shared" si="28"/>
        <v>29 Jun Jeu</v>
      </c>
      <c r="D242" s="330" t="s">
        <v>628</v>
      </c>
      <c r="E242" s="495" t="s">
        <v>645</v>
      </c>
      <c r="F242" s="498"/>
      <c r="G242" s="498"/>
      <c r="I242" s="479" t="str">
        <f t="shared" si="22"/>
        <v/>
      </c>
    </row>
    <row r="243" spans="1:9" ht="30.6" thickBot="1">
      <c r="A243" s="2" t="str">
        <f t="shared" si="26"/>
        <v/>
      </c>
      <c r="B243" t="str">
        <f t="shared" si="27"/>
        <v>5</v>
      </c>
      <c r="C243" t="str">
        <f t="shared" si="28"/>
        <v>29 Jun Jeu</v>
      </c>
      <c r="D243" s="330" t="s">
        <v>628</v>
      </c>
      <c r="E243" s="495" t="s">
        <v>646</v>
      </c>
      <c r="F243" s="495" t="s">
        <v>1107</v>
      </c>
      <c r="G243" s="495" t="s">
        <v>1097</v>
      </c>
      <c r="I243" s="479">
        <v>2</v>
      </c>
    </row>
    <row r="244" spans="1:9" ht="16.2" thickBot="1">
      <c r="A244" s="2" t="str">
        <f t="shared" si="26"/>
        <v/>
      </c>
      <c r="B244" t="str">
        <f t="shared" si="27"/>
        <v>6</v>
      </c>
      <c r="C244" t="str">
        <f t="shared" si="28"/>
        <v>29 Jun Jeu</v>
      </c>
      <c r="D244" s="330" t="s">
        <v>628</v>
      </c>
      <c r="E244" s="495" t="s">
        <v>647</v>
      </c>
      <c r="F244" s="495" t="s">
        <v>1098</v>
      </c>
      <c r="G244" s="498"/>
      <c r="I244" s="479" t="str">
        <f t="shared" si="22"/>
        <v/>
      </c>
    </row>
    <row r="245" spans="1:9" ht="16.2" thickBot="1">
      <c r="A245" s="2" t="str">
        <f t="shared" si="26"/>
        <v/>
      </c>
      <c r="B245" t="str">
        <f t="shared" si="27"/>
        <v>7</v>
      </c>
      <c r="C245" t="str">
        <f t="shared" si="28"/>
        <v>29 Jun Jeu</v>
      </c>
      <c r="D245" s="330" t="s">
        <v>628</v>
      </c>
      <c r="E245" s="495" t="s">
        <v>648</v>
      </c>
      <c r="F245" s="495" t="s">
        <v>1109</v>
      </c>
      <c r="G245" s="498"/>
      <c r="I245" s="479" t="str">
        <f t="shared" si="22"/>
        <v/>
      </c>
    </row>
    <row r="246" spans="1:9" ht="16.2" thickBot="1">
      <c r="A246" s="2" t="str">
        <f t="shared" si="26"/>
        <v/>
      </c>
      <c r="B246" t="str">
        <f t="shared" si="27"/>
        <v>H</v>
      </c>
      <c r="C246" t="str">
        <f t="shared" si="28"/>
        <v>29 Jun Jeu</v>
      </c>
      <c r="D246" s="330" t="s">
        <v>628</v>
      </c>
      <c r="E246" s="493" t="s">
        <v>1099</v>
      </c>
      <c r="F246" s="499"/>
      <c r="G246" s="499"/>
      <c r="I246" s="479" t="str">
        <f t="shared" si="22"/>
        <v/>
      </c>
    </row>
    <row r="247" spans="1:9" ht="16.2" thickBot="1">
      <c r="A247" s="2">
        <f t="shared" si="26"/>
        <v>247</v>
      </c>
      <c r="B247" t="str">
        <f t="shared" si="27"/>
        <v>*</v>
      </c>
      <c r="C247" t="str">
        <f t="shared" si="28"/>
        <v>30 Jun Ven</v>
      </c>
      <c r="D247" s="330" t="s">
        <v>628</v>
      </c>
      <c r="E247" s="497" t="s">
        <v>1100</v>
      </c>
      <c r="F247" s="495" t="s">
        <v>664</v>
      </c>
      <c r="G247" s="498"/>
      <c r="I247" s="479" t="str">
        <f t="shared" si="22"/>
        <v/>
      </c>
    </row>
    <row r="248" spans="1:9" ht="16.2" thickBot="1">
      <c r="A248" s="2" t="str">
        <f t="shared" si="26"/>
        <v/>
      </c>
      <c r="B248" t="str">
        <f t="shared" si="27"/>
        <v>1</v>
      </c>
      <c r="C248" t="str">
        <f t="shared" si="28"/>
        <v>30 Jun Ven</v>
      </c>
      <c r="D248" s="330" t="s">
        <v>628</v>
      </c>
      <c r="E248" s="495" t="s">
        <v>641</v>
      </c>
      <c r="F248" s="498"/>
      <c r="G248" s="498"/>
      <c r="I248" s="479" t="str">
        <f t="shared" si="22"/>
        <v/>
      </c>
    </row>
    <row r="249" spans="1:9" ht="16.2" thickBot="1">
      <c r="A249" s="2" t="str">
        <f t="shared" si="26"/>
        <v/>
      </c>
      <c r="B249" t="str">
        <f t="shared" si="27"/>
        <v>2</v>
      </c>
      <c r="C249" t="str">
        <f t="shared" si="28"/>
        <v>30 Jun Ven</v>
      </c>
      <c r="D249" s="330" t="s">
        <v>628</v>
      </c>
      <c r="E249" s="495" t="s">
        <v>642</v>
      </c>
      <c r="F249" s="498"/>
      <c r="G249" s="498"/>
      <c r="I249" s="479" t="str">
        <f t="shared" si="22"/>
        <v/>
      </c>
    </row>
    <row r="250" spans="1:9" ht="16.2" thickBot="1">
      <c r="A250" s="2" t="str">
        <f t="shared" si="26"/>
        <v/>
      </c>
      <c r="B250" t="str">
        <f t="shared" si="27"/>
        <v>3</v>
      </c>
      <c r="C250" t="str">
        <f t="shared" si="28"/>
        <v>30 Jun Ven</v>
      </c>
      <c r="D250" s="330" t="s">
        <v>628</v>
      </c>
      <c r="E250" s="495" t="s">
        <v>643</v>
      </c>
      <c r="F250" s="495">
        <v>355</v>
      </c>
      <c r="G250" s="498"/>
      <c r="I250" s="479" t="str">
        <f t="shared" si="22"/>
        <v/>
      </c>
    </row>
    <row r="251" spans="1:9" ht="16.2" thickBot="1">
      <c r="A251" s="2" t="str">
        <f t="shared" si="26"/>
        <v/>
      </c>
      <c r="B251" t="str">
        <f t="shared" si="27"/>
        <v>4</v>
      </c>
      <c r="C251" t="str">
        <f t="shared" si="28"/>
        <v>30 Jun Ven</v>
      </c>
      <c r="D251" s="330" t="s">
        <v>628</v>
      </c>
      <c r="E251" s="495" t="s">
        <v>645</v>
      </c>
      <c r="F251" s="495" t="s">
        <v>1101</v>
      </c>
      <c r="G251" s="498"/>
      <c r="I251" s="479" t="str">
        <f t="shared" si="22"/>
        <v/>
      </c>
    </row>
    <row r="252" spans="1:9" ht="16.2" thickBot="1">
      <c r="A252" s="2" t="str">
        <f t="shared" si="26"/>
        <v/>
      </c>
      <c r="B252" t="str">
        <f t="shared" si="27"/>
        <v>5</v>
      </c>
      <c r="C252" t="str">
        <f t="shared" si="28"/>
        <v>30 Jun Ven</v>
      </c>
      <c r="D252" s="330" t="s">
        <v>628</v>
      </c>
      <c r="E252" s="495" t="s">
        <v>646</v>
      </c>
      <c r="F252" s="498"/>
      <c r="G252" s="498"/>
      <c r="I252" s="479" t="str">
        <f t="shared" si="22"/>
        <v/>
      </c>
    </row>
    <row r="253" spans="1:9" ht="16.2" thickBot="1">
      <c r="A253" s="2" t="str">
        <f t="shared" si="26"/>
        <v/>
      </c>
      <c r="B253" t="str">
        <f t="shared" si="27"/>
        <v>6</v>
      </c>
      <c r="C253" t="str">
        <f t="shared" si="28"/>
        <v>30 Jun Ven</v>
      </c>
      <c r="D253" s="330" t="s">
        <v>628</v>
      </c>
      <c r="E253" s="495" t="s">
        <v>647</v>
      </c>
      <c r="F253" s="498"/>
      <c r="G253" s="498"/>
      <c r="I253" s="479" t="str">
        <f t="shared" si="22"/>
        <v/>
      </c>
    </row>
    <row r="254" spans="1:9" ht="16.2" thickBot="1">
      <c r="A254" s="2" t="str">
        <f t="shared" si="26"/>
        <v/>
      </c>
      <c r="B254" t="str">
        <f t="shared" si="27"/>
        <v>7</v>
      </c>
      <c r="C254" t="str">
        <f t="shared" si="28"/>
        <v>30 Jun Ven</v>
      </c>
      <c r="D254" s="330" t="s">
        <v>628</v>
      </c>
      <c r="E254" s="495" t="s">
        <v>648</v>
      </c>
      <c r="F254" s="498"/>
      <c r="G254" s="498"/>
      <c r="I254" s="479" t="str">
        <f t="shared" si="22"/>
        <v/>
      </c>
    </row>
    <row r="255" spans="1:9">
      <c r="A255" s="2" t="str">
        <f t="shared" si="26"/>
        <v/>
      </c>
      <c r="B255" t="str">
        <f t="shared" si="27"/>
        <v>H</v>
      </c>
      <c r="C255" t="str">
        <f t="shared" si="28"/>
        <v>30 Jun Ven</v>
      </c>
      <c r="D255" s="330" t="s">
        <v>628</v>
      </c>
      <c r="E255" s="493" t="s">
        <v>1102</v>
      </c>
      <c r="F255" s="499"/>
      <c r="G255" s="499"/>
      <c r="I255" s="479" t="str">
        <f t="shared" si="22"/>
        <v/>
      </c>
    </row>
    <row r="256" spans="1:9" ht="30.6" thickBot="1">
      <c r="A256" s="2" t="str">
        <f t="shared" si="26"/>
        <v/>
      </c>
      <c r="B256" t="str">
        <f t="shared" si="27"/>
        <v>T</v>
      </c>
      <c r="C256" t="str">
        <f t="shared" si="28"/>
        <v>30 Jun Ven</v>
      </c>
      <c r="D256" s="330" t="s">
        <v>628</v>
      </c>
      <c r="E256" s="493" t="s">
        <v>1103</v>
      </c>
      <c r="F256" s="499"/>
      <c r="G256" s="499"/>
      <c r="I256" s="479" t="str">
        <f t="shared" si="22"/>
        <v/>
      </c>
    </row>
    <row r="257" spans="1:9" ht="16.2" thickBot="1">
      <c r="A257" s="2">
        <f t="shared" si="26"/>
        <v>257</v>
      </c>
      <c r="B257" t="str">
        <f t="shared" si="27"/>
        <v>*</v>
      </c>
      <c r="C257" t="str">
        <f t="shared" si="28"/>
        <v>01 Jul Sam</v>
      </c>
      <c r="D257" s="330" t="s">
        <v>628</v>
      </c>
      <c r="E257" s="497" t="s">
        <v>1104</v>
      </c>
      <c r="F257" s="495" t="s">
        <v>664</v>
      </c>
      <c r="G257" s="498"/>
      <c r="I257" s="479" t="str">
        <f t="shared" si="22"/>
        <v/>
      </c>
    </row>
    <row r="258" spans="1:9" ht="16.2" thickBot="1">
      <c r="A258" s="2" t="str">
        <f t="shared" si="26"/>
        <v/>
      </c>
      <c r="B258" t="str">
        <f t="shared" si="27"/>
        <v>1</v>
      </c>
      <c r="C258" t="str">
        <f t="shared" si="28"/>
        <v>01 Jul Sam</v>
      </c>
      <c r="D258" s="330" t="s">
        <v>628</v>
      </c>
      <c r="E258" s="495" t="s">
        <v>641</v>
      </c>
      <c r="F258" s="495" t="s">
        <v>1105</v>
      </c>
      <c r="G258" s="498"/>
      <c r="I258" s="479" t="str">
        <f t="shared" si="22"/>
        <v/>
      </c>
    </row>
    <row r="259" spans="1:9" ht="16.2" thickBot="1">
      <c r="A259" s="2" t="str">
        <f t="shared" si="26"/>
        <v/>
      </c>
      <c r="B259" t="str">
        <f t="shared" si="27"/>
        <v>2</v>
      </c>
      <c r="C259" t="str">
        <f t="shared" si="28"/>
        <v>01 Jul Sam</v>
      </c>
      <c r="D259" s="330" t="s">
        <v>628</v>
      </c>
      <c r="E259" s="495" t="s">
        <v>642</v>
      </c>
      <c r="F259" s="495">
        <v>500</v>
      </c>
      <c r="G259" s="495" t="s">
        <v>1110</v>
      </c>
      <c r="I259" s="479" t="str">
        <f t="shared" si="22"/>
        <v/>
      </c>
    </row>
    <row r="260" spans="1:9" ht="16.2" thickBot="1">
      <c r="A260" s="2" t="str">
        <f t="shared" si="26"/>
        <v/>
      </c>
      <c r="B260" t="str">
        <f t="shared" si="27"/>
        <v>3</v>
      </c>
      <c r="C260" t="str">
        <f t="shared" si="28"/>
        <v>01 Jul Sam</v>
      </c>
      <c r="D260" s="330" t="s">
        <v>628</v>
      </c>
      <c r="E260" s="495" t="s">
        <v>643</v>
      </c>
      <c r="F260" s="495">
        <v>260</v>
      </c>
      <c r="G260" s="498"/>
      <c r="I260" s="479" t="str">
        <f t="shared" si="22"/>
        <v/>
      </c>
    </row>
    <row r="261" spans="1:9" ht="16.2" thickBot="1">
      <c r="A261" s="2" t="str">
        <f t="shared" si="26"/>
        <v/>
      </c>
      <c r="B261" t="str">
        <f t="shared" si="27"/>
        <v>4</v>
      </c>
      <c r="C261" t="str">
        <f t="shared" si="28"/>
        <v>01 Jul Sam</v>
      </c>
      <c r="D261" s="330" t="s">
        <v>628</v>
      </c>
      <c r="E261" s="495" t="s">
        <v>645</v>
      </c>
      <c r="F261" s="495" t="s">
        <v>1111</v>
      </c>
      <c r="G261" s="498"/>
      <c r="I261" s="479" t="str">
        <f t="shared" si="22"/>
        <v/>
      </c>
    </row>
    <row r="262" spans="1:9" ht="16.2" thickBot="1">
      <c r="A262" s="2" t="str">
        <f t="shared" si="26"/>
        <v/>
      </c>
      <c r="B262" t="str">
        <f t="shared" si="27"/>
        <v>5</v>
      </c>
      <c r="C262" t="str">
        <f t="shared" si="28"/>
        <v>01 Jul Sam</v>
      </c>
      <c r="D262" s="330" t="s">
        <v>628</v>
      </c>
      <c r="E262" s="495" t="s">
        <v>646</v>
      </c>
      <c r="F262" s="498" t="s">
        <v>999</v>
      </c>
      <c r="G262" s="498"/>
      <c r="I262" s="479">
        <f t="shared" si="22"/>
        <v>1</v>
      </c>
    </row>
    <row r="263" spans="1:9" ht="16.2" thickBot="1">
      <c r="A263" s="2" t="str">
        <f t="shared" si="26"/>
        <v/>
      </c>
      <c r="B263" t="str">
        <f t="shared" si="27"/>
        <v>6</v>
      </c>
      <c r="C263" t="str">
        <f t="shared" si="28"/>
        <v>01 Jul Sam</v>
      </c>
      <c r="D263" s="330" t="s">
        <v>628</v>
      </c>
      <c r="E263" s="495" t="s">
        <v>647</v>
      </c>
      <c r="F263" s="498"/>
      <c r="G263" s="498"/>
      <c r="I263" s="479" t="str">
        <f t="shared" si="22"/>
        <v/>
      </c>
    </row>
    <row r="264" spans="1:9" ht="16.2" thickBot="1">
      <c r="A264" s="2" t="str">
        <f t="shared" si="26"/>
        <v/>
      </c>
      <c r="B264" t="str">
        <f t="shared" si="27"/>
        <v>7</v>
      </c>
      <c r="C264" t="str">
        <f t="shared" si="28"/>
        <v>01 Jul Sam</v>
      </c>
      <c r="D264" s="330" t="s">
        <v>628</v>
      </c>
      <c r="E264" s="495" t="s">
        <v>648</v>
      </c>
      <c r="F264" s="498"/>
      <c r="G264" s="498"/>
      <c r="I264" s="479" t="str">
        <f t="shared" ref="I264:I327" si="29">IFERROR(IF(VALUE(B264)=5,FIND($I$4,F264,1),""),"")</f>
        <v/>
      </c>
    </row>
    <row r="265" spans="1:9" ht="16.2" thickBot="1">
      <c r="A265" s="2" t="str">
        <f t="shared" si="26"/>
        <v/>
      </c>
      <c r="B265" t="str">
        <f t="shared" si="27"/>
        <v/>
      </c>
      <c r="C265" t="str">
        <f t="shared" si="28"/>
        <v>01 Jul Sam</v>
      </c>
      <c r="D265" s="330" t="s">
        <v>628</v>
      </c>
      <c r="E265" s="494"/>
      <c r="F265" s="499"/>
      <c r="G265" s="499"/>
      <c r="I265" s="479" t="str">
        <f t="shared" si="29"/>
        <v/>
      </c>
    </row>
    <row r="266" spans="1:9" ht="16.2" thickBot="1">
      <c r="A266" s="2">
        <f t="shared" si="26"/>
        <v>266</v>
      </c>
      <c r="B266" t="str">
        <f t="shared" si="27"/>
        <v>*</v>
      </c>
      <c r="C266" t="str">
        <f t="shared" si="28"/>
        <v>02 Jul Dim</v>
      </c>
      <c r="D266" s="330" t="s">
        <v>628</v>
      </c>
      <c r="E266" s="497" t="s">
        <v>1112</v>
      </c>
      <c r="F266" s="495" t="s">
        <v>664</v>
      </c>
      <c r="G266" s="498"/>
      <c r="I266" s="479" t="str">
        <f t="shared" si="29"/>
        <v/>
      </c>
    </row>
    <row r="267" spans="1:9" ht="30.6" thickBot="1">
      <c r="A267" s="2" t="str">
        <f t="shared" ref="A267:A328" si="30">IF(B267="*",ROW(),"")</f>
        <v/>
      </c>
      <c r="B267" t="str">
        <f t="shared" ref="B267:B328" si="31">LEFT(E267,1)</f>
        <v>1</v>
      </c>
      <c r="C267" t="str">
        <f t="shared" ref="C267:C328" si="32">IF(B267="*",RIGHT(E267,10),C266)</f>
        <v>02 Jul Dim</v>
      </c>
      <c r="D267" s="330" t="s">
        <v>628</v>
      </c>
      <c r="E267" s="495" t="s">
        <v>641</v>
      </c>
      <c r="F267" s="500" t="s">
        <v>1113</v>
      </c>
      <c r="G267" s="495" t="s">
        <v>1114</v>
      </c>
      <c r="I267" s="479" t="str">
        <f t="shared" si="29"/>
        <v/>
      </c>
    </row>
    <row r="268" spans="1:9" ht="45.6" thickBot="1">
      <c r="A268" s="2" t="str">
        <f t="shared" si="30"/>
        <v/>
      </c>
      <c r="B268" t="str">
        <f t="shared" si="31"/>
        <v>2</v>
      </c>
      <c r="C268" t="str">
        <f t="shared" si="32"/>
        <v>02 Jul Dim</v>
      </c>
      <c r="D268" s="330" t="s">
        <v>628</v>
      </c>
      <c r="E268" s="495" t="s">
        <v>642</v>
      </c>
      <c r="F268" s="495">
        <v>555</v>
      </c>
      <c r="G268" s="495" t="s">
        <v>1115</v>
      </c>
      <c r="I268" s="479" t="str">
        <f t="shared" si="29"/>
        <v/>
      </c>
    </row>
    <row r="269" spans="1:9" ht="16.2" thickBot="1">
      <c r="A269" s="2" t="str">
        <f t="shared" si="30"/>
        <v/>
      </c>
      <c r="B269" t="str">
        <f t="shared" si="31"/>
        <v>3</v>
      </c>
      <c r="C269" t="str">
        <f t="shared" si="32"/>
        <v>02 Jul Dim</v>
      </c>
      <c r="D269" s="330" t="s">
        <v>628</v>
      </c>
      <c r="E269" s="495" t="s">
        <v>643</v>
      </c>
      <c r="F269" s="498"/>
      <c r="G269" s="498"/>
      <c r="I269" s="479" t="str">
        <f t="shared" si="29"/>
        <v/>
      </c>
    </row>
    <row r="270" spans="1:9" ht="16.2" thickBot="1">
      <c r="A270" s="2" t="str">
        <f t="shared" si="30"/>
        <v/>
      </c>
      <c r="B270" t="str">
        <f t="shared" si="31"/>
        <v>4</v>
      </c>
      <c r="C270" t="str">
        <f t="shared" si="32"/>
        <v>02 Jul Dim</v>
      </c>
      <c r="D270" s="330" t="s">
        <v>628</v>
      </c>
      <c r="E270" s="495" t="s">
        <v>645</v>
      </c>
      <c r="F270" s="495">
        <v>30</v>
      </c>
      <c r="G270" s="498"/>
      <c r="I270" s="479" t="str">
        <f t="shared" si="29"/>
        <v/>
      </c>
    </row>
    <row r="271" spans="1:9" ht="16.2" thickBot="1">
      <c r="A271" s="2" t="str">
        <f t="shared" si="30"/>
        <v/>
      </c>
      <c r="B271" t="str">
        <f t="shared" si="31"/>
        <v>5</v>
      </c>
      <c r="C271" t="str">
        <f t="shared" si="32"/>
        <v>02 Jul Dim</v>
      </c>
      <c r="D271" s="330" t="s">
        <v>628</v>
      </c>
      <c r="E271" s="495" t="s">
        <v>646</v>
      </c>
      <c r="F271" s="495" t="s">
        <v>999</v>
      </c>
      <c r="G271" s="498"/>
      <c r="I271" s="479">
        <f t="shared" si="29"/>
        <v>1</v>
      </c>
    </row>
    <row r="272" spans="1:9" ht="16.2" thickBot="1">
      <c r="A272" s="2" t="str">
        <f t="shared" si="30"/>
        <v/>
      </c>
      <c r="B272" t="str">
        <f t="shared" si="31"/>
        <v>6</v>
      </c>
      <c r="C272" t="str">
        <f t="shared" si="32"/>
        <v>02 Jul Dim</v>
      </c>
      <c r="D272" s="330" t="s">
        <v>628</v>
      </c>
      <c r="E272" s="495" t="s">
        <v>647</v>
      </c>
      <c r="F272" s="498"/>
      <c r="G272" s="498"/>
      <c r="I272" s="479" t="str">
        <f t="shared" si="29"/>
        <v/>
      </c>
    </row>
    <row r="273" spans="1:9" ht="30.6" thickBot="1">
      <c r="A273" s="2" t="str">
        <f t="shared" si="30"/>
        <v/>
      </c>
      <c r="B273" t="str">
        <f t="shared" si="31"/>
        <v>7</v>
      </c>
      <c r="C273" t="str">
        <f t="shared" si="32"/>
        <v>02 Jul Dim</v>
      </c>
      <c r="D273" s="330" t="s">
        <v>628</v>
      </c>
      <c r="E273" s="495" t="s">
        <v>648</v>
      </c>
      <c r="F273" s="495" t="s">
        <v>1116</v>
      </c>
      <c r="G273" s="495" t="s">
        <v>1117</v>
      </c>
      <c r="I273" s="479" t="str">
        <f t="shared" si="29"/>
        <v/>
      </c>
    </row>
    <row r="274" spans="1:9" ht="16.2" thickBot="1">
      <c r="A274" s="2" t="str">
        <f t="shared" si="30"/>
        <v/>
      </c>
      <c r="B274" t="str">
        <f t="shared" si="31"/>
        <v>R</v>
      </c>
      <c r="C274" t="str">
        <f t="shared" si="32"/>
        <v>02 Jul Dim</v>
      </c>
      <c r="D274" s="330" t="s">
        <v>628</v>
      </c>
      <c r="E274" s="493" t="s">
        <v>1118</v>
      </c>
      <c r="F274" s="499"/>
      <c r="G274" s="499"/>
      <c r="I274" s="479" t="str">
        <f t="shared" si="29"/>
        <v/>
      </c>
    </row>
    <row r="275" spans="1:9" ht="16.2" thickBot="1">
      <c r="A275" s="2">
        <f t="shared" si="30"/>
        <v>275</v>
      </c>
      <c r="B275" t="str">
        <f t="shared" si="31"/>
        <v>*</v>
      </c>
      <c r="C275" t="str">
        <f t="shared" si="32"/>
        <v>03 Jul Lun</v>
      </c>
      <c r="D275" s="330" t="s">
        <v>628</v>
      </c>
      <c r="E275" s="497" t="s">
        <v>1119</v>
      </c>
      <c r="F275" s="495" t="s">
        <v>664</v>
      </c>
      <c r="G275" s="498"/>
      <c r="I275" s="479" t="str">
        <f t="shared" si="29"/>
        <v/>
      </c>
    </row>
    <row r="276" spans="1:9" ht="16.2" thickBot="1">
      <c r="A276" s="2" t="str">
        <f t="shared" si="30"/>
        <v/>
      </c>
      <c r="B276" t="str">
        <f t="shared" si="31"/>
        <v>1</v>
      </c>
      <c r="C276" t="str">
        <f t="shared" si="32"/>
        <v>03 Jul Lun</v>
      </c>
      <c r="D276" s="330" t="s">
        <v>628</v>
      </c>
      <c r="E276" s="495" t="s">
        <v>641</v>
      </c>
      <c r="F276" s="495">
        <v>33</v>
      </c>
      <c r="G276" s="495" t="s">
        <v>1120</v>
      </c>
      <c r="I276" s="479" t="str">
        <f t="shared" si="29"/>
        <v/>
      </c>
    </row>
    <row r="277" spans="1:9" ht="16.2" thickBot="1">
      <c r="A277" s="2" t="str">
        <f t="shared" si="30"/>
        <v/>
      </c>
      <c r="B277" t="str">
        <f t="shared" si="31"/>
        <v>2</v>
      </c>
      <c r="C277" t="str">
        <f t="shared" si="32"/>
        <v>03 Jul Lun</v>
      </c>
      <c r="D277" s="330" t="s">
        <v>628</v>
      </c>
      <c r="E277" s="495" t="s">
        <v>642</v>
      </c>
      <c r="F277" s="495">
        <v>200</v>
      </c>
      <c r="G277" s="495" t="s">
        <v>1121</v>
      </c>
      <c r="I277" s="479" t="str">
        <f t="shared" si="29"/>
        <v/>
      </c>
    </row>
    <row r="278" spans="1:9" ht="16.2" thickBot="1">
      <c r="A278" s="2" t="str">
        <f t="shared" si="30"/>
        <v/>
      </c>
      <c r="B278" t="str">
        <f t="shared" si="31"/>
        <v>3</v>
      </c>
      <c r="C278" t="str">
        <f t="shared" si="32"/>
        <v>03 Jul Lun</v>
      </c>
      <c r="D278" s="330" t="s">
        <v>628</v>
      </c>
      <c r="E278" s="495" t="s">
        <v>643</v>
      </c>
      <c r="F278" s="495">
        <v>140</v>
      </c>
      <c r="G278" s="498"/>
      <c r="I278" s="479" t="str">
        <f t="shared" si="29"/>
        <v/>
      </c>
    </row>
    <row r="279" spans="1:9" ht="16.2" thickBot="1">
      <c r="A279" s="2" t="str">
        <f t="shared" si="30"/>
        <v/>
      </c>
      <c r="B279" t="str">
        <f t="shared" si="31"/>
        <v>4</v>
      </c>
      <c r="C279" t="str">
        <f t="shared" si="32"/>
        <v>03 Jul Lun</v>
      </c>
      <c r="D279" s="330" t="s">
        <v>628</v>
      </c>
      <c r="E279" s="495" t="s">
        <v>645</v>
      </c>
      <c r="F279" s="495" t="s">
        <v>1122</v>
      </c>
      <c r="G279" s="498"/>
      <c r="I279" s="479" t="str">
        <f t="shared" si="29"/>
        <v/>
      </c>
    </row>
    <row r="280" spans="1:9" ht="16.2" thickBot="1">
      <c r="A280" s="2" t="str">
        <f t="shared" si="30"/>
        <v/>
      </c>
      <c r="B280" t="str">
        <f t="shared" si="31"/>
        <v>5</v>
      </c>
      <c r="C280" t="str">
        <f t="shared" si="32"/>
        <v>03 Jul Lun</v>
      </c>
      <c r="D280" s="330" t="s">
        <v>628</v>
      </c>
      <c r="E280" s="495" t="s">
        <v>646</v>
      </c>
      <c r="F280" s="495" t="s">
        <v>999</v>
      </c>
      <c r="G280" s="498"/>
      <c r="I280" s="479">
        <f t="shared" si="29"/>
        <v>1</v>
      </c>
    </row>
    <row r="281" spans="1:9" ht="16.2" thickBot="1">
      <c r="A281" s="2" t="str">
        <f t="shared" si="30"/>
        <v/>
      </c>
      <c r="B281" t="str">
        <f t="shared" si="31"/>
        <v>6</v>
      </c>
      <c r="C281" t="str">
        <f t="shared" si="32"/>
        <v>03 Jul Lun</v>
      </c>
      <c r="D281" s="330" t="s">
        <v>628</v>
      </c>
      <c r="E281" s="495" t="s">
        <v>647</v>
      </c>
      <c r="F281" s="498"/>
      <c r="G281" s="498"/>
      <c r="I281" s="479" t="str">
        <f t="shared" si="29"/>
        <v/>
      </c>
    </row>
    <row r="282" spans="1:9" ht="16.2" thickBot="1">
      <c r="A282" s="2" t="str">
        <f t="shared" si="30"/>
        <v/>
      </c>
      <c r="B282" t="str">
        <f t="shared" si="31"/>
        <v>7</v>
      </c>
      <c r="C282" t="str">
        <f t="shared" si="32"/>
        <v>03 Jul Lun</v>
      </c>
      <c r="D282" s="330" t="s">
        <v>628</v>
      </c>
      <c r="E282" s="495" t="s">
        <v>648</v>
      </c>
      <c r="F282" s="498"/>
      <c r="G282" s="498"/>
      <c r="I282" s="479" t="str">
        <f t="shared" si="29"/>
        <v/>
      </c>
    </row>
    <row r="283" spans="1:9" ht="16.2" thickBot="1">
      <c r="A283" s="2" t="str">
        <f t="shared" si="30"/>
        <v/>
      </c>
      <c r="B283" t="str">
        <f t="shared" si="31"/>
        <v>2</v>
      </c>
      <c r="C283" t="str">
        <f t="shared" si="32"/>
        <v>03 Jul Lun</v>
      </c>
      <c r="D283" s="330" t="s">
        <v>628</v>
      </c>
      <c r="E283" s="493" t="s">
        <v>1123</v>
      </c>
      <c r="F283" s="499"/>
      <c r="G283" s="499"/>
      <c r="I283" s="479" t="str">
        <f t="shared" si="29"/>
        <v/>
      </c>
    </row>
    <row r="284" spans="1:9" ht="16.2" thickBot="1">
      <c r="A284" s="2">
        <f t="shared" si="30"/>
        <v>284</v>
      </c>
      <c r="B284" t="str">
        <f t="shared" si="31"/>
        <v>*</v>
      </c>
      <c r="C284" t="str">
        <f t="shared" si="32"/>
        <v>04 Jul Mar</v>
      </c>
      <c r="D284" s="330" t="s">
        <v>628</v>
      </c>
      <c r="E284" s="497" t="s">
        <v>1124</v>
      </c>
      <c r="F284" s="495" t="s">
        <v>664</v>
      </c>
      <c r="G284" s="498"/>
      <c r="I284" s="479" t="str">
        <f t="shared" si="29"/>
        <v/>
      </c>
    </row>
    <row r="285" spans="1:9" ht="16.2" thickBot="1">
      <c r="A285" s="2" t="str">
        <f t="shared" si="30"/>
        <v/>
      </c>
      <c r="B285" t="str">
        <f t="shared" si="31"/>
        <v>1</v>
      </c>
      <c r="C285" t="str">
        <f t="shared" si="32"/>
        <v>04 Jul Mar</v>
      </c>
      <c r="D285" s="330" t="s">
        <v>628</v>
      </c>
      <c r="E285" s="495" t="s">
        <v>641</v>
      </c>
      <c r="F285" s="495" t="s">
        <v>1125</v>
      </c>
      <c r="G285" s="498"/>
      <c r="I285" s="479" t="str">
        <f t="shared" si="29"/>
        <v/>
      </c>
    </row>
    <row r="286" spans="1:9" ht="16.2" thickBot="1">
      <c r="A286" s="2" t="str">
        <f t="shared" si="30"/>
        <v/>
      </c>
      <c r="B286" t="str">
        <f t="shared" si="31"/>
        <v>2</v>
      </c>
      <c r="C286" t="str">
        <f t="shared" si="32"/>
        <v>04 Jul Mar</v>
      </c>
      <c r="D286" s="330" t="s">
        <v>628</v>
      </c>
      <c r="E286" s="495" t="s">
        <v>642</v>
      </c>
      <c r="F286" s="498"/>
      <c r="G286" s="498"/>
      <c r="I286" s="479" t="str">
        <f t="shared" si="29"/>
        <v/>
      </c>
    </row>
    <row r="287" spans="1:9" ht="16.2" thickBot="1">
      <c r="A287" s="2" t="str">
        <f t="shared" si="30"/>
        <v/>
      </c>
      <c r="B287" t="str">
        <f t="shared" si="31"/>
        <v>3</v>
      </c>
      <c r="C287" t="str">
        <f t="shared" si="32"/>
        <v>04 Jul Mar</v>
      </c>
      <c r="D287" s="330" t="s">
        <v>628</v>
      </c>
      <c r="E287" s="495" t="s">
        <v>643</v>
      </c>
      <c r="F287" s="495">
        <v>150</v>
      </c>
      <c r="G287" s="498"/>
      <c r="I287" s="479" t="str">
        <f t="shared" si="29"/>
        <v/>
      </c>
    </row>
    <row r="288" spans="1:9" ht="16.2" thickBot="1">
      <c r="A288" s="2" t="str">
        <f t="shared" si="30"/>
        <v/>
      </c>
      <c r="B288" t="str">
        <f t="shared" si="31"/>
        <v>4</v>
      </c>
      <c r="C288" t="str">
        <f t="shared" si="32"/>
        <v>04 Jul Mar</v>
      </c>
      <c r="D288" s="330" t="s">
        <v>628</v>
      </c>
      <c r="E288" s="495" t="s">
        <v>645</v>
      </c>
      <c r="F288" s="495" t="s">
        <v>1126</v>
      </c>
      <c r="G288" s="498"/>
      <c r="I288" s="479" t="str">
        <f t="shared" si="29"/>
        <v/>
      </c>
    </row>
    <row r="289" spans="1:9" ht="16.2" thickBot="1">
      <c r="A289" s="2" t="str">
        <f t="shared" si="30"/>
        <v/>
      </c>
      <c r="B289" t="str">
        <f t="shared" si="31"/>
        <v>5</v>
      </c>
      <c r="C289" t="str">
        <f t="shared" si="32"/>
        <v>04 Jul Mar</v>
      </c>
      <c r="D289" s="330" t="s">
        <v>628</v>
      </c>
      <c r="E289" s="495" t="s">
        <v>646</v>
      </c>
      <c r="F289" s="495" t="s">
        <v>1127</v>
      </c>
      <c r="G289" s="498"/>
      <c r="I289" s="479">
        <f t="shared" si="29"/>
        <v>1</v>
      </c>
    </row>
    <row r="290" spans="1:9" ht="16.2" thickBot="1">
      <c r="A290" s="2" t="str">
        <f t="shared" si="30"/>
        <v/>
      </c>
      <c r="B290" t="str">
        <f t="shared" si="31"/>
        <v>6</v>
      </c>
      <c r="C290" t="str">
        <f t="shared" si="32"/>
        <v>04 Jul Mar</v>
      </c>
      <c r="D290" s="330" t="s">
        <v>628</v>
      </c>
      <c r="E290" s="495" t="s">
        <v>647</v>
      </c>
      <c r="F290" s="495" t="s">
        <v>1128</v>
      </c>
      <c r="G290" s="498"/>
      <c r="I290" s="479" t="str">
        <f t="shared" si="29"/>
        <v/>
      </c>
    </row>
    <row r="291" spans="1:9" ht="16.2" thickBot="1">
      <c r="A291" s="2" t="str">
        <f t="shared" si="30"/>
        <v/>
      </c>
      <c r="B291" t="str">
        <f t="shared" si="31"/>
        <v>7</v>
      </c>
      <c r="C291" t="str">
        <f t="shared" si="32"/>
        <v>04 Jul Mar</v>
      </c>
      <c r="D291" s="330" t="s">
        <v>628</v>
      </c>
      <c r="E291" s="495" t="s">
        <v>648</v>
      </c>
      <c r="F291" s="498"/>
      <c r="G291" s="498"/>
      <c r="I291" s="479" t="str">
        <f t="shared" si="29"/>
        <v/>
      </c>
    </row>
    <row r="292" spans="1:9" ht="16.2" thickBot="1">
      <c r="A292" s="2" t="str">
        <f t="shared" si="30"/>
        <v/>
      </c>
      <c r="B292" t="str">
        <f t="shared" si="31"/>
        <v/>
      </c>
      <c r="C292" t="str">
        <f t="shared" si="32"/>
        <v>04 Jul Mar</v>
      </c>
      <c r="D292" s="330" t="s">
        <v>628</v>
      </c>
      <c r="E292" s="494"/>
      <c r="F292" s="499"/>
      <c r="G292" s="499"/>
      <c r="I292" s="479" t="str">
        <f t="shared" si="29"/>
        <v/>
      </c>
    </row>
    <row r="293" spans="1:9" ht="16.2" thickBot="1">
      <c r="A293" s="2">
        <f t="shared" si="30"/>
        <v>293</v>
      </c>
      <c r="B293" t="str">
        <f t="shared" si="31"/>
        <v>*</v>
      </c>
      <c r="C293" t="str">
        <f t="shared" si="32"/>
        <v>05 Jul Mer</v>
      </c>
      <c r="D293" s="330" t="s">
        <v>628</v>
      </c>
      <c r="E293" s="497" t="s">
        <v>1129</v>
      </c>
      <c r="F293" s="495" t="s">
        <v>664</v>
      </c>
      <c r="G293" s="498"/>
      <c r="I293" s="479" t="str">
        <f t="shared" si="29"/>
        <v/>
      </c>
    </row>
    <row r="294" spans="1:9" ht="16.2" thickBot="1">
      <c r="A294" s="2" t="str">
        <f t="shared" si="30"/>
        <v/>
      </c>
      <c r="B294" t="str">
        <f t="shared" si="31"/>
        <v>1</v>
      </c>
      <c r="C294" t="str">
        <f t="shared" si="32"/>
        <v>05 Jul Mer</v>
      </c>
      <c r="D294" s="330" t="s">
        <v>628</v>
      </c>
      <c r="E294" s="495" t="s">
        <v>641</v>
      </c>
      <c r="F294" s="495">
        <v>20</v>
      </c>
      <c r="G294" s="498"/>
      <c r="I294" s="479" t="str">
        <f t="shared" si="29"/>
        <v/>
      </c>
    </row>
    <row r="295" spans="1:9" ht="16.2" thickBot="1">
      <c r="A295" s="2" t="str">
        <f t="shared" si="30"/>
        <v/>
      </c>
      <c r="B295" t="str">
        <f t="shared" si="31"/>
        <v>2</v>
      </c>
      <c r="C295" t="str">
        <f t="shared" si="32"/>
        <v>05 Jul Mer</v>
      </c>
      <c r="D295" s="330" t="s">
        <v>628</v>
      </c>
      <c r="E295" s="495" t="s">
        <v>642</v>
      </c>
      <c r="F295" s="498"/>
      <c r="G295" s="498"/>
      <c r="I295" s="479" t="str">
        <f t="shared" si="29"/>
        <v/>
      </c>
    </row>
    <row r="296" spans="1:9" ht="16.2" thickBot="1">
      <c r="A296" s="2" t="str">
        <f t="shared" si="30"/>
        <v/>
      </c>
      <c r="B296" t="str">
        <f t="shared" si="31"/>
        <v>3</v>
      </c>
      <c r="C296" t="str">
        <f t="shared" si="32"/>
        <v>05 Jul Mer</v>
      </c>
      <c r="D296" s="330" t="s">
        <v>628</v>
      </c>
      <c r="E296" s="495" t="s">
        <v>643</v>
      </c>
      <c r="F296" s="495">
        <v>460</v>
      </c>
      <c r="G296" s="498"/>
      <c r="I296" s="479" t="str">
        <f t="shared" si="29"/>
        <v/>
      </c>
    </row>
    <row r="297" spans="1:9" ht="16.2" thickBot="1">
      <c r="A297" s="2" t="str">
        <f t="shared" si="30"/>
        <v/>
      </c>
      <c r="B297" t="str">
        <f t="shared" si="31"/>
        <v>4</v>
      </c>
      <c r="C297" t="str">
        <f t="shared" si="32"/>
        <v>05 Jul Mer</v>
      </c>
      <c r="D297" s="330" t="s">
        <v>628</v>
      </c>
      <c r="E297" s="495" t="s">
        <v>645</v>
      </c>
      <c r="F297" s="495">
        <v>80</v>
      </c>
      <c r="G297" s="498"/>
      <c r="I297" s="479" t="str">
        <f t="shared" si="29"/>
        <v/>
      </c>
    </row>
    <row r="298" spans="1:9" ht="16.2" thickBot="1">
      <c r="A298" s="2" t="str">
        <f t="shared" si="30"/>
        <v/>
      </c>
      <c r="B298" t="str">
        <f t="shared" si="31"/>
        <v>5</v>
      </c>
      <c r="C298" t="str">
        <f t="shared" si="32"/>
        <v>05 Jul Mer</v>
      </c>
      <c r="D298" s="330" t="s">
        <v>628</v>
      </c>
      <c r="E298" s="495" t="s">
        <v>646</v>
      </c>
      <c r="F298" s="498"/>
      <c r="G298" s="498"/>
      <c r="I298" s="479" t="str">
        <f t="shared" si="29"/>
        <v/>
      </c>
    </row>
    <row r="299" spans="1:9" ht="16.2" thickBot="1">
      <c r="A299" s="2" t="str">
        <f t="shared" si="30"/>
        <v/>
      </c>
      <c r="B299" t="str">
        <f t="shared" si="31"/>
        <v>6</v>
      </c>
      <c r="C299" t="str">
        <f t="shared" si="32"/>
        <v>05 Jul Mer</v>
      </c>
      <c r="D299" s="330" t="s">
        <v>628</v>
      </c>
      <c r="E299" s="495" t="s">
        <v>647</v>
      </c>
      <c r="F299" s="498"/>
      <c r="G299" s="498"/>
      <c r="I299" s="479" t="str">
        <f t="shared" si="29"/>
        <v/>
      </c>
    </row>
    <row r="300" spans="1:9" ht="16.2" thickBot="1">
      <c r="A300" s="2" t="str">
        <f t="shared" si="30"/>
        <v/>
      </c>
      <c r="B300" t="str">
        <f t="shared" si="31"/>
        <v>7</v>
      </c>
      <c r="C300" t="str">
        <f t="shared" si="32"/>
        <v>05 Jul Mer</v>
      </c>
      <c r="D300" s="330" t="s">
        <v>628</v>
      </c>
      <c r="E300" s="495" t="s">
        <v>648</v>
      </c>
      <c r="F300" s="498"/>
      <c r="G300" s="498"/>
      <c r="I300" s="479" t="str">
        <f t="shared" si="29"/>
        <v/>
      </c>
    </row>
    <row r="301" spans="1:9" ht="16.2" thickBot="1">
      <c r="A301" s="2" t="str">
        <f t="shared" si="30"/>
        <v/>
      </c>
      <c r="B301" t="str">
        <f t="shared" si="31"/>
        <v/>
      </c>
      <c r="C301" t="str">
        <f t="shared" si="32"/>
        <v>05 Jul Mer</v>
      </c>
      <c r="D301" s="330" t="s">
        <v>628</v>
      </c>
      <c r="E301" s="494"/>
      <c r="F301" s="499"/>
      <c r="G301" s="499"/>
      <c r="I301" s="479" t="str">
        <f t="shared" si="29"/>
        <v/>
      </c>
    </row>
    <row r="302" spans="1:9" ht="16.2" thickBot="1">
      <c r="A302" s="2">
        <f t="shared" si="30"/>
        <v>302</v>
      </c>
      <c r="B302" t="str">
        <f t="shared" si="31"/>
        <v>*</v>
      </c>
      <c r="C302" t="str">
        <f t="shared" si="32"/>
        <v>06 Jul Jeu</v>
      </c>
      <c r="D302" s="330" t="s">
        <v>628</v>
      </c>
      <c r="E302" s="497" t="s">
        <v>1130</v>
      </c>
      <c r="F302" s="495" t="s">
        <v>664</v>
      </c>
      <c r="G302" s="498"/>
      <c r="I302" s="479" t="str">
        <f t="shared" si="29"/>
        <v/>
      </c>
    </row>
    <row r="303" spans="1:9" ht="16.2" thickBot="1">
      <c r="A303" s="2" t="str">
        <f t="shared" si="30"/>
        <v/>
      </c>
      <c r="B303" t="str">
        <f t="shared" si="31"/>
        <v>1</v>
      </c>
      <c r="C303" t="str">
        <f t="shared" si="32"/>
        <v>06 Jul Jeu</v>
      </c>
      <c r="D303" s="330" t="s">
        <v>628</v>
      </c>
      <c r="E303" s="495" t="s">
        <v>641</v>
      </c>
      <c r="F303" s="495">
        <v>70</v>
      </c>
      <c r="G303" s="498"/>
      <c r="I303" s="479" t="str">
        <f t="shared" si="29"/>
        <v/>
      </c>
    </row>
    <row r="304" spans="1:9" ht="16.2" thickBot="1">
      <c r="A304" s="2" t="str">
        <f t="shared" si="30"/>
        <v/>
      </c>
      <c r="B304" t="str">
        <f t="shared" si="31"/>
        <v>2</v>
      </c>
      <c r="C304" t="str">
        <f t="shared" si="32"/>
        <v>06 Jul Jeu</v>
      </c>
      <c r="D304" s="330" t="s">
        <v>628</v>
      </c>
      <c r="E304" s="495" t="s">
        <v>642</v>
      </c>
      <c r="F304" s="498"/>
      <c r="G304" s="498"/>
      <c r="I304" s="479" t="str">
        <f t="shared" si="29"/>
        <v/>
      </c>
    </row>
    <row r="305" spans="1:9" ht="16.2" thickBot="1">
      <c r="A305" s="2" t="str">
        <f t="shared" si="30"/>
        <v/>
      </c>
      <c r="B305" t="str">
        <f t="shared" si="31"/>
        <v>3</v>
      </c>
      <c r="C305" t="str">
        <f t="shared" si="32"/>
        <v>06 Jul Jeu</v>
      </c>
      <c r="D305" s="330" t="s">
        <v>628</v>
      </c>
      <c r="E305" s="495" t="s">
        <v>643</v>
      </c>
      <c r="F305" s="495">
        <v>355</v>
      </c>
      <c r="G305" s="498"/>
      <c r="I305" s="479" t="str">
        <f t="shared" si="29"/>
        <v/>
      </c>
    </row>
    <row r="306" spans="1:9" ht="16.2" thickBot="1">
      <c r="A306" s="2" t="str">
        <f t="shared" si="30"/>
        <v/>
      </c>
      <c r="B306" t="str">
        <f t="shared" si="31"/>
        <v>4</v>
      </c>
      <c r="C306" t="str">
        <f t="shared" si="32"/>
        <v>06 Jul Jeu</v>
      </c>
      <c r="D306" s="330" t="s">
        <v>628</v>
      </c>
      <c r="E306" s="495" t="s">
        <v>645</v>
      </c>
      <c r="F306" s="495">
        <v>55</v>
      </c>
      <c r="G306" s="498"/>
      <c r="I306" s="479" t="str">
        <f t="shared" si="29"/>
        <v/>
      </c>
    </row>
    <row r="307" spans="1:9" ht="16.2" thickBot="1">
      <c r="A307" s="2" t="str">
        <f t="shared" si="30"/>
        <v/>
      </c>
      <c r="B307" t="str">
        <f t="shared" si="31"/>
        <v>5</v>
      </c>
      <c r="C307" t="str">
        <f t="shared" si="32"/>
        <v>06 Jul Jeu</v>
      </c>
      <c r="D307" s="330" t="s">
        <v>628</v>
      </c>
      <c r="E307" s="495" t="s">
        <v>646</v>
      </c>
      <c r="F307" s="495" t="s">
        <v>1131</v>
      </c>
      <c r="G307" s="495" t="s">
        <v>1132</v>
      </c>
      <c r="I307" s="479">
        <f t="shared" si="29"/>
        <v>1</v>
      </c>
    </row>
    <row r="308" spans="1:9" ht="16.2" thickBot="1">
      <c r="A308" s="2" t="str">
        <f t="shared" si="30"/>
        <v/>
      </c>
      <c r="B308" t="str">
        <f t="shared" si="31"/>
        <v>6</v>
      </c>
      <c r="C308" t="str">
        <f t="shared" si="32"/>
        <v>06 Jul Jeu</v>
      </c>
      <c r="D308" s="330" t="s">
        <v>628</v>
      </c>
      <c r="E308" s="495" t="s">
        <v>647</v>
      </c>
      <c r="F308" s="498"/>
      <c r="G308" s="498"/>
      <c r="I308" s="479" t="str">
        <f t="shared" si="29"/>
        <v/>
      </c>
    </row>
    <row r="309" spans="1:9" ht="16.2" thickBot="1">
      <c r="A309" s="2" t="str">
        <f t="shared" si="30"/>
        <v/>
      </c>
      <c r="B309" t="str">
        <f t="shared" si="31"/>
        <v>7</v>
      </c>
      <c r="C309" t="str">
        <f t="shared" si="32"/>
        <v>06 Jul Jeu</v>
      </c>
      <c r="D309" s="330" t="s">
        <v>628</v>
      </c>
      <c r="E309" s="495" t="s">
        <v>648</v>
      </c>
      <c r="F309" s="498"/>
      <c r="G309" s="498"/>
      <c r="I309" s="479" t="str">
        <f t="shared" si="29"/>
        <v/>
      </c>
    </row>
    <row r="310" spans="1:9" ht="16.2" thickBot="1">
      <c r="A310" s="2" t="str">
        <f t="shared" si="30"/>
        <v/>
      </c>
      <c r="B310" t="str">
        <f t="shared" si="31"/>
        <v>C</v>
      </c>
      <c r="C310" t="str">
        <f t="shared" si="32"/>
        <v>06 Jul Jeu</v>
      </c>
      <c r="D310" s="330" t="s">
        <v>628</v>
      </c>
      <c r="E310" s="511" t="s">
        <v>1133</v>
      </c>
      <c r="F310" s="499"/>
      <c r="G310" s="499"/>
      <c r="I310" s="479" t="str">
        <f t="shared" si="29"/>
        <v/>
      </c>
    </row>
    <row r="311" spans="1:9" ht="16.2" thickBot="1">
      <c r="A311" s="2">
        <f t="shared" si="30"/>
        <v>311</v>
      </c>
      <c r="B311" t="str">
        <f t="shared" si="31"/>
        <v>*</v>
      </c>
      <c r="C311" t="str">
        <f t="shared" si="32"/>
        <v>07 Jul Ven</v>
      </c>
      <c r="D311" s="330" t="s">
        <v>628</v>
      </c>
      <c r="E311" s="497" t="s">
        <v>1151</v>
      </c>
      <c r="F311" s="495" t="s">
        <v>664</v>
      </c>
      <c r="G311" s="498"/>
      <c r="I311" s="479" t="str">
        <f t="shared" si="29"/>
        <v/>
      </c>
    </row>
    <row r="312" spans="1:9" ht="16.2" thickBot="1">
      <c r="A312" s="2" t="str">
        <f t="shared" si="30"/>
        <v/>
      </c>
      <c r="B312" t="str">
        <f t="shared" si="31"/>
        <v>1</v>
      </c>
      <c r="C312" t="str">
        <f t="shared" si="32"/>
        <v>07 Jul Ven</v>
      </c>
      <c r="D312" s="330" t="s">
        <v>628</v>
      </c>
      <c r="E312" s="495" t="s">
        <v>641</v>
      </c>
      <c r="F312" s="495" t="s">
        <v>1134</v>
      </c>
      <c r="G312" s="498"/>
      <c r="I312" s="479" t="str">
        <f t="shared" si="29"/>
        <v/>
      </c>
    </row>
    <row r="313" spans="1:9" ht="16.2" thickBot="1">
      <c r="A313" s="2" t="str">
        <f t="shared" si="30"/>
        <v/>
      </c>
      <c r="B313" t="str">
        <f t="shared" si="31"/>
        <v>2</v>
      </c>
      <c r="C313" t="str">
        <f t="shared" si="32"/>
        <v>07 Jul Ven</v>
      </c>
      <c r="D313" s="330" t="s">
        <v>628</v>
      </c>
      <c r="E313" s="495" t="s">
        <v>642</v>
      </c>
      <c r="F313" s="495">
        <v>280</v>
      </c>
      <c r="G313" s="495" t="s">
        <v>1135</v>
      </c>
      <c r="I313" s="479" t="str">
        <f t="shared" si="29"/>
        <v/>
      </c>
    </row>
    <row r="314" spans="1:9" ht="16.2" thickBot="1">
      <c r="A314" s="2" t="str">
        <f t="shared" si="30"/>
        <v/>
      </c>
      <c r="B314" t="str">
        <f t="shared" si="31"/>
        <v>3</v>
      </c>
      <c r="C314" t="str">
        <f t="shared" si="32"/>
        <v>07 Jul Ven</v>
      </c>
      <c r="D314" s="330" t="s">
        <v>628</v>
      </c>
      <c r="E314" s="495" t="s">
        <v>643</v>
      </c>
      <c r="F314" s="495">
        <v>310</v>
      </c>
      <c r="G314" s="495" t="s">
        <v>1136</v>
      </c>
      <c r="I314" s="479" t="str">
        <f t="shared" si="29"/>
        <v/>
      </c>
    </row>
    <row r="315" spans="1:9" ht="16.2" thickBot="1">
      <c r="A315" s="2" t="str">
        <f t="shared" si="30"/>
        <v/>
      </c>
      <c r="B315" t="str">
        <f t="shared" si="31"/>
        <v>4</v>
      </c>
      <c r="C315" t="str">
        <f t="shared" si="32"/>
        <v>07 Jul Ven</v>
      </c>
      <c r="D315" s="330" t="s">
        <v>628</v>
      </c>
      <c r="E315" s="495" t="s">
        <v>645</v>
      </c>
      <c r="F315" s="495" t="s">
        <v>1137</v>
      </c>
      <c r="G315" s="498"/>
      <c r="I315" s="479" t="str">
        <f t="shared" si="29"/>
        <v/>
      </c>
    </row>
    <row r="316" spans="1:9" ht="16.2" thickBot="1">
      <c r="A316" s="2" t="str">
        <f t="shared" si="30"/>
        <v/>
      </c>
      <c r="B316" t="str">
        <f t="shared" si="31"/>
        <v>5</v>
      </c>
      <c r="C316" t="str">
        <f t="shared" si="32"/>
        <v>07 Jul Ven</v>
      </c>
      <c r="D316" s="330" t="s">
        <v>628</v>
      </c>
      <c r="E316" s="495" t="s">
        <v>646</v>
      </c>
      <c r="F316" s="495" t="s">
        <v>999</v>
      </c>
      <c r="G316" s="498"/>
      <c r="I316" s="479">
        <f t="shared" si="29"/>
        <v>1</v>
      </c>
    </row>
    <row r="317" spans="1:9" ht="16.2" thickBot="1">
      <c r="A317" s="2" t="str">
        <f t="shared" si="30"/>
        <v/>
      </c>
      <c r="B317" t="str">
        <f t="shared" si="31"/>
        <v>6</v>
      </c>
      <c r="C317" t="str">
        <f t="shared" si="32"/>
        <v>07 Jul Ven</v>
      </c>
      <c r="D317" s="330" t="s">
        <v>628</v>
      </c>
      <c r="E317" s="495" t="s">
        <v>647</v>
      </c>
      <c r="F317" s="498"/>
      <c r="G317" s="498"/>
      <c r="I317" s="479" t="str">
        <f t="shared" si="29"/>
        <v/>
      </c>
    </row>
    <row r="318" spans="1:9" ht="16.2" thickBot="1">
      <c r="A318" s="2" t="str">
        <f t="shared" si="30"/>
        <v/>
      </c>
      <c r="B318" t="str">
        <f t="shared" si="31"/>
        <v>7</v>
      </c>
      <c r="C318" t="str">
        <f t="shared" si="32"/>
        <v>07 Jul Ven</v>
      </c>
      <c r="D318" s="330" t="s">
        <v>628</v>
      </c>
      <c r="E318" s="495" t="s">
        <v>648</v>
      </c>
      <c r="F318" s="495" t="s">
        <v>1138</v>
      </c>
      <c r="G318" s="498"/>
      <c r="I318" s="479" t="str">
        <f t="shared" si="29"/>
        <v/>
      </c>
    </row>
    <row r="319" spans="1:9" ht="45.6" thickBot="1">
      <c r="A319" s="2" t="str">
        <f t="shared" si="30"/>
        <v/>
      </c>
      <c r="B319" t="str">
        <f t="shared" si="31"/>
        <v>4</v>
      </c>
      <c r="C319" t="str">
        <f t="shared" si="32"/>
        <v>07 Jul Ven</v>
      </c>
      <c r="D319" s="330" t="s">
        <v>628</v>
      </c>
      <c r="E319" s="493" t="s">
        <v>1139</v>
      </c>
      <c r="F319" s="499"/>
      <c r="G319" s="499"/>
      <c r="I319" s="479" t="str">
        <f t="shared" si="29"/>
        <v/>
      </c>
    </row>
    <row r="320" spans="1:9" ht="16.2" thickBot="1">
      <c r="A320" s="2">
        <f t="shared" si="30"/>
        <v>320</v>
      </c>
      <c r="B320" t="str">
        <f t="shared" si="31"/>
        <v>*</v>
      </c>
      <c r="C320" t="str">
        <f t="shared" si="32"/>
        <v>08 Jul sam</v>
      </c>
      <c r="D320" s="330" t="s">
        <v>628</v>
      </c>
      <c r="E320" s="497" t="s">
        <v>1152</v>
      </c>
      <c r="F320" s="495" t="s">
        <v>664</v>
      </c>
      <c r="G320" s="498"/>
      <c r="I320" s="479" t="str">
        <f t="shared" si="29"/>
        <v/>
      </c>
    </row>
    <row r="321" spans="1:14" ht="16.2" thickBot="1">
      <c r="A321" s="2" t="str">
        <f t="shared" si="30"/>
        <v/>
      </c>
      <c r="B321" t="str">
        <f t="shared" si="31"/>
        <v>1</v>
      </c>
      <c r="C321" t="str">
        <f t="shared" si="32"/>
        <v>08 Jul sam</v>
      </c>
      <c r="D321" s="330" t="s">
        <v>628</v>
      </c>
      <c r="E321" s="495" t="s">
        <v>641</v>
      </c>
      <c r="F321" s="495" t="s">
        <v>1134</v>
      </c>
      <c r="G321" s="498"/>
      <c r="I321" s="479" t="str">
        <f t="shared" si="29"/>
        <v/>
      </c>
    </row>
    <row r="322" spans="1:14" ht="16.2" thickBot="1">
      <c r="A322" s="2" t="str">
        <f t="shared" si="30"/>
        <v/>
      </c>
      <c r="B322" t="str">
        <f t="shared" si="31"/>
        <v>2</v>
      </c>
      <c r="C322" t="str">
        <f t="shared" si="32"/>
        <v>08 Jul sam</v>
      </c>
      <c r="D322" s="330" t="s">
        <v>628</v>
      </c>
      <c r="E322" s="495" t="s">
        <v>642</v>
      </c>
      <c r="F322" s="495">
        <v>280</v>
      </c>
      <c r="G322" s="495" t="s">
        <v>1135</v>
      </c>
      <c r="I322" s="479" t="str">
        <f t="shared" si="29"/>
        <v/>
      </c>
    </row>
    <row r="323" spans="1:14" ht="16.2" thickBot="1">
      <c r="A323" s="2" t="str">
        <f t="shared" si="30"/>
        <v/>
      </c>
      <c r="B323" t="str">
        <f t="shared" si="31"/>
        <v>3</v>
      </c>
      <c r="C323" t="str">
        <f t="shared" si="32"/>
        <v>08 Jul sam</v>
      </c>
      <c r="D323" s="330" t="s">
        <v>628</v>
      </c>
      <c r="E323" s="495" t="s">
        <v>643</v>
      </c>
      <c r="F323" s="495">
        <v>310</v>
      </c>
      <c r="G323" s="495" t="s">
        <v>1136</v>
      </c>
      <c r="I323" s="479" t="str">
        <f t="shared" si="29"/>
        <v/>
      </c>
    </row>
    <row r="324" spans="1:14" ht="16.2" thickBot="1">
      <c r="A324" s="2" t="str">
        <f t="shared" si="30"/>
        <v/>
      </c>
      <c r="B324" t="str">
        <f t="shared" si="31"/>
        <v>4</v>
      </c>
      <c r="C324" t="str">
        <f t="shared" si="32"/>
        <v>08 Jul sam</v>
      </c>
      <c r="D324" s="330" t="s">
        <v>628</v>
      </c>
      <c r="E324" s="495" t="s">
        <v>645</v>
      </c>
      <c r="F324" s="495" t="s">
        <v>1137</v>
      </c>
      <c r="G324" s="498"/>
      <c r="I324" s="479" t="str">
        <f t="shared" si="29"/>
        <v/>
      </c>
    </row>
    <row r="325" spans="1:14" ht="16.2" thickBot="1">
      <c r="A325" s="2" t="str">
        <f t="shared" si="30"/>
        <v/>
      </c>
      <c r="B325" t="str">
        <f t="shared" si="31"/>
        <v>5</v>
      </c>
      <c r="C325" t="str">
        <f t="shared" si="32"/>
        <v>08 Jul sam</v>
      </c>
      <c r="D325" s="330" t="s">
        <v>628</v>
      </c>
      <c r="E325" s="495" t="s">
        <v>646</v>
      </c>
      <c r="F325" s="495" t="s">
        <v>999</v>
      </c>
      <c r="G325" s="498"/>
      <c r="I325" s="479">
        <f t="shared" si="29"/>
        <v>1</v>
      </c>
    </row>
    <row r="326" spans="1:14" ht="16.2" thickBot="1">
      <c r="A326" s="2" t="str">
        <f t="shared" si="30"/>
        <v/>
      </c>
      <c r="B326" t="str">
        <f t="shared" si="31"/>
        <v>6</v>
      </c>
      <c r="C326" t="str">
        <f t="shared" si="32"/>
        <v>08 Jul sam</v>
      </c>
      <c r="D326" s="330" t="s">
        <v>628</v>
      </c>
      <c r="E326" s="495" t="s">
        <v>647</v>
      </c>
      <c r="F326" s="498"/>
      <c r="G326" s="498"/>
      <c r="I326" s="479" t="str">
        <f t="shared" si="29"/>
        <v/>
      </c>
    </row>
    <row r="327" spans="1:14" ht="30.6" thickBot="1">
      <c r="A327" s="2" t="str">
        <f t="shared" si="30"/>
        <v/>
      </c>
      <c r="B327" t="str">
        <f t="shared" si="31"/>
        <v>7</v>
      </c>
      <c r="C327" t="str">
        <f t="shared" si="32"/>
        <v>08 Jul sam</v>
      </c>
      <c r="D327" s="330" t="s">
        <v>628</v>
      </c>
      <c r="E327" s="495" t="s">
        <v>648</v>
      </c>
      <c r="F327" s="495" t="s">
        <v>1144</v>
      </c>
      <c r="G327" s="498"/>
      <c r="I327" s="479" t="str">
        <f t="shared" si="29"/>
        <v/>
      </c>
    </row>
    <row r="328" spans="1:14" ht="45.6" thickBot="1">
      <c r="A328" s="2" t="str">
        <f t="shared" si="30"/>
        <v/>
      </c>
      <c r="B328" t="str">
        <f t="shared" si="31"/>
        <v>4</v>
      </c>
      <c r="C328" t="str">
        <f t="shared" si="32"/>
        <v>08 Jul sam</v>
      </c>
      <c r="D328" s="330" t="s">
        <v>628</v>
      </c>
      <c r="E328" s="493" t="s">
        <v>1139</v>
      </c>
      <c r="F328" s="499"/>
      <c r="G328" s="499"/>
      <c r="I328" s="479" t="str">
        <f t="shared" ref="I328:I391" si="33">IFERROR(IF(VALUE(B328)=5,FIND($I$4,F328,1),""),"")</f>
        <v/>
      </c>
    </row>
    <row r="329" spans="1:14" ht="16.2" thickBot="1">
      <c r="A329" s="2">
        <f t="shared" ref="A329:A385" si="34">IF(B329="*",ROW(),"")</f>
        <v>329</v>
      </c>
      <c r="B329" t="str">
        <f t="shared" ref="B329:B385" si="35">LEFT(E329,1)</f>
        <v>*</v>
      </c>
      <c r="C329" t="str">
        <f t="shared" ref="C329:C385" si="36">IF(B329="*",RIGHT(E329,10),C328)</f>
        <v>08 Jul Sam</v>
      </c>
      <c r="D329" s="330" t="s">
        <v>628</v>
      </c>
      <c r="E329" s="497" t="s">
        <v>1153</v>
      </c>
      <c r="F329" s="495" t="s">
        <v>664</v>
      </c>
      <c r="G329" s="498"/>
      <c r="I329" s="479" t="str">
        <f t="shared" si="33"/>
        <v/>
      </c>
    </row>
    <row r="330" spans="1:14" ht="16.2" thickBot="1">
      <c r="A330" s="2" t="str">
        <f t="shared" si="34"/>
        <v/>
      </c>
      <c r="B330" t="str">
        <f t="shared" si="35"/>
        <v>1</v>
      </c>
      <c r="C330" t="str">
        <f t="shared" si="36"/>
        <v>08 Jul Sam</v>
      </c>
      <c r="D330" s="330" t="s">
        <v>628</v>
      </c>
      <c r="E330" s="495" t="s">
        <v>641</v>
      </c>
      <c r="F330" s="495">
        <v>110</v>
      </c>
      <c r="G330" s="495" t="s">
        <v>1154</v>
      </c>
      <c r="I330" s="479" t="str">
        <f t="shared" si="33"/>
        <v/>
      </c>
    </row>
    <row r="331" spans="1:14" ht="16.2" thickBot="1">
      <c r="A331" s="2" t="str">
        <f t="shared" si="34"/>
        <v/>
      </c>
      <c r="B331" t="str">
        <f t="shared" si="35"/>
        <v>2</v>
      </c>
      <c r="C331" t="str">
        <f t="shared" si="36"/>
        <v>08 Jul Sam</v>
      </c>
      <c r="D331" s="330" t="s">
        <v>628</v>
      </c>
      <c r="E331" s="495" t="s">
        <v>642</v>
      </c>
      <c r="F331" s="498"/>
      <c r="G331" s="498"/>
      <c r="I331" s="479" t="str">
        <f t="shared" si="33"/>
        <v/>
      </c>
      <c r="N331">
        <v>257</v>
      </c>
    </row>
    <row r="332" spans="1:14" ht="16.2" thickBot="1">
      <c r="A332" s="2" t="str">
        <f t="shared" si="34"/>
        <v/>
      </c>
      <c r="B332" t="str">
        <f t="shared" si="35"/>
        <v>3</v>
      </c>
      <c r="C332" t="str">
        <f t="shared" si="36"/>
        <v>08 Jul Sam</v>
      </c>
      <c r="D332" s="330" t="s">
        <v>628</v>
      </c>
      <c r="E332" s="495" t="s">
        <v>643</v>
      </c>
      <c r="F332" s="495">
        <v>600</v>
      </c>
      <c r="G332" s="498"/>
      <c r="I332" s="479" t="str">
        <f t="shared" si="33"/>
        <v/>
      </c>
      <c r="N332">
        <v>266</v>
      </c>
    </row>
    <row r="333" spans="1:14" ht="30.6" thickBot="1">
      <c r="A333" s="2" t="str">
        <f t="shared" si="34"/>
        <v/>
      </c>
      <c r="B333" t="str">
        <f t="shared" si="35"/>
        <v>4</v>
      </c>
      <c r="C333" t="str">
        <f t="shared" si="36"/>
        <v>08 Jul Sam</v>
      </c>
      <c r="D333" s="330" t="s">
        <v>628</v>
      </c>
      <c r="E333" s="495" t="s">
        <v>645</v>
      </c>
      <c r="F333" s="495" t="s">
        <v>1155</v>
      </c>
      <c r="G333" s="495" t="s">
        <v>1156</v>
      </c>
      <c r="I333" s="479" t="str">
        <f t="shared" si="33"/>
        <v/>
      </c>
      <c r="N333">
        <v>275</v>
      </c>
    </row>
    <row r="334" spans="1:14" ht="30.6" thickBot="1">
      <c r="A334" s="2" t="str">
        <f t="shared" si="34"/>
        <v/>
      </c>
      <c r="B334" t="str">
        <f t="shared" si="35"/>
        <v>5</v>
      </c>
      <c r="C334" t="str">
        <f t="shared" si="36"/>
        <v>08 Jul Sam</v>
      </c>
      <c r="D334" s="330" t="s">
        <v>628</v>
      </c>
      <c r="E334" s="495" t="s">
        <v>646</v>
      </c>
      <c r="F334" s="495" t="s">
        <v>1157</v>
      </c>
      <c r="G334" s="495" t="s">
        <v>1158</v>
      </c>
      <c r="I334" s="479">
        <f t="shared" si="33"/>
        <v>8</v>
      </c>
      <c r="N334">
        <v>284</v>
      </c>
    </row>
    <row r="335" spans="1:14" ht="16.2" thickBot="1">
      <c r="A335" s="2" t="str">
        <f t="shared" si="34"/>
        <v/>
      </c>
      <c r="B335" t="str">
        <f t="shared" si="35"/>
        <v>6</v>
      </c>
      <c r="C335" t="str">
        <f t="shared" si="36"/>
        <v>08 Jul Sam</v>
      </c>
      <c r="D335" s="330" t="s">
        <v>628</v>
      </c>
      <c r="E335" s="495" t="s">
        <v>647</v>
      </c>
      <c r="F335" s="498"/>
      <c r="G335" s="498"/>
      <c r="I335" s="479" t="str">
        <f t="shared" si="33"/>
        <v/>
      </c>
      <c r="N335">
        <v>293</v>
      </c>
    </row>
    <row r="336" spans="1:14" ht="16.2" thickBot="1">
      <c r="A336" s="2" t="str">
        <f t="shared" si="34"/>
        <v/>
      </c>
      <c r="B336" t="str">
        <f t="shared" si="35"/>
        <v>7</v>
      </c>
      <c r="C336" t="str">
        <f t="shared" si="36"/>
        <v>08 Jul Sam</v>
      </c>
      <c r="D336" s="330" t="s">
        <v>628</v>
      </c>
      <c r="E336" s="495" t="s">
        <v>648</v>
      </c>
      <c r="F336" s="498"/>
      <c r="G336" s="498"/>
      <c r="I336" s="479" t="str">
        <f t="shared" si="33"/>
        <v/>
      </c>
      <c r="N336">
        <v>302</v>
      </c>
    </row>
    <row r="337" spans="1:14" ht="16.2" thickBot="1">
      <c r="A337" s="2" t="str">
        <f t="shared" si="34"/>
        <v/>
      </c>
      <c r="B337" t="str">
        <f t="shared" si="35"/>
        <v/>
      </c>
      <c r="C337" t="str">
        <f t="shared" si="36"/>
        <v>08 Jul Sam</v>
      </c>
      <c r="D337" s="330" t="s">
        <v>628</v>
      </c>
      <c r="E337" s="494"/>
      <c r="F337" s="499"/>
      <c r="G337" s="499"/>
      <c r="I337" s="479" t="str">
        <f t="shared" si="33"/>
        <v/>
      </c>
      <c r="N337">
        <v>311</v>
      </c>
    </row>
    <row r="338" spans="1:14" ht="16.2" thickBot="1">
      <c r="A338" s="2">
        <f t="shared" si="34"/>
        <v>338</v>
      </c>
      <c r="B338" t="str">
        <f t="shared" si="35"/>
        <v>*</v>
      </c>
      <c r="C338" t="str">
        <f t="shared" si="36"/>
        <v>09 Jul Dim</v>
      </c>
      <c r="D338" s="330" t="s">
        <v>628</v>
      </c>
      <c r="E338" s="497" t="s">
        <v>1159</v>
      </c>
      <c r="F338" s="495" t="s">
        <v>664</v>
      </c>
      <c r="G338" s="498"/>
      <c r="I338" s="479" t="str">
        <f t="shared" si="33"/>
        <v/>
      </c>
      <c r="N338">
        <v>320</v>
      </c>
    </row>
    <row r="339" spans="1:14" ht="16.2" thickBot="1">
      <c r="A339" s="2" t="str">
        <f t="shared" si="34"/>
        <v/>
      </c>
      <c r="B339" t="str">
        <f t="shared" si="35"/>
        <v>1</v>
      </c>
      <c r="C339" t="str">
        <f t="shared" si="36"/>
        <v>09 Jul Dim</v>
      </c>
      <c r="D339" s="330" t="s">
        <v>628</v>
      </c>
      <c r="E339" s="495" t="s">
        <v>641</v>
      </c>
      <c r="F339" s="498"/>
      <c r="G339" s="498"/>
      <c r="I339" s="479" t="str">
        <f t="shared" si="33"/>
        <v/>
      </c>
    </row>
    <row r="340" spans="1:14" ht="16.2" thickBot="1">
      <c r="A340" s="2" t="str">
        <f t="shared" si="34"/>
        <v/>
      </c>
      <c r="B340" t="str">
        <f t="shared" si="35"/>
        <v>2</v>
      </c>
      <c r="C340" t="str">
        <f t="shared" si="36"/>
        <v>09 Jul Dim</v>
      </c>
      <c r="D340" s="330" t="s">
        <v>628</v>
      </c>
      <c r="E340" s="495" t="s">
        <v>642</v>
      </c>
      <c r="F340" s="498"/>
      <c r="G340" s="498"/>
      <c r="I340" s="479" t="str">
        <f t="shared" si="33"/>
        <v/>
      </c>
    </row>
    <row r="341" spans="1:14" ht="16.2" thickBot="1">
      <c r="A341" s="2" t="str">
        <f t="shared" si="34"/>
        <v/>
      </c>
      <c r="B341" t="str">
        <f t="shared" si="35"/>
        <v>3</v>
      </c>
      <c r="C341" t="str">
        <f t="shared" si="36"/>
        <v>09 Jul Dim</v>
      </c>
      <c r="D341" s="330" t="s">
        <v>628</v>
      </c>
      <c r="E341" s="495" t="s">
        <v>643</v>
      </c>
      <c r="F341" s="498"/>
      <c r="G341" s="498"/>
      <c r="I341" s="479" t="str">
        <f t="shared" si="33"/>
        <v/>
      </c>
    </row>
    <row r="342" spans="1:14" ht="16.2" thickBot="1">
      <c r="A342" s="2" t="str">
        <f t="shared" si="34"/>
        <v/>
      </c>
      <c r="B342" t="str">
        <f t="shared" si="35"/>
        <v>4</v>
      </c>
      <c r="C342" t="str">
        <f t="shared" si="36"/>
        <v>09 Jul Dim</v>
      </c>
      <c r="D342" s="330" t="s">
        <v>628</v>
      </c>
      <c r="E342" s="495" t="s">
        <v>645</v>
      </c>
      <c r="F342" s="500" t="s">
        <v>1160</v>
      </c>
      <c r="G342" s="498"/>
      <c r="I342" s="479" t="str">
        <f t="shared" si="33"/>
        <v/>
      </c>
    </row>
    <row r="343" spans="1:14" ht="16.2" thickBot="1">
      <c r="A343" s="2" t="str">
        <f t="shared" si="34"/>
        <v/>
      </c>
      <c r="B343" t="str">
        <f t="shared" si="35"/>
        <v>5</v>
      </c>
      <c r="C343" t="str">
        <f t="shared" si="36"/>
        <v>09 Jul Dim</v>
      </c>
      <c r="D343" s="330" t="s">
        <v>628</v>
      </c>
      <c r="E343" s="495" t="s">
        <v>646</v>
      </c>
      <c r="F343" s="495" t="s">
        <v>999</v>
      </c>
      <c r="G343" s="498"/>
      <c r="I343" s="479">
        <f t="shared" si="33"/>
        <v>1</v>
      </c>
    </row>
    <row r="344" spans="1:14" ht="16.2" thickBot="1">
      <c r="A344" s="2" t="str">
        <f t="shared" si="34"/>
        <v/>
      </c>
      <c r="B344" t="str">
        <f t="shared" si="35"/>
        <v>6</v>
      </c>
      <c r="C344" t="str">
        <f t="shared" si="36"/>
        <v>09 Jul Dim</v>
      </c>
      <c r="D344" s="330" t="s">
        <v>628</v>
      </c>
      <c r="E344" s="495" t="s">
        <v>647</v>
      </c>
      <c r="F344" s="498"/>
      <c r="G344" s="498"/>
      <c r="I344" s="479" t="str">
        <f t="shared" si="33"/>
        <v/>
      </c>
    </row>
    <row r="345" spans="1:14" ht="16.2" thickBot="1">
      <c r="A345" s="2" t="str">
        <f t="shared" si="34"/>
        <v/>
      </c>
      <c r="B345" t="str">
        <f t="shared" si="35"/>
        <v>7</v>
      </c>
      <c r="C345" t="str">
        <f t="shared" si="36"/>
        <v>09 Jul Dim</v>
      </c>
      <c r="D345" s="330" t="s">
        <v>628</v>
      </c>
      <c r="E345" s="495" t="s">
        <v>648</v>
      </c>
      <c r="F345" s="498"/>
      <c r="G345" s="498"/>
      <c r="I345" s="479" t="str">
        <f t="shared" si="33"/>
        <v/>
      </c>
    </row>
    <row r="346" spans="1:14" ht="16.2" thickBot="1">
      <c r="A346" s="2" t="str">
        <f t="shared" si="34"/>
        <v/>
      </c>
      <c r="B346" t="str">
        <f t="shared" si="35"/>
        <v/>
      </c>
      <c r="C346" t="str">
        <f t="shared" si="36"/>
        <v>09 Jul Dim</v>
      </c>
      <c r="D346" s="330" t="s">
        <v>628</v>
      </c>
      <c r="E346" s="494"/>
      <c r="F346" s="499"/>
      <c r="G346" s="499"/>
      <c r="I346" s="479" t="str">
        <f t="shared" si="33"/>
        <v/>
      </c>
    </row>
    <row r="347" spans="1:14" ht="16.2" thickBot="1">
      <c r="A347" s="2">
        <f t="shared" si="34"/>
        <v>347</v>
      </c>
      <c r="B347" t="str">
        <f t="shared" si="35"/>
        <v>*</v>
      </c>
      <c r="C347" t="str">
        <f t="shared" si="36"/>
        <v>10 Jul Lun</v>
      </c>
      <c r="D347" s="330" t="s">
        <v>628</v>
      </c>
      <c r="E347" s="497" t="s">
        <v>1161</v>
      </c>
      <c r="F347" s="495" t="s">
        <v>664</v>
      </c>
      <c r="G347" s="498"/>
      <c r="I347" s="479" t="str">
        <f t="shared" si="33"/>
        <v/>
      </c>
    </row>
    <row r="348" spans="1:14" ht="16.2" thickBot="1">
      <c r="A348" s="2" t="str">
        <f t="shared" si="34"/>
        <v/>
      </c>
      <c r="B348" t="str">
        <f t="shared" si="35"/>
        <v>1</v>
      </c>
      <c r="C348" t="str">
        <f t="shared" si="36"/>
        <v>10 Jul Lun</v>
      </c>
      <c r="D348" s="330" t="s">
        <v>628</v>
      </c>
      <c r="E348" s="495" t="s">
        <v>641</v>
      </c>
      <c r="F348" s="495" t="s">
        <v>1162</v>
      </c>
      <c r="G348" s="498"/>
      <c r="I348" s="479" t="str">
        <f t="shared" si="33"/>
        <v/>
      </c>
    </row>
    <row r="349" spans="1:14" ht="16.2" thickBot="1">
      <c r="A349" s="2" t="str">
        <f t="shared" si="34"/>
        <v/>
      </c>
      <c r="B349" t="str">
        <f t="shared" si="35"/>
        <v>2</v>
      </c>
      <c r="C349" t="str">
        <f t="shared" si="36"/>
        <v>10 Jul Lun</v>
      </c>
      <c r="D349" s="330" t="s">
        <v>628</v>
      </c>
      <c r="E349" s="495" t="s">
        <v>642</v>
      </c>
      <c r="F349" s="495">
        <v>310</v>
      </c>
      <c r="G349" s="495" t="s">
        <v>1163</v>
      </c>
      <c r="I349" s="479" t="str">
        <f t="shared" si="33"/>
        <v/>
      </c>
    </row>
    <row r="350" spans="1:14" ht="16.2" thickBot="1">
      <c r="A350" s="2" t="str">
        <f t="shared" si="34"/>
        <v/>
      </c>
      <c r="B350" t="str">
        <f t="shared" si="35"/>
        <v>3</v>
      </c>
      <c r="C350" t="str">
        <f t="shared" si="36"/>
        <v>10 Jul Lun</v>
      </c>
      <c r="D350" s="330" t="s">
        <v>628</v>
      </c>
      <c r="E350" s="495" t="s">
        <v>643</v>
      </c>
      <c r="F350" s="498"/>
      <c r="G350" s="498"/>
      <c r="I350" s="479" t="str">
        <f t="shared" si="33"/>
        <v/>
      </c>
    </row>
    <row r="351" spans="1:14" ht="16.2" thickBot="1">
      <c r="A351" s="2" t="str">
        <f t="shared" si="34"/>
        <v/>
      </c>
      <c r="B351" t="str">
        <f t="shared" si="35"/>
        <v>4</v>
      </c>
      <c r="C351" t="str">
        <f t="shared" si="36"/>
        <v>10 Jul Lun</v>
      </c>
      <c r="D351" s="330" t="s">
        <v>628</v>
      </c>
      <c r="E351" s="495" t="s">
        <v>645</v>
      </c>
      <c r="F351" s="495" t="s">
        <v>1164</v>
      </c>
      <c r="G351" s="498"/>
      <c r="I351" s="479" t="str">
        <f t="shared" si="33"/>
        <v/>
      </c>
    </row>
    <row r="352" spans="1:14" ht="16.2" thickBot="1">
      <c r="A352" s="2" t="str">
        <f t="shared" si="34"/>
        <v/>
      </c>
      <c r="B352" t="str">
        <f t="shared" si="35"/>
        <v>5</v>
      </c>
      <c r="C352" t="str">
        <f t="shared" si="36"/>
        <v>10 Jul Lun</v>
      </c>
      <c r="D352" s="330" t="s">
        <v>628</v>
      </c>
      <c r="E352" s="495" t="s">
        <v>646</v>
      </c>
      <c r="F352" s="498"/>
      <c r="G352" s="498"/>
      <c r="I352" s="479" t="str">
        <f t="shared" si="33"/>
        <v/>
      </c>
    </row>
    <row r="353" spans="1:13" ht="16.2" thickBot="1">
      <c r="A353" s="2" t="str">
        <f t="shared" si="34"/>
        <v/>
      </c>
      <c r="B353" t="str">
        <f t="shared" si="35"/>
        <v>6</v>
      </c>
      <c r="C353" t="str">
        <f t="shared" si="36"/>
        <v>10 Jul Lun</v>
      </c>
      <c r="D353" s="330" t="s">
        <v>628</v>
      </c>
      <c r="E353" s="495" t="s">
        <v>647</v>
      </c>
      <c r="F353" s="498"/>
      <c r="G353" s="498"/>
      <c r="I353" s="479" t="str">
        <f t="shared" si="33"/>
        <v/>
      </c>
    </row>
    <row r="354" spans="1:13" ht="16.2" thickBot="1">
      <c r="A354" s="2" t="str">
        <f t="shared" si="34"/>
        <v/>
      </c>
      <c r="B354" t="str">
        <f t="shared" si="35"/>
        <v>7</v>
      </c>
      <c r="C354" t="str">
        <f t="shared" si="36"/>
        <v>10 Jul Lun</v>
      </c>
      <c r="D354" s="330" t="s">
        <v>628</v>
      </c>
      <c r="E354" s="495" t="s">
        <v>648</v>
      </c>
      <c r="F354" s="495">
        <v>70</v>
      </c>
      <c r="G354" s="495" t="s">
        <v>1165</v>
      </c>
      <c r="I354" s="479" t="str">
        <f t="shared" si="33"/>
        <v/>
      </c>
    </row>
    <row r="355" spans="1:13" ht="16.2" thickBot="1">
      <c r="A355" s="2" t="str">
        <f t="shared" si="34"/>
        <v/>
      </c>
      <c r="B355" t="str">
        <f t="shared" si="35"/>
        <v/>
      </c>
      <c r="C355" t="str">
        <f t="shared" si="36"/>
        <v>10 Jul Lun</v>
      </c>
      <c r="D355" s="330" t="s">
        <v>628</v>
      </c>
      <c r="E355" s="494"/>
      <c r="F355" s="499"/>
      <c r="G355" s="499"/>
      <c r="I355" s="479" t="str">
        <f t="shared" si="33"/>
        <v/>
      </c>
    </row>
    <row r="356" spans="1:13" ht="16.2" thickBot="1">
      <c r="A356" s="2">
        <f t="shared" si="34"/>
        <v>356</v>
      </c>
      <c r="B356" t="str">
        <f t="shared" si="35"/>
        <v>*</v>
      </c>
      <c r="C356" t="str">
        <f t="shared" si="36"/>
        <v>11 Jul Mar</v>
      </c>
      <c r="D356" s="330" t="s">
        <v>628</v>
      </c>
      <c r="E356" s="497" t="s">
        <v>1166</v>
      </c>
      <c r="F356" s="495" t="s">
        <v>664</v>
      </c>
      <c r="G356" s="498"/>
      <c r="I356" s="479" t="str">
        <f t="shared" si="33"/>
        <v/>
      </c>
    </row>
    <row r="357" spans="1:13" ht="16.2" thickBot="1">
      <c r="A357" s="2" t="str">
        <f t="shared" si="34"/>
        <v/>
      </c>
      <c r="B357" t="str">
        <f t="shared" si="35"/>
        <v>1</v>
      </c>
      <c r="C357" t="str">
        <f t="shared" si="36"/>
        <v>11 Jul Mar</v>
      </c>
      <c r="D357" s="330" t="s">
        <v>628</v>
      </c>
      <c r="E357" s="495" t="s">
        <v>641</v>
      </c>
      <c r="F357" s="514">
        <v>60177</v>
      </c>
      <c r="G357" s="498"/>
      <c r="I357" s="479" t="str">
        <f t="shared" si="33"/>
        <v/>
      </c>
    </row>
    <row r="358" spans="1:13" ht="16.2" thickBot="1">
      <c r="A358" s="2" t="str">
        <f t="shared" si="34"/>
        <v/>
      </c>
      <c r="B358" t="str">
        <f t="shared" si="35"/>
        <v>2</v>
      </c>
      <c r="C358" t="str">
        <f t="shared" si="36"/>
        <v>11 Jul Mar</v>
      </c>
      <c r="D358" s="330" t="s">
        <v>628</v>
      </c>
      <c r="E358" s="495" t="s">
        <v>642</v>
      </c>
      <c r="F358" s="495">
        <v>520</v>
      </c>
      <c r="G358" s="498"/>
      <c r="I358" s="479" t="str">
        <f t="shared" si="33"/>
        <v/>
      </c>
    </row>
    <row r="359" spans="1:13" ht="16.2" thickBot="1">
      <c r="A359" s="2" t="str">
        <f t="shared" si="34"/>
        <v/>
      </c>
      <c r="B359" t="str">
        <f t="shared" si="35"/>
        <v>3</v>
      </c>
      <c r="C359" t="str">
        <f t="shared" si="36"/>
        <v>11 Jul Mar</v>
      </c>
      <c r="D359" s="330" t="s">
        <v>628</v>
      </c>
      <c r="E359" s="495" t="s">
        <v>643</v>
      </c>
      <c r="F359" s="495">
        <v>500</v>
      </c>
      <c r="G359" s="498"/>
      <c r="I359" s="479" t="str">
        <f t="shared" si="33"/>
        <v/>
      </c>
    </row>
    <row r="360" spans="1:13" ht="16.2" thickBot="1">
      <c r="A360" s="2" t="str">
        <f t="shared" si="34"/>
        <v/>
      </c>
      <c r="B360" t="str">
        <f t="shared" si="35"/>
        <v>4</v>
      </c>
      <c r="C360" t="str">
        <f t="shared" si="36"/>
        <v>11 Jul Mar</v>
      </c>
      <c r="D360" s="330" t="s">
        <v>628</v>
      </c>
      <c r="E360" s="495" t="s">
        <v>645</v>
      </c>
      <c r="F360" s="498"/>
      <c r="G360" s="498"/>
      <c r="I360" s="479" t="str">
        <f t="shared" si="33"/>
        <v/>
      </c>
    </row>
    <row r="361" spans="1:13" ht="16.2" thickBot="1">
      <c r="A361" s="2" t="str">
        <f t="shared" si="34"/>
        <v/>
      </c>
      <c r="B361" t="str">
        <f t="shared" si="35"/>
        <v>5</v>
      </c>
      <c r="C361" t="str">
        <f t="shared" si="36"/>
        <v>11 Jul Mar</v>
      </c>
      <c r="D361" s="330" t="s">
        <v>628</v>
      </c>
      <c r="E361" s="495" t="s">
        <v>646</v>
      </c>
      <c r="F361" s="495" t="s">
        <v>1167</v>
      </c>
      <c r="G361" s="498"/>
      <c r="I361" s="479">
        <v>2</v>
      </c>
    </row>
    <row r="362" spans="1:13" ht="16.2" thickBot="1">
      <c r="A362" s="2" t="str">
        <f t="shared" si="34"/>
        <v/>
      </c>
      <c r="B362" t="str">
        <f t="shared" si="35"/>
        <v>6</v>
      </c>
      <c r="C362" t="str">
        <f t="shared" si="36"/>
        <v>11 Jul Mar</v>
      </c>
      <c r="D362" s="330" t="s">
        <v>628</v>
      </c>
      <c r="E362" s="495" t="s">
        <v>647</v>
      </c>
      <c r="F362" s="495">
        <v>130</v>
      </c>
      <c r="G362" s="498"/>
      <c r="I362" s="479" t="str">
        <f t="shared" si="33"/>
        <v/>
      </c>
    </row>
    <row r="363" spans="1:13" ht="16.2" thickBot="1">
      <c r="A363" s="2" t="str">
        <f t="shared" si="34"/>
        <v/>
      </c>
      <c r="B363" t="str">
        <f t="shared" si="35"/>
        <v>7</v>
      </c>
      <c r="C363" t="str">
        <f t="shared" si="36"/>
        <v>11 Jul Mar</v>
      </c>
      <c r="D363" s="330" t="s">
        <v>628</v>
      </c>
      <c r="E363" s="495" t="s">
        <v>648</v>
      </c>
      <c r="F363" s="498"/>
      <c r="G363" s="498"/>
      <c r="I363" s="479" t="str">
        <f t="shared" si="33"/>
        <v/>
      </c>
    </row>
    <row r="364" spans="1:13" ht="16.2" thickBot="1">
      <c r="A364" s="2" t="str">
        <f t="shared" si="34"/>
        <v/>
      </c>
      <c r="B364" t="str">
        <f t="shared" si="35"/>
        <v>L</v>
      </c>
      <c r="C364" t="str">
        <f t="shared" si="36"/>
        <v>11 Jul Mar</v>
      </c>
      <c r="D364" s="330" t="s">
        <v>628</v>
      </c>
      <c r="E364" s="493" t="s">
        <v>1168</v>
      </c>
      <c r="F364" s="499"/>
      <c r="G364" s="499"/>
      <c r="I364" s="479" t="str">
        <f t="shared" si="33"/>
        <v/>
      </c>
    </row>
    <row r="365" spans="1:13" ht="16.2" thickBot="1">
      <c r="A365" s="2">
        <f t="shared" si="34"/>
        <v>365</v>
      </c>
      <c r="B365" t="str">
        <f t="shared" si="35"/>
        <v>*</v>
      </c>
      <c r="C365" t="str">
        <f t="shared" si="36"/>
        <v>12 Jul Mer</v>
      </c>
      <c r="D365" s="330" t="s">
        <v>628</v>
      </c>
      <c r="E365" s="497" t="s">
        <v>1169</v>
      </c>
      <c r="F365" s="495" t="s">
        <v>664</v>
      </c>
      <c r="G365" s="498"/>
      <c r="I365" s="479" t="str">
        <f t="shared" si="33"/>
        <v/>
      </c>
    </row>
    <row r="366" spans="1:13" ht="16.2" thickBot="1">
      <c r="A366" s="2" t="str">
        <f t="shared" si="34"/>
        <v/>
      </c>
      <c r="B366" t="str">
        <f t="shared" si="35"/>
        <v>1</v>
      </c>
      <c r="C366" t="str">
        <f t="shared" si="36"/>
        <v>12 Jul Mer</v>
      </c>
      <c r="D366" s="330" t="s">
        <v>628</v>
      </c>
      <c r="E366" s="495" t="s">
        <v>641</v>
      </c>
      <c r="F366" s="495" t="s">
        <v>1170</v>
      </c>
      <c r="G366" s="495" t="s">
        <v>1171</v>
      </c>
      <c r="I366" s="479" t="str">
        <f t="shared" si="33"/>
        <v/>
      </c>
    </row>
    <row r="367" spans="1:13" ht="16.2" thickBot="1">
      <c r="A367" s="2" t="str">
        <f t="shared" si="34"/>
        <v/>
      </c>
      <c r="B367" t="str">
        <f t="shared" si="35"/>
        <v>2</v>
      </c>
      <c r="C367" t="str">
        <f t="shared" si="36"/>
        <v>12 Jul Mer</v>
      </c>
      <c r="D367" s="330" t="s">
        <v>628</v>
      </c>
      <c r="E367" s="495" t="s">
        <v>642</v>
      </c>
      <c r="F367" s="500" t="s">
        <v>1172</v>
      </c>
      <c r="G367" s="498"/>
      <c r="I367" s="479" t="str">
        <f t="shared" si="33"/>
        <v/>
      </c>
    </row>
    <row r="368" spans="1:13" ht="16.2" thickBot="1">
      <c r="A368" s="2" t="str">
        <f t="shared" si="34"/>
        <v/>
      </c>
      <c r="B368" t="str">
        <f t="shared" si="35"/>
        <v>3</v>
      </c>
      <c r="C368" t="str">
        <f t="shared" si="36"/>
        <v>12 Jul Mer</v>
      </c>
      <c r="D368" s="330" t="s">
        <v>628</v>
      </c>
      <c r="E368" s="495" t="s">
        <v>643</v>
      </c>
      <c r="F368" s="498"/>
      <c r="G368" s="498"/>
      <c r="I368" s="479" t="str">
        <f t="shared" si="33"/>
        <v/>
      </c>
      <c r="M368">
        <v>329</v>
      </c>
    </row>
    <row r="369" spans="1:13" ht="16.2" thickBot="1">
      <c r="A369" s="2" t="str">
        <f t="shared" si="34"/>
        <v/>
      </c>
      <c r="B369" t="str">
        <f t="shared" si="35"/>
        <v>4</v>
      </c>
      <c r="C369" t="str">
        <f t="shared" si="36"/>
        <v>12 Jul Mer</v>
      </c>
      <c r="D369" s="330" t="s">
        <v>628</v>
      </c>
      <c r="E369" s="495" t="s">
        <v>645</v>
      </c>
      <c r="F369" s="500" t="s">
        <v>1173</v>
      </c>
      <c r="G369" s="498"/>
      <c r="I369" s="479" t="str">
        <f t="shared" si="33"/>
        <v/>
      </c>
      <c r="M369">
        <v>338</v>
      </c>
    </row>
    <row r="370" spans="1:13" ht="16.2" thickBot="1">
      <c r="A370" s="2" t="str">
        <f t="shared" si="34"/>
        <v/>
      </c>
      <c r="B370" t="str">
        <f t="shared" si="35"/>
        <v>5</v>
      </c>
      <c r="C370" t="str">
        <f t="shared" si="36"/>
        <v>12 Jul Mer</v>
      </c>
      <c r="D370" s="330" t="s">
        <v>628</v>
      </c>
      <c r="E370" s="495" t="s">
        <v>646</v>
      </c>
      <c r="F370" s="495" t="s">
        <v>999</v>
      </c>
      <c r="G370" s="498"/>
      <c r="I370" s="479">
        <f t="shared" si="33"/>
        <v>1</v>
      </c>
      <c r="M370">
        <v>347</v>
      </c>
    </row>
    <row r="371" spans="1:13" ht="16.2" thickBot="1">
      <c r="A371" s="2" t="str">
        <f t="shared" si="34"/>
        <v/>
      </c>
      <c r="B371" t="str">
        <f t="shared" si="35"/>
        <v>6</v>
      </c>
      <c r="C371" t="str">
        <f t="shared" si="36"/>
        <v>12 Jul Mer</v>
      </c>
      <c r="D371" s="330" t="s">
        <v>628</v>
      </c>
      <c r="E371" s="495" t="s">
        <v>647</v>
      </c>
      <c r="F371" s="495">
        <v>40</v>
      </c>
      <c r="G371" s="498"/>
      <c r="I371" s="479" t="str">
        <f t="shared" si="33"/>
        <v/>
      </c>
      <c r="M371">
        <v>356</v>
      </c>
    </row>
    <row r="372" spans="1:13" ht="16.2" thickBot="1">
      <c r="A372" s="2" t="str">
        <f t="shared" si="34"/>
        <v/>
      </c>
      <c r="B372" t="str">
        <f t="shared" si="35"/>
        <v>7</v>
      </c>
      <c r="C372" t="str">
        <f t="shared" si="36"/>
        <v>12 Jul Mer</v>
      </c>
      <c r="D372" s="330" t="s">
        <v>628</v>
      </c>
      <c r="E372" s="495" t="s">
        <v>648</v>
      </c>
      <c r="F372" s="498"/>
      <c r="G372" s="498"/>
      <c r="I372" s="479" t="str">
        <f t="shared" si="33"/>
        <v/>
      </c>
      <c r="M372">
        <v>365</v>
      </c>
    </row>
    <row r="373" spans="1:13" ht="16.2" thickBot="1">
      <c r="A373" s="2" t="str">
        <f t="shared" si="34"/>
        <v/>
      </c>
      <c r="B373" t="str">
        <f t="shared" si="35"/>
        <v>C</v>
      </c>
      <c r="C373" t="str">
        <f t="shared" si="36"/>
        <v>12 Jul Mer</v>
      </c>
      <c r="D373" s="330" t="s">
        <v>628</v>
      </c>
      <c r="E373" s="493" t="s">
        <v>1174</v>
      </c>
      <c r="F373" s="499"/>
      <c r="G373" s="499"/>
      <c r="I373" s="479" t="str">
        <f t="shared" si="33"/>
        <v/>
      </c>
      <c r="M373">
        <v>374</v>
      </c>
    </row>
    <row r="374" spans="1:13" ht="16.2" thickBot="1">
      <c r="A374" s="2">
        <f t="shared" si="34"/>
        <v>374</v>
      </c>
      <c r="B374" t="str">
        <f t="shared" si="35"/>
        <v>*</v>
      </c>
      <c r="C374" t="str">
        <f t="shared" si="36"/>
        <v>13 Jul Jeu</v>
      </c>
      <c r="D374" s="330" t="s">
        <v>628</v>
      </c>
      <c r="E374" s="497" t="s">
        <v>1175</v>
      </c>
      <c r="F374" s="495" t="s">
        <v>664</v>
      </c>
      <c r="G374" s="498"/>
      <c r="I374" s="479" t="str">
        <f t="shared" si="33"/>
        <v/>
      </c>
    </row>
    <row r="375" spans="1:13" ht="16.2" thickBot="1">
      <c r="A375" s="2" t="str">
        <f t="shared" si="34"/>
        <v/>
      </c>
      <c r="B375" t="str">
        <f t="shared" si="35"/>
        <v>1</v>
      </c>
      <c r="C375" t="str">
        <f t="shared" si="36"/>
        <v>13 Jul Jeu</v>
      </c>
      <c r="D375" s="330" t="s">
        <v>628</v>
      </c>
      <c r="E375" s="495" t="s">
        <v>641</v>
      </c>
      <c r="F375" s="495" t="s">
        <v>1176</v>
      </c>
      <c r="G375" s="498"/>
      <c r="I375" s="479" t="str">
        <f t="shared" si="33"/>
        <v/>
      </c>
    </row>
    <row r="376" spans="1:13" ht="16.2" thickBot="1">
      <c r="A376" s="2" t="str">
        <f t="shared" si="34"/>
        <v/>
      </c>
      <c r="B376" t="str">
        <f t="shared" si="35"/>
        <v>2</v>
      </c>
      <c r="C376" t="str">
        <f t="shared" si="36"/>
        <v>13 Jul Jeu</v>
      </c>
      <c r="D376" s="330" t="s">
        <v>628</v>
      </c>
      <c r="E376" s="495" t="s">
        <v>642</v>
      </c>
      <c r="F376" s="495">
        <v>140</v>
      </c>
      <c r="G376" s="498"/>
      <c r="I376" s="479" t="str">
        <f t="shared" si="33"/>
        <v/>
      </c>
    </row>
    <row r="377" spans="1:13" ht="16.2" thickBot="1">
      <c r="A377" s="2" t="str">
        <f t="shared" si="34"/>
        <v/>
      </c>
      <c r="B377" t="str">
        <f t="shared" si="35"/>
        <v>3</v>
      </c>
      <c r="C377" t="str">
        <f t="shared" si="36"/>
        <v>13 Jul Jeu</v>
      </c>
      <c r="D377" s="330" t="s">
        <v>628</v>
      </c>
      <c r="E377" s="495" t="s">
        <v>643</v>
      </c>
      <c r="F377" s="495">
        <v>250</v>
      </c>
      <c r="G377" s="495" t="s">
        <v>1177</v>
      </c>
      <c r="I377" s="479" t="str">
        <f t="shared" si="33"/>
        <v/>
      </c>
    </row>
    <row r="378" spans="1:13" ht="16.2" thickBot="1">
      <c r="A378" s="2" t="str">
        <f t="shared" si="34"/>
        <v/>
      </c>
      <c r="B378" t="str">
        <f t="shared" si="35"/>
        <v>4</v>
      </c>
      <c r="C378" t="str">
        <f t="shared" si="36"/>
        <v>13 Jul Jeu</v>
      </c>
      <c r="D378" s="330" t="s">
        <v>628</v>
      </c>
      <c r="E378" s="495" t="s">
        <v>645</v>
      </c>
      <c r="F378" s="495" t="s">
        <v>1178</v>
      </c>
      <c r="G378" s="498"/>
      <c r="I378" s="479" t="str">
        <f t="shared" si="33"/>
        <v/>
      </c>
    </row>
    <row r="379" spans="1:13" ht="16.2" thickBot="1">
      <c r="A379" s="2" t="str">
        <f t="shared" si="34"/>
        <v/>
      </c>
      <c r="B379" t="str">
        <f t="shared" si="35"/>
        <v>5</v>
      </c>
      <c r="C379" t="str">
        <f t="shared" si="36"/>
        <v>13 Jul Jeu</v>
      </c>
      <c r="D379" s="330" t="s">
        <v>628</v>
      </c>
      <c r="E379" s="495" t="s">
        <v>646</v>
      </c>
      <c r="F379" s="495" t="s">
        <v>1179</v>
      </c>
      <c r="G379" s="495" t="s">
        <v>1180</v>
      </c>
      <c r="I379" s="479">
        <f t="shared" si="33"/>
        <v>1</v>
      </c>
    </row>
    <row r="380" spans="1:13" ht="16.2" thickBot="1">
      <c r="A380" s="2" t="str">
        <f t="shared" si="34"/>
        <v/>
      </c>
      <c r="B380" t="str">
        <f t="shared" si="35"/>
        <v>6</v>
      </c>
      <c r="C380" t="str">
        <f t="shared" si="36"/>
        <v>13 Jul Jeu</v>
      </c>
      <c r="D380" s="330" t="s">
        <v>628</v>
      </c>
      <c r="E380" s="495" t="s">
        <v>647</v>
      </c>
      <c r="F380" s="498"/>
      <c r="G380" s="498"/>
      <c r="I380" s="479" t="str">
        <f t="shared" si="33"/>
        <v/>
      </c>
    </row>
    <row r="381" spans="1:13" ht="16.2" thickBot="1">
      <c r="A381" s="2" t="str">
        <f t="shared" si="34"/>
        <v/>
      </c>
      <c r="B381" t="str">
        <f t="shared" si="35"/>
        <v>7</v>
      </c>
      <c r="C381" t="str">
        <f t="shared" si="36"/>
        <v>13 Jul Jeu</v>
      </c>
      <c r="D381" s="330" t="s">
        <v>628</v>
      </c>
      <c r="E381" s="495" t="s">
        <v>648</v>
      </c>
      <c r="F381" s="498"/>
      <c r="G381" s="498"/>
      <c r="I381" s="479" t="str">
        <f t="shared" si="33"/>
        <v/>
      </c>
    </row>
    <row r="382" spans="1:13">
      <c r="A382" s="2" t="str">
        <f t="shared" si="34"/>
        <v/>
      </c>
      <c r="B382" t="str">
        <f t="shared" si="35"/>
        <v>L</v>
      </c>
      <c r="C382" t="str">
        <f t="shared" si="36"/>
        <v>13 Jul Jeu</v>
      </c>
      <c r="D382" s="330" t="s">
        <v>628</v>
      </c>
      <c r="E382" s="493" t="s">
        <v>1181</v>
      </c>
      <c r="F382" s="499"/>
      <c r="G382" s="499"/>
      <c r="I382" s="479" t="str">
        <f t="shared" si="33"/>
        <v/>
      </c>
    </row>
    <row r="383" spans="1:13">
      <c r="A383" s="2" t="str">
        <f t="shared" si="34"/>
        <v/>
      </c>
      <c r="B383" t="str">
        <f t="shared" si="35"/>
        <v>L</v>
      </c>
      <c r="C383" t="str">
        <f t="shared" si="36"/>
        <v>13 Jul Jeu</v>
      </c>
      <c r="D383" s="330" t="s">
        <v>628</v>
      </c>
      <c r="E383" s="493" t="s">
        <v>1182</v>
      </c>
      <c r="F383" s="499"/>
      <c r="G383" s="499"/>
      <c r="I383" s="479" t="str">
        <f t="shared" si="33"/>
        <v/>
      </c>
    </row>
    <row r="384" spans="1:13">
      <c r="A384" s="2" t="str">
        <f t="shared" si="34"/>
        <v/>
      </c>
      <c r="B384" t="str">
        <f t="shared" si="35"/>
        <v>D</v>
      </c>
      <c r="C384" t="str">
        <f t="shared" si="36"/>
        <v>13 Jul Jeu</v>
      </c>
      <c r="D384" s="330" t="s">
        <v>628</v>
      </c>
      <c r="E384" s="493" t="s">
        <v>1183</v>
      </c>
      <c r="F384" s="499"/>
      <c r="G384" s="499"/>
      <c r="I384" s="479" t="str">
        <f t="shared" si="33"/>
        <v/>
      </c>
    </row>
    <row r="385" spans="1:13" ht="30.6" thickBot="1">
      <c r="A385" s="2" t="str">
        <f t="shared" si="34"/>
        <v/>
      </c>
      <c r="B385" t="str">
        <f t="shared" si="35"/>
        <v>P</v>
      </c>
      <c r="C385" t="str">
        <f t="shared" si="36"/>
        <v>13 Jul Jeu</v>
      </c>
      <c r="D385" s="330" t="s">
        <v>628</v>
      </c>
      <c r="E385" s="493" t="s">
        <v>1184</v>
      </c>
      <c r="F385" s="499"/>
      <c r="G385" s="499"/>
      <c r="I385" s="479" t="str">
        <f t="shared" si="33"/>
        <v/>
      </c>
    </row>
    <row r="386" spans="1:13" ht="16.2" thickBot="1">
      <c r="A386" s="2">
        <f t="shared" ref="A386:A444" si="37">IF(B386="*",ROW(),"")</f>
        <v>386</v>
      </c>
      <c r="B386" t="str">
        <f t="shared" ref="B386:B444" si="38">LEFT(E386,1)</f>
        <v>*</v>
      </c>
      <c r="C386" t="str">
        <f t="shared" ref="C386:C444" si="39">IF(B386="*",RIGHT(E386,10),C385)</f>
        <v>14 Jul Ven</v>
      </c>
      <c r="D386" s="330" t="s">
        <v>628</v>
      </c>
      <c r="E386" s="497" t="s">
        <v>1186</v>
      </c>
      <c r="F386" s="495" t="s">
        <v>664</v>
      </c>
      <c r="G386" s="498"/>
      <c r="I386" s="479" t="str">
        <f t="shared" si="33"/>
        <v/>
      </c>
      <c r="M386">
        <v>386</v>
      </c>
    </row>
    <row r="387" spans="1:13" ht="16.2" thickBot="1">
      <c r="A387" s="2" t="str">
        <f t="shared" si="37"/>
        <v/>
      </c>
      <c r="B387" t="str">
        <f t="shared" si="38"/>
        <v>1</v>
      </c>
      <c r="C387" t="str">
        <f t="shared" si="39"/>
        <v>14 Jul Ven</v>
      </c>
      <c r="D387" s="330" t="s">
        <v>628</v>
      </c>
      <c r="E387" s="495" t="s">
        <v>641</v>
      </c>
      <c r="F387" s="498"/>
      <c r="G387" s="498"/>
      <c r="I387" s="479" t="str">
        <f t="shared" si="33"/>
        <v/>
      </c>
      <c r="M387">
        <v>395</v>
      </c>
    </row>
    <row r="388" spans="1:13" ht="16.2" thickBot="1">
      <c r="A388" s="2" t="str">
        <f t="shared" si="37"/>
        <v/>
      </c>
      <c r="B388" t="str">
        <f t="shared" si="38"/>
        <v>2</v>
      </c>
      <c r="C388" t="str">
        <f t="shared" si="39"/>
        <v>14 Jul Ven</v>
      </c>
      <c r="D388" s="330" t="s">
        <v>628</v>
      </c>
      <c r="E388" s="495" t="s">
        <v>642</v>
      </c>
      <c r="F388" s="495">
        <v>460</v>
      </c>
      <c r="G388" s="498"/>
      <c r="I388" s="479" t="str">
        <f t="shared" si="33"/>
        <v/>
      </c>
      <c r="M388">
        <v>406</v>
      </c>
    </row>
    <row r="389" spans="1:13" ht="16.2" thickBot="1">
      <c r="A389" s="2" t="str">
        <f t="shared" si="37"/>
        <v/>
      </c>
      <c r="B389" t="str">
        <f t="shared" si="38"/>
        <v>3</v>
      </c>
      <c r="C389" t="str">
        <f t="shared" si="39"/>
        <v>14 Jul Ven</v>
      </c>
      <c r="D389" s="330" t="s">
        <v>628</v>
      </c>
      <c r="E389" s="495" t="s">
        <v>643</v>
      </c>
      <c r="F389" s="495">
        <v>165</v>
      </c>
      <c r="G389" s="498"/>
      <c r="I389" s="479" t="str">
        <f t="shared" si="33"/>
        <v/>
      </c>
      <c r="M389">
        <v>415</v>
      </c>
    </row>
    <row r="390" spans="1:13" ht="16.2" thickBot="1">
      <c r="A390" s="2" t="str">
        <f t="shared" si="37"/>
        <v/>
      </c>
      <c r="B390" t="str">
        <f t="shared" si="38"/>
        <v>4</v>
      </c>
      <c r="C390" t="str">
        <f t="shared" si="39"/>
        <v>14 Jul Ven</v>
      </c>
      <c r="D390" s="330" t="s">
        <v>628</v>
      </c>
      <c r="E390" s="495" t="s">
        <v>645</v>
      </c>
      <c r="F390" s="495" t="s">
        <v>1101</v>
      </c>
      <c r="G390" s="498"/>
      <c r="I390" s="479" t="str">
        <f t="shared" si="33"/>
        <v/>
      </c>
      <c r="M390">
        <v>424</v>
      </c>
    </row>
    <row r="391" spans="1:13" ht="16.2" thickBot="1">
      <c r="A391" s="2" t="str">
        <f t="shared" si="37"/>
        <v/>
      </c>
      <c r="B391" t="str">
        <f t="shared" si="38"/>
        <v>5</v>
      </c>
      <c r="C391" t="str">
        <f t="shared" si="39"/>
        <v>14 Jul Ven</v>
      </c>
      <c r="D391" s="330" t="s">
        <v>628</v>
      </c>
      <c r="E391" s="495" t="s">
        <v>646</v>
      </c>
      <c r="F391" s="498"/>
      <c r="G391" s="498"/>
      <c r="I391" s="479" t="str">
        <f t="shared" si="33"/>
        <v/>
      </c>
    </row>
    <row r="392" spans="1:13" ht="16.2" thickBot="1">
      <c r="A392" s="2" t="str">
        <f t="shared" si="37"/>
        <v/>
      </c>
      <c r="B392" t="str">
        <f t="shared" si="38"/>
        <v>6</v>
      </c>
      <c r="C392" t="str">
        <f t="shared" si="39"/>
        <v>14 Jul Ven</v>
      </c>
      <c r="D392" s="330" t="s">
        <v>628</v>
      </c>
      <c r="E392" s="495" t="s">
        <v>647</v>
      </c>
      <c r="F392" s="498"/>
      <c r="G392" s="498"/>
      <c r="I392" s="479" t="str">
        <f t="shared" ref="I392:I444" si="40">IFERROR(IF(VALUE(B392)=5,FIND($I$4,F392,1),""),"")</f>
        <v/>
      </c>
    </row>
    <row r="393" spans="1:13" ht="16.2" thickBot="1">
      <c r="A393" s="2" t="str">
        <f t="shared" si="37"/>
        <v/>
      </c>
      <c r="B393" t="str">
        <f t="shared" si="38"/>
        <v>7</v>
      </c>
      <c r="C393" t="str">
        <f t="shared" si="39"/>
        <v>14 Jul Ven</v>
      </c>
      <c r="D393" s="330" t="s">
        <v>628</v>
      </c>
      <c r="E393" s="495" t="s">
        <v>648</v>
      </c>
      <c r="F393" s="498"/>
      <c r="G393" s="498"/>
      <c r="I393" s="479" t="str">
        <f t="shared" si="40"/>
        <v/>
      </c>
    </row>
    <row r="394" spans="1:13" ht="16.2" thickBot="1">
      <c r="A394" s="2" t="str">
        <f t="shared" si="37"/>
        <v/>
      </c>
      <c r="B394" t="str">
        <f t="shared" si="38"/>
        <v>P</v>
      </c>
      <c r="C394" t="str">
        <f t="shared" si="39"/>
        <v>14 Jul Ven</v>
      </c>
      <c r="D394" s="330" t="s">
        <v>628</v>
      </c>
      <c r="E394" s="493" t="s">
        <v>1187</v>
      </c>
      <c r="F394" s="499"/>
      <c r="G394" s="499"/>
      <c r="I394" s="479" t="str">
        <f t="shared" si="40"/>
        <v/>
      </c>
    </row>
    <row r="395" spans="1:13" ht="16.2" thickBot="1">
      <c r="A395" s="2">
        <f t="shared" si="37"/>
        <v>395</v>
      </c>
      <c r="B395" t="str">
        <f t="shared" si="38"/>
        <v>*</v>
      </c>
      <c r="C395" t="str">
        <f t="shared" si="39"/>
        <v>15 Jul Sam</v>
      </c>
      <c r="D395" s="330" t="s">
        <v>628</v>
      </c>
      <c r="E395" s="497" t="s">
        <v>1188</v>
      </c>
      <c r="F395" s="495" t="s">
        <v>664</v>
      </c>
      <c r="G395" s="498"/>
      <c r="I395" s="479" t="str">
        <f t="shared" si="40"/>
        <v/>
      </c>
    </row>
    <row r="396" spans="1:13" ht="16.2" thickBot="1">
      <c r="A396" s="2" t="str">
        <f t="shared" si="37"/>
        <v/>
      </c>
      <c r="B396" t="str">
        <f t="shared" si="38"/>
        <v>1</v>
      </c>
      <c r="C396" t="str">
        <f t="shared" si="39"/>
        <v>15 Jul Sam</v>
      </c>
      <c r="D396" s="330" t="s">
        <v>628</v>
      </c>
      <c r="E396" s="495" t="s">
        <v>641</v>
      </c>
      <c r="F396" s="498"/>
      <c r="G396" s="498"/>
      <c r="I396" s="479" t="str">
        <f t="shared" si="40"/>
        <v/>
      </c>
    </row>
    <row r="397" spans="1:13" ht="16.2" thickBot="1">
      <c r="A397" s="2" t="str">
        <f t="shared" si="37"/>
        <v/>
      </c>
      <c r="B397" t="str">
        <f t="shared" si="38"/>
        <v>2</v>
      </c>
      <c r="C397" t="str">
        <f t="shared" si="39"/>
        <v>15 Jul Sam</v>
      </c>
      <c r="D397" s="330" t="s">
        <v>628</v>
      </c>
      <c r="E397" s="495" t="s">
        <v>642</v>
      </c>
      <c r="F397" s="495" t="s">
        <v>1189</v>
      </c>
      <c r="G397" s="498"/>
      <c r="I397" s="479" t="str">
        <f t="shared" si="40"/>
        <v/>
      </c>
    </row>
    <row r="398" spans="1:13" ht="16.2" thickBot="1">
      <c r="A398" s="2" t="str">
        <f t="shared" si="37"/>
        <v/>
      </c>
      <c r="B398" t="str">
        <f t="shared" si="38"/>
        <v>3</v>
      </c>
      <c r="C398" t="str">
        <f t="shared" si="39"/>
        <v>15 Jul Sam</v>
      </c>
      <c r="D398" s="330" t="s">
        <v>628</v>
      </c>
      <c r="E398" s="495" t="s">
        <v>643</v>
      </c>
      <c r="F398" s="495">
        <v>450</v>
      </c>
      <c r="G398" s="495" t="s">
        <v>1190</v>
      </c>
      <c r="I398" s="479" t="str">
        <f t="shared" si="40"/>
        <v/>
      </c>
    </row>
    <row r="399" spans="1:13" ht="16.2" thickBot="1">
      <c r="A399" s="2" t="str">
        <f t="shared" si="37"/>
        <v/>
      </c>
      <c r="B399" t="str">
        <f t="shared" si="38"/>
        <v>4</v>
      </c>
      <c r="C399" t="str">
        <f t="shared" si="39"/>
        <v>15 Jul Sam</v>
      </c>
      <c r="D399" s="330" t="s">
        <v>628</v>
      </c>
      <c r="E399" s="495" t="s">
        <v>645</v>
      </c>
      <c r="F399" s="495" t="s">
        <v>1101</v>
      </c>
      <c r="G399" s="498"/>
      <c r="I399" s="479" t="str">
        <f t="shared" si="40"/>
        <v/>
      </c>
    </row>
    <row r="400" spans="1:13" ht="16.2" thickBot="1">
      <c r="A400" s="2" t="str">
        <f t="shared" si="37"/>
        <v/>
      </c>
      <c r="B400" t="str">
        <f t="shared" si="38"/>
        <v>5</v>
      </c>
      <c r="C400" t="str">
        <f t="shared" si="39"/>
        <v>15 Jul Sam</v>
      </c>
      <c r="D400" s="330" t="s">
        <v>628</v>
      </c>
      <c r="E400" s="495" t="s">
        <v>646</v>
      </c>
      <c r="F400" s="498"/>
      <c r="G400" s="498"/>
      <c r="I400" s="479" t="str">
        <f t="shared" si="40"/>
        <v/>
      </c>
    </row>
    <row r="401" spans="1:9" ht="16.2" thickBot="1">
      <c r="A401" s="2" t="str">
        <f t="shared" si="37"/>
        <v/>
      </c>
      <c r="B401" t="str">
        <f t="shared" si="38"/>
        <v>6</v>
      </c>
      <c r="C401" t="str">
        <f t="shared" si="39"/>
        <v>15 Jul Sam</v>
      </c>
      <c r="D401" s="330" t="s">
        <v>628</v>
      </c>
      <c r="E401" s="495" t="s">
        <v>647</v>
      </c>
      <c r="F401" s="495" t="s">
        <v>1191</v>
      </c>
      <c r="G401" s="498"/>
      <c r="I401" s="479" t="str">
        <f t="shared" si="40"/>
        <v/>
      </c>
    </row>
    <row r="402" spans="1:9" ht="16.2" thickBot="1">
      <c r="A402" s="2" t="str">
        <f t="shared" si="37"/>
        <v/>
      </c>
      <c r="B402" t="str">
        <f t="shared" si="38"/>
        <v>7</v>
      </c>
      <c r="C402" t="str">
        <f t="shared" si="39"/>
        <v>15 Jul Sam</v>
      </c>
      <c r="D402" s="330" t="s">
        <v>628</v>
      </c>
      <c r="E402" s="495" t="s">
        <v>648</v>
      </c>
      <c r="F402" s="498"/>
      <c r="G402" s="498"/>
      <c r="I402" s="479" t="str">
        <f t="shared" si="40"/>
        <v/>
      </c>
    </row>
    <row r="403" spans="1:9">
      <c r="A403" s="2" t="str">
        <f t="shared" si="37"/>
        <v/>
      </c>
      <c r="B403" t="str">
        <f t="shared" si="38"/>
        <v/>
      </c>
      <c r="C403" t="str">
        <f t="shared" si="39"/>
        <v>15 Jul Sam</v>
      </c>
      <c r="D403" s="330" t="s">
        <v>628</v>
      </c>
      <c r="E403" s="499"/>
      <c r="F403" s="499"/>
      <c r="G403" s="499"/>
      <c r="I403" s="479" t="str">
        <f t="shared" si="40"/>
        <v/>
      </c>
    </row>
    <row r="404" spans="1:9">
      <c r="A404" s="2" t="str">
        <f t="shared" si="37"/>
        <v/>
      </c>
      <c r="B404" t="str">
        <f t="shared" si="38"/>
        <v>T</v>
      </c>
      <c r="C404" t="str">
        <f t="shared" si="39"/>
        <v>15 Jul Sam</v>
      </c>
      <c r="D404" s="330" t="s">
        <v>628</v>
      </c>
      <c r="E404" s="493" t="s">
        <v>1192</v>
      </c>
      <c r="F404" s="499"/>
      <c r="G404" s="499"/>
      <c r="I404" s="479" t="str">
        <f t="shared" si="40"/>
        <v/>
      </c>
    </row>
    <row r="405" spans="1:9" ht="16.2" thickBot="1">
      <c r="A405" s="2" t="str">
        <f t="shared" si="37"/>
        <v/>
      </c>
      <c r="B405" t="str">
        <f t="shared" si="38"/>
        <v/>
      </c>
      <c r="C405" t="str">
        <f t="shared" si="39"/>
        <v>15 Jul Sam</v>
      </c>
      <c r="D405" s="330" t="s">
        <v>628</v>
      </c>
      <c r="E405" s="494"/>
      <c r="F405" s="499"/>
      <c r="G405" s="499"/>
      <c r="I405" s="479" t="str">
        <f t="shared" si="40"/>
        <v/>
      </c>
    </row>
    <row r="406" spans="1:9" ht="16.2" thickBot="1">
      <c r="A406" s="2">
        <f t="shared" si="37"/>
        <v>406</v>
      </c>
      <c r="B406" t="str">
        <f t="shared" si="38"/>
        <v>*</v>
      </c>
      <c r="C406" t="str">
        <f t="shared" si="39"/>
        <v>16 Jul Dim</v>
      </c>
      <c r="D406" s="330" t="s">
        <v>628</v>
      </c>
      <c r="E406" s="497" t="s">
        <v>1193</v>
      </c>
      <c r="F406" s="495" t="s">
        <v>664</v>
      </c>
      <c r="G406" s="498"/>
      <c r="I406" s="479" t="str">
        <f t="shared" si="40"/>
        <v/>
      </c>
    </row>
    <row r="407" spans="1:9" ht="16.2" thickBot="1">
      <c r="A407" s="2" t="str">
        <f t="shared" si="37"/>
        <v/>
      </c>
      <c r="B407" t="str">
        <f t="shared" si="38"/>
        <v>1</v>
      </c>
      <c r="C407" t="str">
        <f t="shared" si="39"/>
        <v>16 Jul Dim</v>
      </c>
      <c r="D407" s="330" t="s">
        <v>628</v>
      </c>
      <c r="E407" s="495" t="s">
        <v>641</v>
      </c>
      <c r="F407" s="498"/>
      <c r="G407" s="498"/>
      <c r="I407" s="479" t="str">
        <f t="shared" si="40"/>
        <v/>
      </c>
    </row>
    <row r="408" spans="1:9" ht="16.2" thickBot="1">
      <c r="A408" s="2" t="str">
        <f t="shared" si="37"/>
        <v/>
      </c>
      <c r="B408" t="str">
        <f t="shared" si="38"/>
        <v>2</v>
      </c>
      <c r="C408" t="str">
        <f t="shared" si="39"/>
        <v>16 Jul Dim</v>
      </c>
      <c r="D408" s="330" t="s">
        <v>628</v>
      </c>
      <c r="E408" s="495" t="s">
        <v>642</v>
      </c>
      <c r="F408" s="495">
        <v>525</v>
      </c>
      <c r="G408" s="495" t="s">
        <v>1194</v>
      </c>
      <c r="I408" s="479" t="str">
        <f t="shared" si="40"/>
        <v/>
      </c>
    </row>
    <row r="409" spans="1:9" ht="16.2" thickBot="1">
      <c r="A409" s="2" t="str">
        <f t="shared" si="37"/>
        <v/>
      </c>
      <c r="B409" t="str">
        <f t="shared" si="38"/>
        <v>3</v>
      </c>
      <c r="C409" t="str">
        <f t="shared" si="39"/>
        <v>16 Jul Dim</v>
      </c>
      <c r="D409" s="330" t="s">
        <v>628</v>
      </c>
      <c r="E409" s="495" t="s">
        <v>643</v>
      </c>
      <c r="F409" s="495">
        <v>220</v>
      </c>
      <c r="G409" s="495" t="s">
        <v>1195</v>
      </c>
      <c r="I409" s="479" t="str">
        <f t="shared" si="40"/>
        <v/>
      </c>
    </row>
    <row r="410" spans="1:9" ht="16.2" thickBot="1">
      <c r="A410" s="2" t="str">
        <f t="shared" si="37"/>
        <v/>
      </c>
      <c r="B410" t="str">
        <f t="shared" si="38"/>
        <v>4</v>
      </c>
      <c r="C410" t="str">
        <f t="shared" si="39"/>
        <v>16 Jul Dim</v>
      </c>
      <c r="D410" s="330" t="s">
        <v>628</v>
      </c>
      <c r="E410" s="495" t="s">
        <v>645</v>
      </c>
      <c r="F410" s="495">
        <v>80</v>
      </c>
      <c r="G410" s="498"/>
      <c r="I410" s="479" t="str">
        <f t="shared" si="40"/>
        <v/>
      </c>
    </row>
    <row r="411" spans="1:9" ht="16.2" thickBot="1">
      <c r="A411" s="2" t="str">
        <f t="shared" si="37"/>
        <v/>
      </c>
      <c r="B411" t="str">
        <f t="shared" si="38"/>
        <v>5</v>
      </c>
      <c r="C411" t="str">
        <f t="shared" si="39"/>
        <v>16 Jul Dim</v>
      </c>
      <c r="D411" s="330" t="s">
        <v>628</v>
      </c>
      <c r="E411" s="495" t="s">
        <v>646</v>
      </c>
      <c r="F411" s="495" t="s">
        <v>999</v>
      </c>
      <c r="G411" s="498"/>
      <c r="I411" s="479">
        <f t="shared" si="40"/>
        <v>1</v>
      </c>
    </row>
    <row r="412" spans="1:9" ht="16.2" thickBot="1">
      <c r="A412" s="2" t="str">
        <f t="shared" si="37"/>
        <v/>
      </c>
      <c r="B412" t="str">
        <f t="shared" si="38"/>
        <v>6</v>
      </c>
      <c r="C412" t="str">
        <f t="shared" si="39"/>
        <v>16 Jul Dim</v>
      </c>
      <c r="D412" s="330" t="s">
        <v>628</v>
      </c>
      <c r="E412" s="495" t="s">
        <v>647</v>
      </c>
      <c r="F412" s="498"/>
      <c r="G412" s="498"/>
      <c r="I412" s="479" t="str">
        <f t="shared" si="40"/>
        <v/>
      </c>
    </row>
    <row r="413" spans="1:9" ht="16.2" thickBot="1">
      <c r="A413" s="2" t="str">
        <f t="shared" si="37"/>
        <v/>
      </c>
      <c r="B413" t="str">
        <f t="shared" si="38"/>
        <v>7</v>
      </c>
      <c r="C413" t="str">
        <f t="shared" si="39"/>
        <v>16 Jul Dim</v>
      </c>
      <c r="D413" s="330" t="s">
        <v>628</v>
      </c>
      <c r="E413" s="495" t="s">
        <v>648</v>
      </c>
      <c r="F413" s="498"/>
      <c r="G413" s="498"/>
      <c r="I413" s="479" t="str">
        <f t="shared" si="40"/>
        <v/>
      </c>
    </row>
    <row r="414" spans="1:9" ht="16.2" thickBot="1">
      <c r="A414" s="2" t="str">
        <f t="shared" si="37"/>
        <v/>
      </c>
      <c r="B414" t="str">
        <f t="shared" si="38"/>
        <v/>
      </c>
      <c r="C414" t="str">
        <f t="shared" si="39"/>
        <v>16 Jul Dim</v>
      </c>
      <c r="D414" s="330" t="s">
        <v>628</v>
      </c>
      <c r="E414" s="494"/>
      <c r="F414" s="499"/>
      <c r="G414" s="499"/>
      <c r="I414" s="479" t="str">
        <f t="shared" si="40"/>
        <v/>
      </c>
    </row>
    <row r="415" spans="1:9" ht="16.2" thickBot="1">
      <c r="A415" s="2">
        <f t="shared" si="37"/>
        <v>415</v>
      </c>
      <c r="B415" t="str">
        <f t="shared" si="38"/>
        <v>*</v>
      </c>
      <c r="C415" t="str">
        <f t="shared" si="39"/>
        <v>17 Jul Lun</v>
      </c>
      <c r="D415" s="330" t="s">
        <v>628</v>
      </c>
      <c r="E415" s="497" t="s">
        <v>1196</v>
      </c>
      <c r="F415" s="495" t="s">
        <v>664</v>
      </c>
      <c r="G415" s="498"/>
      <c r="I415" s="479" t="str">
        <f t="shared" si="40"/>
        <v/>
      </c>
    </row>
    <row r="416" spans="1:9" ht="16.2" thickBot="1">
      <c r="A416" s="2" t="str">
        <f t="shared" si="37"/>
        <v/>
      </c>
      <c r="B416" t="str">
        <f t="shared" si="38"/>
        <v>1</v>
      </c>
      <c r="C416" t="str">
        <f t="shared" si="39"/>
        <v>17 Jul Lun</v>
      </c>
      <c r="D416" s="330" t="s">
        <v>628</v>
      </c>
      <c r="E416" s="495" t="s">
        <v>641</v>
      </c>
      <c r="F416" s="495" t="s">
        <v>1197</v>
      </c>
      <c r="G416" s="498"/>
      <c r="I416" s="479" t="str">
        <f t="shared" si="40"/>
        <v/>
      </c>
    </row>
    <row r="417" spans="1:12" ht="30.6" thickBot="1">
      <c r="A417" s="2" t="str">
        <f t="shared" si="37"/>
        <v/>
      </c>
      <c r="B417" t="str">
        <f t="shared" si="38"/>
        <v>2</v>
      </c>
      <c r="C417" t="str">
        <f t="shared" si="39"/>
        <v>17 Jul Lun</v>
      </c>
      <c r="D417" s="330" t="s">
        <v>628</v>
      </c>
      <c r="E417" s="495" t="s">
        <v>642</v>
      </c>
      <c r="F417" s="495">
        <v>1830</v>
      </c>
      <c r="G417" s="495" t="s">
        <v>1198</v>
      </c>
      <c r="I417" s="479" t="str">
        <f t="shared" si="40"/>
        <v/>
      </c>
    </row>
    <row r="418" spans="1:12" ht="16.2" thickBot="1">
      <c r="A418" s="2" t="str">
        <f t="shared" si="37"/>
        <v/>
      </c>
      <c r="B418" t="str">
        <f t="shared" si="38"/>
        <v>3</v>
      </c>
      <c r="C418" t="str">
        <f t="shared" si="39"/>
        <v>17 Jul Lun</v>
      </c>
      <c r="D418" s="330" t="s">
        <v>628</v>
      </c>
      <c r="E418" s="495" t="s">
        <v>643</v>
      </c>
      <c r="F418" s="498"/>
      <c r="G418" s="498"/>
      <c r="I418" s="479" t="str">
        <f t="shared" si="40"/>
        <v/>
      </c>
    </row>
    <row r="419" spans="1:12" ht="16.2" thickBot="1">
      <c r="A419" s="2" t="str">
        <f t="shared" si="37"/>
        <v/>
      </c>
      <c r="B419" t="str">
        <f t="shared" si="38"/>
        <v>4</v>
      </c>
      <c r="C419" t="str">
        <f t="shared" si="39"/>
        <v>17 Jul Lun</v>
      </c>
      <c r="D419" s="330" t="s">
        <v>628</v>
      </c>
      <c r="E419" s="495" t="s">
        <v>645</v>
      </c>
      <c r="F419" s="495" t="s">
        <v>1199</v>
      </c>
      <c r="G419" s="498"/>
      <c r="I419" s="479" t="str">
        <f t="shared" si="40"/>
        <v/>
      </c>
    </row>
    <row r="420" spans="1:12" ht="16.2" thickBot="1">
      <c r="A420" s="2" t="str">
        <f t="shared" si="37"/>
        <v/>
      </c>
      <c r="B420" t="str">
        <f t="shared" si="38"/>
        <v>5</v>
      </c>
      <c r="C420" t="str">
        <f t="shared" si="39"/>
        <v>17 Jul Lun</v>
      </c>
      <c r="D420" s="330" t="s">
        <v>628</v>
      </c>
      <c r="E420" s="495" t="s">
        <v>646</v>
      </c>
      <c r="F420" s="495" t="s">
        <v>1200</v>
      </c>
      <c r="G420" s="498"/>
      <c r="I420" s="479">
        <f t="shared" si="40"/>
        <v>1</v>
      </c>
    </row>
    <row r="421" spans="1:12" ht="30.6" thickBot="1">
      <c r="A421" s="2" t="str">
        <f t="shared" si="37"/>
        <v/>
      </c>
      <c r="B421" t="str">
        <f t="shared" si="38"/>
        <v>6</v>
      </c>
      <c r="C421" t="str">
        <f t="shared" si="39"/>
        <v>17 Jul Lun</v>
      </c>
      <c r="D421" s="330" t="s">
        <v>628</v>
      </c>
      <c r="E421" s="495" t="s">
        <v>647</v>
      </c>
      <c r="F421" s="495" t="s">
        <v>1201</v>
      </c>
      <c r="G421" s="498"/>
      <c r="I421" s="479" t="str">
        <f t="shared" si="40"/>
        <v/>
      </c>
    </row>
    <row r="422" spans="1:12" ht="16.2" thickBot="1">
      <c r="A422" s="2" t="str">
        <f t="shared" si="37"/>
        <v/>
      </c>
      <c r="B422" t="str">
        <f t="shared" si="38"/>
        <v>7</v>
      </c>
      <c r="C422" t="str">
        <f t="shared" si="39"/>
        <v>17 Jul Lun</v>
      </c>
      <c r="D422" s="330" t="s">
        <v>628</v>
      </c>
      <c r="E422" s="495" t="s">
        <v>648</v>
      </c>
      <c r="F422" s="498"/>
      <c r="G422" s="498"/>
      <c r="I422" s="479" t="str">
        <f t="shared" si="40"/>
        <v/>
      </c>
    </row>
    <row r="423" spans="1:12" ht="16.2" thickBot="1">
      <c r="A423" s="2" t="str">
        <f t="shared" si="37"/>
        <v/>
      </c>
      <c r="B423" t="str">
        <f t="shared" si="38"/>
        <v/>
      </c>
      <c r="C423" t="str">
        <f t="shared" si="39"/>
        <v>17 Jul Lun</v>
      </c>
      <c r="D423" s="330" t="s">
        <v>628</v>
      </c>
      <c r="E423" s="494"/>
      <c r="F423" s="499"/>
      <c r="G423" s="499"/>
      <c r="I423" s="479" t="str">
        <f t="shared" si="40"/>
        <v/>
      </c>
    </row>
    <row r="424" spans="1:12" ht="16.2" thickBot="1">
      <c r="A424" s="2">
        <f t="shared" si="37"/>
        <v>424</v>
      </c>
      <c r="B424" t="str">
        <f t="shared" si="38"/>
        <v>*</v>
      </c>
      <c r="C424" t="str">
        <f t="shared" si="39"/>
        <v>18 Jul Mar</v>
      </c>
      <c r="D424" s="330" t="s">
        <v>628</v>
      </c>
      <c r="E424" s="497" t="s">
        <v>1202</v>
      </c>
      <c r="F424" s="495" t="s">
        <v>664</v>
      </c>
      <c r="G424" s="498"/>
      <c r="I424" s="479" t="str">
        <f t="shared" si="40"/>
        <v/>
      </c>
    </row>
    <row r="425" spans="1:12" ht="16.2" thickBot="1">
      <c r="A425" s="2" t="str">
        <f t="shared" si="37"/>
        <v/>
      </c>
      <c r="B425" t="str">
        <f t="shared" si="38"/>
        <v>1</v>
      </c>
      <c r="C425" t="str">
        <f t="shared" si="39"/>
        <v>18 Jul Mar</v>
      </c>
      <c r="D425" s="330" t="s">
        <v>628</v>
      </c>
      <c r="E425" s="495" t="s">
        <v>641</v>
      </c>
      <c r="F425" s="495" t="s">
        <v>1203</v>
      </c>
      <c r="G425" s="498"/>
      <c r="I425" s="479" t="str">
        <f t="shared" si="40"/>
        <v/>
      </c>
    </row>
    <row r="426" spans="1:12" ht="30.6" thickBot="1">
      <c r="A426" s="2" t="str">
        <f t="shared" si="37"/>
        <v/>
      </c>
      <c r="B426" t="str">
        <f t="shared" si="38"/>
        <v>2</v>
      </c>
      <c r="C426" t="str">
        <f t="shared" si="39"/>
        <v>18 Jul Mar</v>
      </c>
      <c r="D426" s="330" t="s">
        <v>628</v>
      </c>
      <c r="E426" s="495" t="s">
        <v>642</v>
      </c>
      <c r="F426" s="495">
        <v>80</v>
      </c>
      <c r="G426" s="495" t="s">
        <v>1204</v>
      </c>
      <c r="I426" s="479" t="str">
        <f t="shared" si="40"/>
        <v/>
      </c>
    </row>
    <row r="427" spans="1:12" ht="16.2" thickBot="1">
      <c r="A427" s="2" t="str">
        <f t="shared" si="37"/>
        <v/>
      </c>
      <c r="B427" t="str">
        <f t="shared" si="38"/>
        <v>3</v>
      </c>
      <c r="C427" t="str">
        <f t="shared" si="39"/>
        <v>18 Jul Mar</v>
      </c>
      <c r="D427" s="330" t="s">
        <v>628</v>
      </c>
      <c r="E427" s="495" t="s">
        <v>643</v>
      </c>
      <c r="F427" s="498"/>
      <c r="G427" s="498"/>
      <c r="I427" s="479" t="str">
        <f t="shared" si="40"/>
        <v/>
      </c>
    </row>
    <row r="428" spans="1:12" ht="16.2" thickBot="1">
      <c r="A428" s="2" t="str">
        <f t="shared" si="37"/>
        <v/>
      </c>
      <c r="B428" t="str">
        <f t="shared" si="38"/>
        <v>4</v>
      </c>
      <c r="C428" t="str">
        <f t="shared" si="39"/>
        <v>18 Jul Mar</v>
      </c>
      <c r="D428" s="330" t="s">
        <v>628</v>
      </c>
      <c r="E428" s="495" t="s">
        <v>645</v>
      </c>
      <c r="F428" s="495" t="s">
        <v>1205</v>
      </c>
      <c r="G428" s="498"/>
      <c r="I428" s="479" t="str">
        <f t="shared" si="40"/>
        <v/>
      </c>
    </row>
    <row r="429" spans="1:12" ht="16.2" thickBot="1">
      <c r="A429" s="2" t="str">
        <f t="shared" si="37"/>
        <v/>
      </c>
      <c r="B429" t="str">
        <f t="shared" si="38"/>
        <v>5</v>
      </c>
      <c r="C429" t="str">
        <f t="shared" si="39"/>
        <v>18 Jul Mar</v>
      </c>
      <c r="D429" s="330" t="s">
        <v>628</v>
      </c>
      <c r="E429" s="495" t="s">
        <v>646</v>
      </c>
      <c r="F429" s="498"/>
      <c r="G429" s="498"/>
      <c r="I429" s="479" t="str">
        <f t="shared" si="40"/>
        <v/>
      </c>
      <c r="L429" s="2">
        <v>433</v>
      </c>
    </row>
    <row r="430" spans="1:12" ht="16.2" thickBot="1">
      <c r="A430" s="2" t="str">
        <f t="shared" si="37"/>
        <v/>
      </c>
      <c r="B430" t="str">
        <f t="shared" si="38"/>
        <v>6</v>
      </c>
      <c r="C430" t="str">
        <f t="shared" si="39"/>
        <v>18 Jul Mar</v>
      </c>
      <c r="D430" s="330" t="s">
        <v>628</v>
      </c>
      <c r="E430" s="495" t="s">
        <v>647</v>
      </c>
      <c r="F430" s="498"/>
      <c r="G430" s="498"/>
      <c r="I430" s="479" t="str">
        <f t="shared" si="40"/>
        <v/>
      </c>
      <c r="L430" s="2">
        <v>443</v>
      </c>
    </row>
    <row r="431" spans="1:12" ht="16.2" thickBot="1">
      <c r="A431" s="2" t="str">
        <f t="shared" si="37"/>
        <v/>
      </c>
      <c r="B431" t="str">
        <f t="shared" si="38"/>
        <v>7</v>
      </c>
      <c r="C431" t="str">
        <f t="shared" si="39"/>
        <v>18 Jul Mar</v>
      </c>
      <c r="D431" s="330" t="s">
        <v>628</v>
      </c>
      <c r="E431" s="495" t="s">
        <v>648</v>
      </c>
      <c r="F431" s="498"/>
      <c r="G431" s="498"/>
      <c r="I431" s="479" t="str">
        <f t="shared" si="40"/>
        <v/>
      </c>
      <c r="L431" s="2">
        <v>456</v>
      </c>
    </row>
    <row r="432" spans="1:12" ht="16.2" thickBot="1">
      <c r="A432" s="2" t="str">
        <f t="shared" si="37"/>
        <v/>
      </c>
      <c r="B432" t="str">
        <f t="shared" si="38"/>
        <v>B</v>
      </c>
      <c r="C432" t="str">
        <f t="shared" si="39"/>
        <v>18 Jul Mar</v>
      </c>
      <c r="D432" s="330" t="s">
        <v>628</v>
      </c>
      <c r="E432" s="493" t="s">
        <v>1289</v>
      </c>
      <c r="F432"/>
      <c r="G432"/>
      <c r="I432" s="479" t="str">
        <f t="shared" si="40"/>
        <v/>
      </c>
      <c r="L432" s="2">
        <v>469</v>
      </c>
    </row>
    <row r="433" spans="1:12" ht="16.2" thickBot="1">
      <c r="A433" s="2">
        <f t="shared" si="37"/>
        <v>433</v>
      </c>
      <c r="B433" t="str">
        <f t="shared" si="38"/>
        <v>*</v>
      </c>
      <c r="C433" t="str">
        <f>IF(B433="*",RIGHT(E433,10),#REF!)</f>
        <v>19 Jul mer</v>
      </c>
      <c r="D433" s="330" t="s">
        <v>628</v>
      </c>
      <c r="E433" s="576" t="s">
        <v>1290</v>
      </c>
      <c r="F433" s="495" t="s">
        <v>664</v>
      </c>
      <c r="G433" s="577"/>
      <c r="I433" s="479" t="str">
        <f t="shared" si="40"/>
        <v/>
      </c>
      <c r="L433" s="2">
        <v>491</v>
      </c>
    </row>
    <row r="434" spans="1:12" ht="16.2" thickBot="1">
      <c r="A434" s="2" t="str">
        <f t="shared" si="37"/>
        <v/>
      </c>
      <c r="B434" t="str">
        <f t="shared" si="38"/>
        <v>1</v>
      </c>
      <c r="C434" t="str">
        <f t="shared" si="39"/>
        <v>19 Jul mer</v>
      </c>
      <c r="D434" s="330" t="s">
        <v>628</v>
      </c>
      <c r="E434" s="495" t="s">
        <v>641</v>
      </c>
      <c r="F434" s="577"/>
      <c r="G434" s="577"/>
      <c r="I434" s="479" t="str">
        <f t="shared" si="40"/>
        <v/>
      </c>
    </row>
    <row r="435" spans="1:12" ht="30.6" thickBot="1">
      <c r="A435" s="2" t="str">
        <f t="shared" si="37"/>
        <v/>
      </c>
      <c r="B435" t="str">
        <f t="shared" si="38"/>
        <v>2</v>
      </c>
      <c r="C435" t="str">
        <f t="shared" si="39"/>
        <v>19 Jul mer</v>
      </c>
      <c r="D435" s="330" t="s">
        <v>628</v>
      </c>
      <c r="E435" s="495" t="s">
        <v>642</v>
      </c>
      <c r="F435" s="495">
        <v>385</v>
      </c>
      <c r="G435" s="495" t="s">
        <v>1291</v>
      </c>
      <c r="I435" s="479" t="str">
        <f t="shared" si="40"/>
        <v/>
      </c>
      <c r="L435"/>
    </row>
    <row r="436" spans="1:12" ht="30.6" thickBot="1">
      <c r="A436" s="2" t="str">
        <f t="shared" si="37"/>
        <v/>
      </c>
      <c r="B436" t="str">
        <f t="shared" si="38"/>
        <v>3</v>
      </c>
      <c r="C436" t="str">
        <f t="shared" si="39"/>
        <v>19 Jul mer</v>
      </c>
      <c r="D436" s="330" t="s">
        <v>628</v>
      </c>
      <c r="E436" s="495" t="s">
        <v>643</v>
      </c>
      <c r="F436" s="495">
        <v>185</v>
      </c>
      <c r="G436" s="495" t="s">
        <v>1292</v>
      </c>
      <c r="I436" s="479" t="str">
        <f t="shared" si="40"/>
        <v/>
      </c>
      <c r="L436"/>
    </row>
    <row r="437" spans="1:12" ht="16.2" thickBot="1">
      <c r="A437" s="2" t="str">
        <f t="shared" si="37"/>
        <v/>
      </c>
      <c r="B437" t="str">
        <f t="shared" si="38"/>
        <v>4</v>
      </c>
      <c r="C437" t="str">
        <f t="shared" si="39"/>
        <v>19 Jul mer</v>
      </c>
      <c r="D437" s="330" t="s">
        <v>628</v>
      </c>
      <c r="E437" s="495" t="s">
        <v>645</v>
      </c>
      <c r="F437" s="495" t="s">
        <v>1293</v>
      </c>
      <c r="G437" s="577"/>
      <c r="I437" s="479" t="str">
        <f t="shared" si="40"/>
        <v/>
      </c>
      <c r="L437"/>
    </row>
    <row r="438" spans="1:12" ht="16.2" thickBot="1">
      <c r="A438" s="2" t="str">
        <f t="shared" si="37"/>
        <v/>
      </c>
      <c r="B438" t="str">
        <f t="shared" si="38"/>
        <v>5</v>
      </c>
      <c r="C438" t="str">
        <f t="shared" si="39"/>
        <v>19 Jul mer</v>
      </c>
      <c r="D438" s="330" t="s">
        <v>628</v>
      </c>
      <c r="E438" s="495" t="s">
        <v>646</v>
      </c>
      <c r="F438" s="495" t="s">
        <v>999</v>
      </c>
      <c r="G438" s="577"/>
      <c r="I438" s="479">
        <f t="shared" si="40"/>
        <v>1</v>
      </c>
      <c r="L438"/>
    </row>
    <row r="439" spans="1:12" ht="16.2" thickBot="1">
      <c r="A439" s="2" t="str">
        <f t="shared" si="37"/>
        <v/>
      </c>
      <c r="B439" t="str">
        <f t="shared" si="38"/>
        <v>6</v>
      </c>
      <c r="C439" t="str">
        <f t="shared" si="39"/>
        <v>19 Jul mer</v>
      </c>
      <c r="D439" s="330" t="s">
        <v>628</v>
      </c>
      <c r="E439" s="495" t="s">
        <v>647</v>
      </c>
      <c r="F439" s="577"/>
      <c r="G439" s="577"/>
      <c r="I439" s="479" t="str">
        <f t="shared" si="40"/>
        <v/>
      </c>
      <c r="L439"/>
    </row>
    <row r="440" spans="1:12" ht="16.2" thickBot="1">
      <c r="A440" s="2" t="str">
        <f t="shared" si="37"/>
        <v/>
      </c>
      <c r="B440" t="str">
        <f t="shared" si="38"/>
        <v>7</v>
      </c>
      <c r="C440" t="str">
        <f t="shared" si="39"/>
        <v>19 Jul mer</v>
      </c>
      <c r="D440" s="330" t="s">
        <v>628</v>
      </c>
      <c r="E440" s="495" t="s">
        <v>648</v>
      </c>
      <c r="F440" s="577"/>
      <c r="G440" s="577"/>
      <c r="I440" s="479" t="str">
        <f t="shared" si="40"/>
        <v/>
      </c>
      <c r="L440"/>
    </row>
    <row r="441" spans="1:12">
      <c r="A441" s="2" t="str">
        <f t="shared" si="37"/>
        <v/>
      </c>
      <c r="B441" t="str">
        <f t="shared" si="38"/>
        <v>P</v>
      </c>
      <c r="C441" t="str">
        <f t="shared" si="39"/>
        <v>19 Jul mer</v>
      </c>
      <c r="D441" s="330" t="s">
        <v>628</v>
      </c>
      <c r="E441" s="493" t="s">
        <v>1294</v>
      </c>
      <c r="F441" s="441"/>
      <c r="G441" s="441"/>
      <c r="I441" s="479" t="str">
        <f t="shared" si="40"/>
        <v/>
      </c>
      <c r="L441"/>
    </row>
    <row r="442" spans="1:12" ht="16.2" thickBot="1">
      <c r="A442" s="2" t="str">
        <f t="shared" si="37"/>
        <v/>
      </c>
      <c r="B442" t="str">
        <f t="shared" si="38"/>
        <v>C</v>
      </c>
      <c r="C442" t="str">
        <f t="shared" si="39"/>
        <v>19 Jul mer</v>
      </c>
      <c r="D442" s="330" t="s">
        <v>628</v>
      </c>
      <c r="E442" s="493" t="s">
        <v>1295</v>
      </c>
      <c r="F442" s="441"/>
      <c r="G442" s="441"/>
      <c r="I442" s="479" t="str">
        <f t="shared" si="40"/>
        <v/>
      </c>
      <c r="L442"/>
    </row>
    <row r="443" spans="1:12" ht="16.2" thickBot="1">
      <c r="A443" s="2">
        <f t="shared" si="37"/>
        <v>443</v>
      </c>
      <c r="B443" t="str">
        <f t="shared" si="38"/>
        <v>*</v>
      </c>
      <c r="C443" t="str">
        <f t="shared" si="39"/>
        <v>20 Jul Jeu</v>
      </c>
      <c r="D443" s="330" t="s">
        <v>628</v>
      </c>
      <c r="E443" s="576" t="s">
        <v>1296</v>
      </c>
      <c r="F443" s="495" t="s">
        <v>664</v>
      </c>
      <c r="G443" s="577"/>
      <c r="I443" s="479" t="str">
        <f t="shared" si="40"/>
        <v/>
      </c>
      <c r="L443"/>
    </row>
    <row r="444" spans="1:12" ht="16.2" thickBot="1">
      <c r="A444" s="2" t="str">
        <f t="shared" si="37"/>
        <v/>
      </c>
      <c r="B444" t="str">
        <f t="shared" si="38"/>
        <v>1</v>
      </c>
      <c r="C444" t="str">
        <f t="shared" si="39"/>
        <v>20 Jul Jeu</v>
      </c>
      <c r="D444" s="330" t="s">
        <v>628</v>
      </c>
      <c r="E444" s="495" t="s">
        <v>641</v>
      </c>
      <c r="F444" s="495">
        <v>80</v>
      </c>
      <c r="G444" s="577"/>
      <c r="I444" s="479" t="str">
        <f t="shared" si="40"/>
        <v/>
      </c>
      <c r="L444"/>
    </row>
    <row r="445" spans="1:12" ht="16.2" thickBot="1">
      <c r="A445" s="2" t="str">
        <f t="shared" ref="A445:A455" si="41">IF(B445="*",ROW(),"")</f>
        <v/>
      </c>
      <c r="B445" t="str">
        <f t="shared" ref="B445:B455" si="42">LEFT(E445,1)</f>
        <v>2</v>
      </c>
      <c r="C445" t="str">
        <f t="shared" ref="C445:C455" si="43">IF(B445="*",RIGHT(E445,10),C444)</f>
        <v>20 Jul Jeu</v>
      </c>
      <c r="D445" s="330" t="s">
        <v>628</v>
      </c>
      <c r="E445" s="495" t="s">
        <v>642</v>
      </c>
      <c r="F445" s="495">
        <v>80</v>
      </c>
      <c r="G445" s="495" t="s">
        <v>1297</v>
      </c>
      <c r="L445"/>
    </row>
    <row r="446" spans="1:12" ht="30.6" thickBot="1">
      <c r="A446" s="2" t="str">
        <f t="shared" si="41"/>
        <v/>
      </c>
      <c r="B446" t="str">
        <f t="shared" si="42"/>
        <v>3</v>
      </c>
      <c r="C446" t="str">
        <f t="shared" si="43"/>
        <v>20 Jul Jeu</v>
      </c>
      <c r="D446" s="330" t="s">
        <v>628</v>
      </c>
      <c r="E446" s="495" t="s">
        <v>643</v>
      </c>
      <c r="F446" s="495">
        <v>80</v>
      </c>
      <c r="G446" s="495" t="s">
        <v>1298</v>
      </c>
      <c r="L446"/>
    </row>
    <row r="447" spans="1:12" ht="16.2" thickBot="1">
      <c r="A447" s="2" t="str">
        <f t="shared" si="41"/>
        <v/>
      </c>
      <c r="B447" t="str">
        <f t="shared" si="42"/>
        <v>4</v>
      </c>
      <c r="C447" t="str">
        <f t="shared" si="43"/>
        <v>20 Jul Jeu</v>
      </c>
      <c r="D447" s="330" t="s">
        <v>628</v>
      </c>
      <c r="E447" s="495" t="s">
        <v>645</v>
      </c>
      <c r="F447" s="495" t="s">
        <v>1176</v>
      </c>
      <c r="G447" s="577"/>
      <c r="L447"/>
    </row>
    <row r="448" spans="1:12" ht="16.2" thickBot="1">
      <c r="A448" s="2" t="str">
        <f t="shared" si="41"/>
        <v/>
      </c>
      <c r="B448" t="str">
        <f t="shared" si="42"/>
        <v>5</v>
      </c>
      <c r="C448" t="str">
        <f t="shared" si="43"/>
        <v>20 Jul Jeu</v>
      </c>
      <c r="D448" s="330" t="s">
        <v>628</v>
      </c>
      <c r="E448" s="495" t="s">
        <v>646</v>
      </c>
      <c r="F448" s="495" t="s">
        <v>1299</v>
      </c>
      <c r="G448" s="495" t="s">
        <v>1300</v>
      </c>
      <c r="L448"/>
    </row>
    <row r="449" spans="1:12" ht="16.2" thickBot="1">
      <c r="A449" s="2" t="str">
        <f t="shared" si="41"/>
        <v/>
      </c>
      <c r="B449" t="str">
        <f t="shared" si="42"/>
        <v>6</v>
      </c>
      <c r="C449" t="str">
        <f t="shared" si="43"/>
        <v>20 Jul Jeu</v>
      </c>
      <c r="D449" s="330" t="s">
        <v>628</v>
      </c>
      <c r="E449" s="495" t="s">
        <v>647</v>
      </c>
      <c r="F449" s="577"/>
      <c r="G449" s="577"/>
      <c r="L449"/>
    </row>
    <row r="450" spans="1:12" ht="16.2" thickBot="1">
      <c r="A450" s="2" t="str">
        <f t="shared" si="41"/>
        <v/>
      </c>
      <c r="B450" t="str">
        <f t="shared" si="42"/>
        <v>7</v>
      </c>
      <c r="C450" t="str">
        <f t="shared" si="43"/>
        <v>20 Jul Jeu</v>
      </c>
      <c r="D450" s="330" t="s">
        <v>628</v>
      </c>
      <c r="E450" s="495" t="s">
        <v>648</v>
      </c>
      <c r="F450" s="577"/>
      <c r="G450" s="577"/>
      <c r="L450"/>
    </row>
    <row r="451" spans="1:12">
      <c r="A451" s="2" t="str">
        <f t="shared" si="41"/>
        <v/>
      </c>
      <c r="B451" t="str">
        <f t="shared" si="42"/>
        <v>6</v>
      </c>
      <c r="C451" t="str">
        <f t="shared" si="43"/>
        <v>20 Jul Jeu</v>
      </c>
      <c r="D451" s="330" t="s">
        <v>628</v>
      </c>
      <c r="E451" s="493" t="s">
        <v>1301</v>
      </c>
      <c r="F451" s="441"/>
      <c r="G451" s="441"/>
      <c r="L451"/>
    </row>
    <row r="452" spans="1:12">
      <c r="A452" s="2" t="str">
        <f t="shared" si="41"/>
        <v/>
      </c>
      <c r="B452" t="str">
        <f t="shared" si="42"/>
        <v>F</v>
      </c>
      <c r="C452" t="str">
        <f t="shared" si="43"/>
        <v>20 Jul Jeu</v>
      </c>
      <c r="D452" s="330" t="s">
        <v>628</v>
      </c>
      <c r="E452" s="493" t="s">
        <v>1302</v>
      </c>
      <c r="F452" s="441"/>
      <c r="G452" s="441"/>
      <c r="L452"/>
    </row>
    <row r="453" spans="1:12">
      <c r="A453" s="2" t="str">
        <f t="shared" si="41"/>
        <v/>
      </c>
      <c r="B453" t="str">
        <f t="shared" si="42"/>
        <v>C</v>
      </c>
      <c r="C453" t="str">
        <f t="shared" si="43"/>
        <v>20 Jul Jeu</v>
      </c>
      <c r="D453" s="330" t="s">
        <v>628</v>
      </c>
      <c r="E453" s="493" t="s">
        <v>1004</v>
      </c>
      <c r="F453" s="441"/>
      <c r="G453" s="441"/>
      <c r="L453"/>
    </row>
    <row r="454" spans="1:12" ht="30">
      <c r="A454" s="2" t="str">
        <f t="shared" si="41"/>
        <v/>
      </c>
      <c r="B454" t="str">
        <f t="shared" si="42"/>
        <v>J</v>
      </c>
      <c r="C454" t="str">
        <f t="shared" si="43"/>
        <v>20 Jul Jeu</v>
      </c>
      <c r="D454" s="330" t="s">
        <v>628</v>
      </c>
      <c r="E454" s="493" t="s">
        <v>1303</v>
      </c>
      <c r="F454" s="441"/>
      <c r="G454" s="441"/>
      <c r="L454"/>
    </row>
    <row r="455" spans="1:12" ht="16.2" thickBot="1">
      <c r="A455" s="2" t="str">
        <f t="shared" si="41"/>
        <v/>
      </c>
      <c r="B455" t="str">
        <f t="shared" si="42"/>
        <v/>
      </c>
      <c r="C455" t="str">
        <f t="shared" si="43"/>
        <v>20 Jul Jeu</v>
      </c>
      <c r="D455" s="330" t="s">
        <v>628</v>
      </c>
      <c r="E455" s="494"/>
      <c r="F455" s="441"/>
      <c r="G455" s="441"/>
      <c r="L455"/>
    </row>
    <row r="456" spans="1:12" ht="16.2" thickBot="1">
      <c r="A456" s="2">
        <f t="shared" ref="A456:A499" si="44">IF(B456="*",ROW(),"")</f>
        <v>456</v>
      </c>
      <c r="B456" t="str">
        <f t="shared" ref="B456:B499" si="45">LEFT(E456,1)</f>
        <v>*</v>
      </c>
      <c r="C456" t="str">
        <f t="shared" ref="C456:C499" si="46">IF(B456="*",RIGHT(E456,10),C455)</f>
        <v>21 Jul ven</v>
      </c>
      <c r="D456" s="330" t="s">
        <v>628</v>
      </c>
      <c r="E456" s="576" t="s">
        <v>1304</v>
      </c>
      <c r="F456" s="495" t="s">
        <v>664</v>
      </c>
      <c r="G456" s="577"/>
      <c r="L456"/>
    </row>
    <row r="457" spans="1:12" ht="16.2" thickBot="1">
      <c r="A457" s="2" t="str">
        <f t="shared" si="44"/>
        <v/>
      </c>
      <c r="B457" t="str">
        <f t="shared" si="45"/>
        <v>1</v>
      </c>
      <c r="C457" t="str">
        <f t="shared" si="46"/>
        <v>21 Jul ven</v>
      </c>
      <c r="D457" s="330" t="s">
        <v>628</v>
      </c>
      <c r="E457" s="495" t="s">
        <v>641</v>
      </c>
      <c r="F457" s="577"/>
      <c r="G457" s="577"/>
      <c r="L457"/>
    </row>
    <row r="458" spans="1:12" ht="16.2" thickBot="1">
      <c r="A458" s="2" t="str">
        <f t="shared" si="44"/>
        <v/>
      </c>
      <c r="B458" t="str">
        <f t="shared" si="45"/>
        <v>2</v>
      </c>
      <c r="C458" t="str">
        <f t="shared" si="46"/>
        <v>21 Jul ven</v>
      </c>
      <c r="D458" s="330" t="s">
        <v>628</v>
      </c>
      <c r="E458" s="495" t="s">
        <v>642</v>
      </c>
      <c r="F458" s="495">
        <v>475</v>
      </c>
      <c r="G458" s="495" t="s">
        <v>1305</v>
      </c>
      <c r="L458"/>
    </row>
    <row r="459" spans="1:12" ht="16.2" thickBot="1">
      <c r="A459" s="2" t="str">
        <f t="shared" si="44"/>
        <v/>
      </c>
      <c r="B459" t="str">
        <f t="shared" si="45"/>
        <v>3</v>
      </c>
      <c r="C459" t="str">
        <f t="shared" si="46"/>
        <v>21 Jul ven</v>
      </c>
      <c r="D459" s="330" t="s">
        <v>628</v>
      </c>
      <c r="E459" s="495" t="s">
        <v>643</v>
      </c>
      <c r="F459" s="495">
        <v>175</v>
      </c>
      <c r="G459" s="577"/>
      <c r="L459"/>
    </row>
    <row r="460" spans="1:12" ht="16.2" thickBot="1">
      <c r="A460" s="2" t="str">
        <f t="shared" si="44"/>
        <v/>
      </c>
      <c r="B460" t="str">
        <f t="shared" si="45"/>
        <v>4</v>
      </c>
      <c r="C460" t="str">
        <f t="shared" si="46"/>
        <v>21 Jul ven</v>
      </c>
      <c r="D460" s="330" t="s">
        <v>628</v>
      </c>
      <c r="E460" s="495" t="s">
        <v>645</v>
      </c>
      <c r="F460" s="495" t="s">
        <v>1306</v>
      </c>
      <c r="G460" s="577"/>
      <c r="L460"/>
    </row>
    <row r="461" spans="1:12" ht="16.2" thickBot="1">
      <c r="A461" s="2" t="str">
        <f t="shared" si="44"/>
        <v/>
      </c>
      <c r="B461" t="str">
        <f t="shared" si="45"/>
        <v>5</v>
      </c>
      <c r="C461" t="str">
        <f t="shared" si="46"/>
        <v>21 Jul ven</v>
      </c>
      <c r="D461" s="330" t="s">
        <v>628</v>
      </c>
      <c r="E461" s="495" t="s">
        <v>646</v>
      </c>
      <c r="F461" s="495" t="s">
        <v>999</v>
      </c>
      <c r="G461" s="577"/>
      <c r="L461"/>
    </row>
    <row r="462" spans="1:12" ht="16.2" thickBot="1">
      <c r="A462" s="2" t="str">
        <f t="shared" si="44"/>
        <v/>
      </c>
      <c r="B462" t="str">
        <f t="shared" si="45"/>
        <v>6</v>
      </c>
      <c r="C462" t="str">
        <f t="shared" si="46"/>
        <v>21 Jul ven</v>
      </c>
      <c r="D462" s="330" t="s">
        <v>628</v>
      </c>
      <c r="E462" s="495" t="s">
        <v>647</v>
      </c>
      <c r="F462" s="495" t="s">
        <v>1307</v>
      </c>
      <c r="G462" s="577"/>
      <c r="L462"/>
    </row>
    <row r="463" spans="1:12" ht="16.2" thickBot="1">
      <c r="A463" s="2" t="str">
        <f t="shared" si="44"/>
        <v/>
      </c>
      <c r="B463" t="str">
        <f t="shared" si="45"/>
        <v>7</v>
      </c>
      <c r="C463" t="str">
        <f t="shared" si="46"/>
        <v>21 Jul ven</v>
      </c>
      <c r="D463" s="330" t="s">
        <v>628</v>
      </c>
      <c r="E463" s="495" t="s">
        <v>648</v>
      </c>
      <c r="F463" s="577"/>
      <c r="G463" s="577"/>
      <c r="L463"/>
    </row>
    <row r="464" spans="1:12">
      <c r="A464" s="2" t="str">
        <f t="shared" si="44"/>
        <v/>
      </c>
      <c r="B464" t="str">
        <f t="shared" si="45"/>
        <v>F</v>
      </c>
      <c r="C464" t="str">
        <f t="shared" si="46"/>
        <v>21 Jul ven</v>
      </c>
      <c r="D464" s="330" t="s">
        <v>628</v>
      </c>
      <c r="E464" s="493" t="s">
        <v>1308</v>
      </c>
      <c r="F464" s="441"/>
      <c r="G464" s="441"/>
      <c r="L464"/>
    </row>
    <row r="465" spans="1:12">
      <c r="A465" s="2" t="str">
        <f t="shared" si="44"/>
        <v/>
      </c>
      <c r="B465" t="str">
        <f t="shared" si="45"/>
        <v>F</v>
      </c>
      <c r="C465" t="str">
        <f t="shared" si="46"/>
        <v>21 Jul ven</v>
      </c>
      <c r="D465" s="330" t="s">
        <v>628</v>
      </c>
      <c r="E465" s="493" t="s">
        <v>1309</v>
      </c>
      <c r="F465" s="441"/>
      <c r="G465" s="441"/>
      <c r="L465"/>
    </row>
    <row r="466" spans="1:12">
      <c r="A466" s="2" t="str">
        <f t="shared" si="44"/>
        <v/>
      </c>
      <c r="B466" t="str">
        <f t="shared" si="45"/>
        <v>F</v>
      </c>
      <c r="C466" t="str">
        <f t="shared" si="46"/>
        <v>21 Jul ven</v>
      </c>
      <c r="D466" s="330" t="s">
        <v>628</v>
      </c>
      <c r="E466" s="493" t="s">
        <v>1310</v>
      </c>
      <c r="F466" s="441"/>
      <c r="G466" s="441"/>
      <c r="L466"/>
    </row>
    <row r="467" spans="1:12">
      <c r="A467" s="2" t="str">
        <f t="shared" si="44"/>
        <v/>
      </c>
      <c r="B467" t="str">
        <f t="shared" si="45"/>
        <v>p</v>
      </c>
      <c r="C467" t="str">
        <f t="shared" si="46"/>
        <v>21 Jul ven</v>
      </c>
      <c r="D467" s="330" t="s">
        <v>628</v>
      </c>
      <c r="E467" s="493" t="s">
        <v>1311</v>
      </c>
      <c r="F467" s="441"/>
      <c r="G467" s="441"/>
      <c r="L467"/>
    </row>
    <row r="468" spans="1:12" ht="16.2" thickBot="1">
      <c r="A468" s="2" t="str">
        <f t="shared" si="44"/>
        <v/>
      </c>
      <c r="B468" t="str">
        <f t="shared" si="45"/>
        <v/>
      </c>
      <c r="C468" t="str">
        <f t="shared" si="46"/>
        <v>21 Jul ven</v>
      </c>
      <c r="D468" s="330" t="s">
        <v>628</v>
      </c>
      <c r="E468" s="494"/>
      <c r="F468" s="441"/>
      <c r="G468" s="441"/>
      <c r="L468"/>
    </row>
    <row r="469" spans="1:12" ht="16.2" thickBot="1">
      <c r="A469" s="2">
        <f t="shared" si="44"/>
        <v>469</v>
      </c>
      <c r="B469" t="str">
        <f t="shared" si="45"/>
        <v>*</v>
      </c>
      <c r="C469" t="str">
        <f t="shared" si="46"/>
        <v>2 Jul Sam </v>
      </c>
      <c r="D469" s="330" t="s">
        <v>628</v>
      </c>
      <c r="E469" s="576" t="s">
        <v>1312</v>
      </c>
      <c r="F469" s="495" t="s">
        <v>664</v>
      </c>
      <c r="G469" s="577"/>
      <c r="L469"/>
    </row>
    <row r="470" spans="1:12" ht="30.6" thickBot="1">
      <c r="A470" s="2" t="str">
        <f t="shared" si="44"/>
        <v/>
      </c>
      <c r="B470" t="str">
        <f t="shared" si="45"/>
        <v>1</v>
      </c>
      <c r="C470" t="str">
        <f t="shared" si="46"/>
        <v>2 Jul Sam </v>
      </c>
      <c r="D470" s="330" t="s">
        <v>628</v>
      </c>
      <c r="E470" s="495" t="s">
        <v>641</v>
      </c>
      <c r="F470" s="495">
        <v>550</v>
      </c>
      <c r="G470" s="495" t="s">
        <v>1313</v>
      </c>
      <c r="L470"/>
    </row>
    <row r="471" spans="1:12" ht="16.2" thickBot="1">
      <c r="A471" s="2" t="str">
        <f t="shared" si="44"/>
        <v/>
      </c>
      <c r="B471" t="str">
        <f t="shared" si="45"/>
        <v>2</v>
      </c>
      <c r="C471" t="str">
        <f t="shared" si="46"/>
        <v>2 Jul Sam </v>
      </c>
      <c r="D471" s="330" t="s">
        <v>628</v>
      </c>
      <c r="E471" s="495" t="s">
        <v>642</v>
      </c>
      <c r="F471" s="495">
        <v>150</v>
      </c>
      <c r="G471" s="495" t="s">
        <v>1064</v>
      </c>
      <c r="L471"/>
    </row>
    <row r="472" spans="1:12" ht="16.2" thickBot="1">
      <c r="A472" s="2" t="str">
        <f t="shared" si="44"/>
        <v/>
      </c>
      <c r="B472" t="str">
        <f t="shared" si="45"/>
        <v>3</v>
      </c>
      <c r="C472" t="str">
        <f t="shared" si="46"/>
        <v>2 Jul Sam </v>
      </c>
      <c r="D472" s="330" t="s">
        <v>628</v>
      </c>
      <c r="E472" s="495" t="s">
        <v>643</v>
      </c>
      <c r="F472" s="495">
        <v>160</v>
      </c>
      <c r="G472" s="495" t="s">
        <v>1314</v>
      </c>
      <c r="L472"/>
    </row>
    <row r="473" spans="1:12" ht="16.2" thickBot="1">
      <c r="A473" s="2" t="str">
        <f t="shared" si="44"/>
        <v/>
      </c>
      <c r="B473" t="str">
        <f t="shared" si="45"/>
        <v>4</v>
      </c>
      <c r="C473" t="str">
        <f t="shared" si="46"/>
        <v>2 Jul Sam </v>
      </c>
      <c r="D473" s="330" t="s">
        <v>628</v>
      </c>
      <c r="E473" s="495" t="s">
        <v>645</v>
      </c>
      <c r="F473" s="495">
        <v>15</v>
      </c>
      <c r="G473" s="577"/>
      <c r="L473"/>
    </row>
    <row r="474" spans="1:12" ht="16.2" thickBot="1">
      <c r="A474" s="2" t="str">
        <f t="shared" si="44"/>
        <v/>
      </c>
      <c r="B474" t="str">
        <f t="shared" si="45"/>
        <v>5</v>
      </c>
      <c r="C474" t="str">
        <f t="shared" si="46"/>
        <v>2 Jul Sam </v>
      </c>
      <c r="D474" s="330" t="s">
        <v>628</v>
      </c>
      <c r="E474" s="495" t="s">
        <v>646</v>
      </c>
      <c r="F474" s="577"/>
      <c r="G474" s="577"/>
      <c r="L474"/>
    </row>
    <row r="475" spans="1:12" ht="16.2" thickBot="1">
      <c r="A475" s="2" t="str">
        <f t="shared" si="44"/>
        <v/>
      </c>
      <c r="B475" t="str">
        <f t="shared" si="45"/>
        <v>6</v>
      </c>
      <c r="C475" t="str">
        <f t="shared" si="46"/>
        <v>2 Jul Sam </v>
      </c>
      <c r="D475" s="330" t="s">
        <v>628</v>
      </c>
      <c r="E475" s="495" t="s">
        <v>647</v>
      </c>
      <c r="F475" s="577"/>
      <c r="G475" s="577"/>
      <c r="L475"/>
    </row>
    <row r="476" spans="1:12" ht="16.2" thickBot="1">
      <c r="A476" s="2" t="str">
        <f t="shared" si="44"/>
        <v/>
      </c>
      <c r="B476" t="str">
        <f t="shared" si="45"/>
        <v>7</v>
      </c>
      <c r="C476" t="str">
        <f t="shared" si="46"/>
        <v>2 Jul Sam </v>
      </c>
      <c r="D476" s="330" t="s">
        <v>628</v>
      </c>
      <c r="E476" s="495" t="s">
        <v>648</v>
      </c>
      <c r="F476" s="577"/>
      <c r="G476" s="577"/>
      <c r="L476"/>
    </row>
    <row r="477" spans="1:12">
      <c r="A477" s="2" t="str">
        <f t="shared" si="44"/>
        <v/>
      </c>
      <c r="B477" t="str">
        <f t="shared" si="45"/>
        <v>1</v>
      </c>
      <c r="C477" t="str">
        <f t="shared" si="46"/>
        <v>2 Jul Sam </v>
      </c>
      <c r="D477" s="330" t="s">
        <v>628</v>
      </c>
      <c r="E477" s="493" t="s">
        <v>1315</v>
      </c>
      <c r="F477" s="441"/>
      <c r="G477" s="441"/>
      <c r="L477"/>
    </row>
    <row r="478" spans="1:12">
      <c r="A478" s="2" t="str">
        <f t="shared" si="44"/>
        <v/>
      </c>
      <c r="B478" t="str">
        <f t="shared" si="45"/>
        <v>C</v>
      </c>
      <c r="C478" t="str">
        <f t="shared" si="46"/>
        <v>2 Jul Sam </v>
      </c>
      <c r="D478" s="330" t="s">
        <v>628</v>
      </c>
      <c r="E478" s="493" t="s">
        <v>1316</v>
      </c>
      <c r="F478" s="441"/>
      <c r="G478" s="441"/>
      <c r="L478"/>
    </row>
    <row r="479" spans="1:12">
      <c r="A479" s="2" t="str">
        <f t="shared" si="44"/>
        <v/>
      </c>
      <c r="B479" t="str">
        <f t="shared" si="45"/>
        <v>P</v>
      </c>
      <c r="C479" t="str">
        <f t="shared" si="46"/>
        <v>2 Jul Sam </v>
      </c>
      <c r="D479" s="330" t="s">
        <v>628</v>
      </c>
      <c r="E479" s="493" t="s">
        <v>1317</v>
      </c>
      <c r="F479" s="441"/>
      <c r="G479" s="441"/>
      <c r="L479"/>
    </row>
    <row r="480" spans="1:12">
      <c r="A480" s="2" t="str">
        <f t="shared" si="44"/>
        <v/>
      </c>
      <c r="B480" t="str">
        <f t="shared" si="45"/>
        <v>R</v>
      </c>
      <c r="C480" t="str">
        <f t="shared" si="46"/>
        <v>2 Jul Sam </v>
      </c>
      <c r="D480" s="330" t="s">
        <v>628</v>
      </c>
      <c r="E480" s="493" t="s">
        <v>1318</v>
      </c>
      <c r="F480" s="441"/>
      <c r="G480" s="441"/>
      <c r="L480"/>
    </row>
    <row r="481" spans="1:12">
      <c r="A481" s="2" t="str">
        <f t="shared" si="44"/>
        <v/>
      </c>
      <c r="B481" t="str">
        <f t="shared" si="45"/>
        <v>R</v>
      </c>
      <c r="C481" t="str">
        <f t="shared" si="46"/>
        <v>2 Jul Sam </v>
      </c>
      <c r="D481" s="330" t="s">
        <v>628</v>
      </c>
      <c r="E481" s="493" t="s">
        <v>1319</v>
      </c>
      <c r="F481" s="441"/>
      <c r="G481" s="441"/>
      <c r="L481"/>
    </row>
    <row r="482" spans="1:12">
      <c r="A482" s="2" t="str">
        <f t="shared" si="44"/>
        <v/>
      </c>
      <c r="B482" t="str">
        <f t="shared" si="45"/>
        <v>F</v>
      </c>
      <c r="C482" t="str">
        <f t="shared" si="46"/>
        <v>2 Jul Sam </v>
      </c>
      <c r="D482" s="330" t="s">
        <v>628</v>
      </c>
      <c r="E482" s="493" t="s">
        <v>1320</v>
      </c>
      <c r="F482" s="441"/>
      <c r="G482" s="441"/>
      <c r="L482"/>
    </row>
    <row r="483" spans="1:12">
      <c r="A483" s="2" t="str">
        <f t="shared" si="44"/>
        <v/>
      </c>
      <c r="B483" t="str">
        <f t="shared" si="45"/>
        <v>2</v>
      </c>
      <c r="C483" t="str">
        <f t="shared" si="46"/>
        <v>2 Jul Sam </v>
      </c>
      <c r="D483" s="330" t="s">
        <v>628</v>
      </c>
      <c r="E483" s="493" t="s">
        <v>1321</v>
      </c>
      <c r="F483" s="441"/>
      <c r="G483" s="441"/>
      <c r="L483"/>
    </row>
    <row r="484" spans="1:12">
      <c r="A484" s="2" t="str">
        <f t="shared" si="44"/>
        <v/>
      </c>
      <c r="B484" t="str">
        <f t="shared" si="45"/>
        <v>É</v>
      </c>
      <c r="C484" t="str">
        <f t="shared" si="46"/>
        <v>2 Jul Sam </v>
      </c>
      <c r="D484" s="330" t="s">
        <v>628</v>
      </c>
      <c r="E484" s="493" t="s">
        <v>1322</v>
      </c>
      <c r="F484" s="441"/>
      <c r="G484" s="441"/>
      <c r="L484"/>
    </row>
    <row r="485" spans="1:12">
      <c r="A485" s="2" t="str">
        <f t="shared" si="44"/>
        <v/>
      </c>
      <c r="B485" t="str">
        <f t="shared" si="45"/>
        <v>5</v>
      </c>
      <c r="C485" t="str">
        <f t="shared" si="46"/>
        <v>2 Jul Sam </v>
      </c>
      <c r="D485" s="330" t="s">
        <v>628</v>
      </c>
      <c r="E485" s="493" t="s">
        <v>1323</v>
      </c>
      <c r="F485" s="441"/>
      <c r="G485" s="441"/>
      <c r="L485"/>
    </row>
    <row r="486" spans="1:12">
      <c r="A486" s="2" t="str">
        <f t="shared" si="44"/>
        <v/>
      </c>
      <c r="B486" t="str">
        <f t="shared" si="45"/>
        <v>T</v>
      </c>
      <c r="C486" t="str">
        <f t="shared" si="46"/>
        <v>2 Jul Sam </v>
      </c>
      <c r="D486" s="330" t="s">
        <v>628</v>
      </c>
      <c r="E486" s="493" t="s">
        <v>1324</v>
      </c>
      <c r="F486" s="441"/>
      <c r="G486" s="441"/>
      <c r="L486"/>
    </row>
    <row r="487" spans="1:12">
      <c r="A487" s="2" t="str">
        <f t="shared" si="44"/>
        <v/>
      </c>
      <c r="B487" t="str">
        <f t="shared" si="45"/>
        <v>C</v>
      </c>
      <c r="C487" t="str">
        <f t="shared" si="46"/>
        <v>2 Jul Sam </v>
      </c>
      <c r="D487" s="330" t="s">
        <v>628</v>
      </c>
      <c r="E487" s="493" t="s">
        <v>1325</v>
      </c>
      <c r="F487" s="441"/>
      <c r="G487" s="441"/>
      <c r="L487"/>
    </row>
    <row r="488" spans="1:12">
      <c r="A488" s="2" t="str">
        <f t="shared" si="44"/>
        <v/>
      </c>
      <c r="B488" t="str">
        <f t="shared" si="45"/>
        <v>C</v>
      </c>
      <c r="C488" t="str">
        <f t="shared" si="46"/>
        <v>2 Jul Sam </v>
      </c>
      <c r="D488" s="330" t="s">
        <v>628</v>
      </c>
      <c r="E488" s="493" t="s">
        <v>1326</v>
      </c>
      <c r="F488" s="441"/>
      <c r="G488" s="441"/>
    </row>
    <row r="489" spans="1:12">
      <c r="A489" s="2" t="str">
        <f t="shared" si="44"/>
        <v/>
      </c>
      <c r="B489" t="str">
        <f t="shared" si="45"/>
        <v>c</v>
      </c>
      <c r="C489" t="str">
        <f t="shared" si="46"/>
        <v>2 Jul Sam </v>
      </c>
      <c r="D489" s="330" t="s">
        <v>628</v>
      </c>
      <c r="E489" s="494" t="s">
        <v>1332</v>
      </c>
      <c r="F489" s="441"/>
      <c r="G489" s="441"/>
    </row>
    <row r="490" spans="1:12" ht="16.2" thickBot="1">
      <c r="A490" s="2" t="str">
        <f t="shared" si="44"/>
        <v/>
      </c>
      <c r="B490" t="str">
        <f t="shared" si="45"/>
        <v/>
      </c>
      <c r="C490" t="str">
        <f t="shared" si="46"/>
        <v>2 Jul Sam </v>
      </c>
      <c r="D490" s="330" t="s">
        <v>628</v>
      </c>
      <c r="E490" s="494"/>
      <c r="F490" s="441"/>
      <c r="G490" s="441"/>
    </row>
    <row r="491" spans="1:12" ht="16.2" thickBot="1">
      <c r="A491" s="2">
        <f t="shared" si="44"/>
        <v>491</v>
      </c>
      <c r="B491" t="str">
        <f t="shared" si="45"/>
        <v>*</v>
      </c>
      <c r="C491" t="str">
        <f t="shared" si="46"/>
        <v>23 Jul Dim</v>
      </c>
      <c r="D491" s="330" t="s">
        <v>628</v>
      </c>
      <c r="E491" s="576" t="s">
        <v>1327</v>
      </c>
      <c r="F491" s="495" t="s">
        <v>664</v>
      </c>
      <c r="G491" s="577"/>
    </row>
    <row r="492" spans="1:12" ht="16.2" thickBot="1">
      <c r="A492" s="2" t="str">
        <f t="shared" si="44"/>
        <v/>
      </c>
      <c r="B492" t="str">
        <f t="shared" si="45"/>
        <v>1</v>
      </c>
      <c r="C492" t="str">
        <f t="shared" si="46"/>
        <v>23 Jul Dim</v>
      </c>
      <c r="D492" s="330" t="s">
        <v>628</v>
      </c>
      <c r="E492" s="495" t="s">
        <v>641</v>
      </c>
      <c r="F492" s="578">
        <v>12</v>
      </c>
      <c r="G492" s="495" t="s">
        <v>1171</v>
      </c>
    </row>
    <row r="493" spans="1:12" ht="16.2" thickBot="1">
      <c r="A493" s="2" t="str">
        <f t="shared" si="44"/>
        <v/>
      </c>
      <c r="B493" t="str">
        <f t="shared" si="45"/>
        <v>2</v>
      </c>
      <c r="C493" t="str">
        <f t="shared" si="46"/>
        <v>23 Jul Dim</v>
      </c>
      <c r="D493" s="330" t="s">
        <v>628</v>
      </c>
      <c r="E493" s="495" t="s">
        <v>642</v>
      </c>
      <c r="F493" s="577"/>
      <c r="G493" s="577"/>
    </row>
    <row r="494" spans="1:12" ht="16.2" thickBot="1">
      <c r="A494" s="2" t="str">
        <f t="shared" si="44"/>
        <v/>
      </c>
      <c r="B494" t="str">
        <f t="shared" si="45"/>
        <v>3</v>
      </c>
      <c r="C494" t="str">
        <f t="shared" si="46"/>
        <v>23 Jul Dim</v>
      </c>
      <c r="D494" s="330" t="s">
        <v>628</v>
      </c>
      <c r="E494" s="495" t="s">
        <v>643</v>
      </c>
      <c r="F494" s="577"/>
      <c r="G494" s="577"/>
    </row>
    <row r="495" spans="1:12" ht="16.2" thickBot="1">
      <c r="A495" s="2" t="str">
        <f t="shared" si="44"/>
        <v/>
      </c>
      <c r="B495" t="str">
        <f t="shared" si="45"/>
        <v>4</v>
      </c>
      <c r="C495" t="str">
        <f t="shared" si="46"/>
        <v>23 Jul Dim</v>
      </c>
      <c r="D495" s="330" t="s">
        <v>628</v>
      </c>
      <c r="E495" s="495" t="s">
        <v>645</v>
      </c>
      <c r="F495" s="577"/>
      <c r="G495" s="577"/>
    </row>
    <row r="496" spans="1:12" ht="16.2" thickBot="1">
      <c r="A496" s="2" t="str">
        <f t="shared" si="44"/>
        <v/>
      </c>
      <c r="B496" t="str">
        <f t="shared" si="45"/>
        <v>5</v>
      </c>
      <c r="C496" t="str">
        <f t="shared" si="46"/>
        <v>23 Jul Dim</v>
      </c>
      <c r="D496" s="330" t="s">
        <v>628</v>
      </c>
      <c r="E496" s="495" t="s">
        <v>646</v>
      </c>
      <c r="F496" s="577"/>
      <c r="G496" s="577"/>
    </row>
    <row r="497" spans="1:7" ht="16.2" thickBot="1">
      <c r="A497" s="2" t="str">
        <f t="shared" si="44"/>
        <v/>
      </c>
      <c r="B497" t="str">
        <f t="shared" si="45"/>
        <v>6</v>
      </c>
      <c r="C497" t="str">
        <f t="shared" si="46"/>
        <v>23 Jul Dim</v>
      </c>
      <c r="D497" s="330" t="s">
        <v>628</v>
      </c>
      <c r="E497" s="495" t="s">
        <v>647</v>
      </c>
      <c r="F497" s="577"/>
      <c r="G497" s="577"/>
    </row>
    <row r="498" spans="1:7" ht="16.2" thickBot="1">
      <c r="A498" s="2" t="str">
        <f t="shared" si="44"/>
        <v/>
      </c>
      <c r="B498" t="str">
        <f t="shared" si="45"/>
        <v>7</v>
      </c>
      <c r="C498" t="str">
        <f t="shared" si="46"/>
        <v>23 Jul Dim</v>
      </c>
      <c r="D498" s="330" t="s">
        <v>628</v>
      </c>
      <c r="E498" s="495" t="s">
        <v>648</v>
      </c>
      <c r="F498" s="577"/>
      <c r="G498" s="577"/>
    </row>
    <row r="499" spans="1:7">
      <c r="A499" s="2" t="str">
        <f t="shared" si="44"/>
        <v/>
      </c>
      <c r="B499" t="str">
        <f t="shared" si="45"/>
        <v>R</v>
      </c>
      <c r="C499" t="str">
        <f t="shared" si="46"/>
        <v>23 Jul Dim</v>
      </c>
      <c r="D499" s="330" t="s">
        <v>628</v>
      </c>
      <c r="E499" s="493" t="s">
        <v>1328</v>
      </c>
      <c r="F499" s="441"/>
      <c r="G499" s="441"/>
    </row>
  </sheetData>
  <autoFilter ref="B4:AB499"/>
  <sortState ref="L154:L206">
    <sortCondition ref="L154:L206"/>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B1:AZ42"/>
  <sheetViews>
    <sheetView topLeftCell="A19" zoomScale="85" zoomScaleNormal="85" workbookViewId="0">
      <selection activeCell="Y31" sqref="Y31"/>
    </sheetView>
  </sheetViews>
  <sheetFormatPr baseColWidth="10" defaultRowHeight="14.4" outlineLevelCol="1"/>
  <cols>
    <col min="1" max="1" width="5.88671875" customWidth="1"/>
    <col min="2" max="2" width="11.44140625" style="2" hidden="1" customWidth="1" outlineLevel="1"/>
    <col min="3" max="3" width="6" hidden="1" customWidth="1" outlineLevel="1"/>
    <col min="4" max="18" width="11.44140625" hidden="1" customWidth="1" outlineLevel="1"/>
    <col min="19" max="20" width="12.5546875" hidden="1" customWidth="1" outlineLevel="1"/>
    <col min="21" max="21" width="6.109375" customWidth="1" collapsed="1"/>
    <col min="22" max="34" width="12.5546875" customWidth="1"/>
    <col min="35" max="36" width="16" customWidth="1"/>
    <col min="37" max="37" width="12.5546875" customWidth="1"/>
    <col min="38" max="39" width="8.88671875" customWidth="1"/>
    <col min="40" max="40" width="14.6640625" customWidth="1"/>
    <col min="45" max="45" width="14" customWidth="1"/>
    <col min="46" max="49" width="7.88671875" customWidth="1"/>
    <col min="50" max="50" width="10.88671875" customWidth="1"/>
    <col min="51" max="53" width="7.88671875" customWidth="1"/>
  </cols>
  <sheetData>
    <row r="1" spans="2:52">
      <c r="AW1" s="118" t="s">
        <v>671</v>
      </c>
      <c r="AX1" s="121" t="s">
        <v>280</v>
      </c>
      <c r="AY1" s="293" t="s">
        <v>665</v>
      </c>
      <c r="AZ1" s="189"/>
    </row>
    <row r="2" spans="2:52">
      <c r="M2" s="4" t="s">
        <v>666</v>
      </c>
      <c r="N2" s="4"/>
      <c r="O2" s="4" t="s">
        <v>667</v>
      </c>
      <c r="AX2" s="122">
        <v>1800</v>
      </c>
      <c r="AY2" s="2">
        <v>90</v>
      </c>
      <c r="AZ2" s="125" t="s">
        <v>668</v>
      </c>
    </row>
    <row r="3" spans="2:52">
      <c r="M3" s="4">
        <v>1.2</v>
      </c>
      <c r="O3" s="4">
        <v>0.85</v>
      </c>
      <c r="X3">
        <f>11000+1350</f>
        <v>12350</v>
      </c>
      <c r="Y3">
        <f>X3/25</f>
        <v>494</v>
      </c>
      <c r="AX3" s="122">
        <f>45000/25</f>
        <v>1800</v>
      </c>
      <c r="AY3" s="2">
        <v>81</v>
      </c>
      <c r="AZ3" s="125">
        <f>AX3/AY3</f>
        <v>22.222222222222221</v>
      </c>
    </row>
    <row r="4" spans="2:52" ht="15" thickBot="1">
      <c r="AX4" s="336"/>
      <c r="AY4" s="297"/>
      <c r="AZ4" s="337">
        <v>22.2</v>
      </c>
    </row>
    <row r="5" spans="2:52" ht="15" thickBot="1">
      <c r="D5" s="338" t="s">
        <v>669</v>
      </c>
      <c r="E5" s="118" t="s">
        <v>284</v>
      </c>
      <c r="F5" s="118" t="s">
        <v>287</v>
      </c>
      <c r="G5" s="118" t="s">
        <v>294</v>
      </c>
      <c r="H5" s="118" t="s">
        <v>312</v>
      </c>
      <c r="M5" s="118" t="s">
        <v>251</v>
      </c>
      <c r="N5" s="118" t="s">
        <v>252</v>
      </c>
      <c r="O5" s="118" t="s">
        <v>670</v>
      </c>
      <c r="P5" s="118" t="s">
        <v>275</v>
      </c>
      <c r="Q5" s="118" t="s">
        <v>735</v>
      </c>
      <c r="R5" s="118" t="s">
        <v>671</v>
      </c>
      <c r="W5" s="338" t="s">
        <v>988</v>
      </c>
      <c r="Y5" s="118" t="s">
        <v>312</v>
      </c>
      <c r="Z5" s="118" t="s">
        <v>989</v>
      </c>
      <c r="AB5" s="338" t="s">
        <v>988</v>
      </c>
      <c r="AG5" s="118" t="s">
        <v>671</v>
      </c>
      <c r="AK5" s="118" t="s">
        <v>669</v>
      </c>
      <c r="AO5" s="118" t="s">
        <v>669</v>
      </c>
      <c r="AX5" s="114">
        <f>AZ4*R6</f>
        <v>2641.7999999999997</v>
      </c>
    </row>
    <row r="6" spans="2:52" ht="15" thickBot="1">
      <c r="D6" t="s">
        <v>303</v>
      </c>
      <c r="E6" s="118">
        <v>14</v>
      </c>
      <c r="F6" s="118">
        <v>30</v>
      </c>
      <c r="G6" s="118">
        <v>31</v>
      </c>
      <c r="H6" s="118">
        <v>12</v>
      </c>
      <c r="I6" t="s">
        <v>14</v>
      </c>
      <c r="J6" s="3">
        <f>SUM(E6:H6)</f>
        <v>87</v>
      </c>
      <c r="M6" s="118">
        <v>18</v>
      </c>
      <c r="N6" s="118">
        <v>31</v>
      </c>
      <c r="O6" s="118">
        <v>31</v>
      </c>
      <c r="P6" s="118">
        <v>28</v>
      </c>
      <c r="Q6" s="118">
        <v>11</v>
      </c>
      <c r="R6" s="3">
        <f t="shared" ref="R6:R24" si="0">SUM(M6:Q6)</f>
        <v>119</v>
      </c>
      <c r="W6" s="75" t="s">
        <v>303</v>
      </c>
      <c r="Y6" s="118">
        <v>25</v>
      </c>
      <c r="Z6" s="118">
        <v>24</v>
      </c>
      <c r="AA6" s="118">
        <f>SUM(Y6:Z6)</f>
        <v>49</v>
      </c>
      <c r="AG6" s="4">
        <v>120</v>
      </c>
      <c r="AK6" s="3">
        <v>87</v>
      </c>
      <c r="AO6" s="3">
        <f>J6</f>
        <v>87</v>
      </c>
      <c r="AP6" s="6"/>
      <c r="AW6" t="s">
        <v>672</v>
      </c>
      <c r="AX6" s="2">
        <v>400</v>
      </c>
    </row>
    <row r="7" spans="2:52" ht="15" thickBot="1">
      <c r="B7" s="2" t="s">
        <v>328</v>
      </c>
      <c r="D7" s="72" t="s">
        <v>205</v>
      </c>
      <c r="E7" s="63">
        <v>40.505836575875485</v>
      </c>
      <c r="F7" s="63">
        <v>100.09120945270851</v>
      </c>
      <c r="G7" s="63">
        <v>186.93428902122832</v>
      </c>
      <c r="H7" s="63">
        <v>21.30035899481452</v>
      </c>
      <c r="I7" s="6">
        <f>SUM(E7:H7)</f>
        <v>348.83169404462689</v>
      </c>
      <c r="J7" s="13">
        <f t="shared" ref="J7:J26" si="1">SUM($E7:$H7)/J$6</f>
        <v>4.0095597016623783</v>
      </c>
      <c r="K7" s="72" t="s">
        <v>205</v>
      </c>
      <c r="L7" s="2"/>
      <c r="M7" s="339">
        <f>$J7*M$6*$M$3</f>
        <v>86.606489555907359</v>
      </c>
      <c r="N7" s="339">
        <f>$J7*N$6*$M$3</f>
        <v>149.15562090184045</v>
      </c>
      <c r="O7" s="339">
        <f>$J7*O$6*$M$3</f>
        <v>149.15562090184045</v>
      </c>
      <c r="P7" s="339">
        <f>$J7*P$6*$M$3</f>
        <v>134.7212059758559</v>
      </c>
      <c r="Q7" s="339">
        <f>$J7*Q$6*$M$3</f>
        <v>52.926188061943392</v>
      </c>
      <c r="R7" s="6">
        <f t="shared" si="0"/>
        <v>572.56512539738765</v>
      </c>
      <c r="S7" s="72"/>
      <c r="T7" s="365"/>
      <c r="U7" s="365"/>
      <c r="V7" t="s">
        <v>328</v>
      </c>
      <c r="W7" s="72" t="s">
        <v>205</v>
      </c>
      <c r="X7" s="6"/>
      <c r="Y7" s="6">
        <f t="shared" ref="Y7:Z13" si="2">+$AG7*Y$6/$AG$6</f>
        <v>115.53498407490108</v>
      </c>
      <c r="Z7" s="6">
        <f t="shared" si="2"/>
        <v>110.91358471190503</v>
      </c>
      <c r="AA7" s="6"/>
      <c r="AB7" s="369">
        <f t="shared" ref="AB7:AB24" si="3">SUM(X7:AA7)</f>
        <v>226.44856878680611</v>
      </c>
      <c r="AC7" s="360"/>
      <c r="AD7" s="365"/>
      <c r="AF7" s="72" t="s">
        <v>205</v>
      </c>
      <c r="AG7" s="6">
        <v>554.56792355952518</v>
      </c>
      <c r="AH7" s="360"/>
      <c r="AJ7" s="72" t="s">
        <v>205</v>
      </c>
      <c r="AK7" s="369">
        <f>AO7</f>
        <v>348.83169404462689</v>
      </c>
      <c r="AL7" s="360"/>
      <c r="AN7" s="72" t="s">
        <v>205</v>
      </c>
      <c r="AO7" s="6">
        <v>348.83169404462689</v>
      </c>
      <c r="AP7" s="72"/>
      <c r="AX7" s="119">
        <f>SUM(AX5:AX6)</f>
        <v>3041.7999999999997</v>
      </c>
    </row>
    <row r="8" spans="2:52" ht="15" thickBot="1">
      <c r="B8" s="2" t="s">
        <v>328</v>
      </c>
      <c r="D8" s="73" t="s">
        <v>203</v>
      </c>
      <c r="E8" s="63">
        <v>58.949416342412462</v>
      </c>
      <c r="F8" s="63">
        <v>146.88054219314716</v>
      </c>
      <c r="G8" s="63">
        <v>221.68401888400308</v>
      </c>
      <c r="H8" s="63">
        <v>214.39968089349821</v>
      </c>
      <c r="I8" s="6">
        <f t="shared" ref="I8:I26" si="4">SUM(E8:H8)</f>
        <v>641.91365831306098</v>
      </c>
      <c r="J8" s="13">
        <f t="shared" si="1"/>
        <v>7.3783179116443787</v>
      </c>
      <c r="K8" s="73" t="s">
        <v>203</v>
      </c>
      <c r="L8" s="2"/>
      <c r="M8" s="339">
        <f t="shared" ref="M8:Q16" si="5">$J8*M$6*$M$3</f>
        <v>159.37166689151857</v>
      </c>
      <c r="N8" s="339">
        <f t="shared" si="5"/>
        <v>274.47342631317088</v>
      </c>
      <c r="O8" s="339">
        <f t="shared" si="5"/>
        <v>274.47342631317088</v>
      </c>
      <c r="P8" s="339">
        <f t="shared" si="5"/>
        <v>247.91148183125111</v>
      </c>
      <c r="Q8" s="339">
        <f t="shared" si="5"/>
        <v>97.393796433705788</v>
      </c>
      <c r="R8" s="6">
        <f t="shared" si="0"/>
        <v>1053.6237977828171</v>
      </c>
      <c r="S8" s="73"/>
      <c r="T8" s="365"/>
      <c r="U8" s="365"/>
      <c r="V8" t="s">
        <v>328</v>
      </c>
      <c r="W8" s="73" t="s">
        <v>203</v>
      </c>
      <c r="X8" s="6"/>
      <c r="Y8" s="6">
        <f t="shared" si="2"/>
        <v>210.38246814265048</v>
      </c>
      <c r="Z8" s="6">
        <f t="shared" si="2"/>
        <v>201.96716941694447</v>
      </c>
      <c r="AA8" s="6"/>
      <c r="AB8" s="369">
        <f t="shared" si="3"/>
        <v>412.34963755959495</v>
      </c>
      <c r="AC8" s="358"/>
      <c r="AD8" s="365"/>
      <c r="AF8" s="73" t="s">
        <v>203</v>
      </c>
      <c r="AG8" s="6">
        <v>1009.8358470847223</v>
      </c>
      <c r="AH8" s="358"/>
      <c r="AJ8" s="73" t="s">
        <v>203</v>
      </c>
      <c r="AK8" s="369">
        <f>AO8</f>
        <v>641.91365831306098</v>
      </c>
      <c r="AL8" s="358"/>
      <c r="AN8" s="73" t="s">
        <v>203</v>
      </c>
      <c r="AO8" s="6">
        <v>641.91365831306098</v>
      </c>
      <c r="AP8" s="73"/>
      <c r="AY8" s="75" t="s">
        <v>738</v>
      </c>
      <c r="AZ8" s="287">
        <f>(13000)/(31*25)</f>
        <v>16.774193548387096</v>
      </c>
    </row>
    <row r="9" spans="2:52" ht="15" thickBot="1">
      <c r="B9" s="2" t="s">
        <v>328</v>
      </c>
      <c r="D9" s="73" t="s">
        <v>204</v>
      </c>
      <c r="E9" s="63">
        <v>109.14396887159533</v>
      </c>
      <c r="F9" s="63">
        <v>179.19159253334558</v>
      </c>
      <c r="G9" s="63">
        <v>109.64488476200349</v>
      </c>
      <c r="H9" s="63">
        <v>96.529716792979656</v>
      </c>
      <c r="I9" s="6">
        <f t="shared" si="4"/>
        <v>494.51016295992406</v>
      </c>
      <c r="J9" s="13">
        <f t="shared" si="1"/>
        <v>5.6840248616083224</v>
      </c>
      <c r="K9" s="73" t="s">
        <v>204</v>
      </c>
      <c r="L9" s="2"/>
      <c r="M9" s="339">
        <f t="shared" si="5"/>
        <v>122.77493701073976</v>
      </c>
      <c r="N9" s="339">
        <f t="shared" si="5"/>
        <v>211.4457248518296</v>
      </c>
      <c r="O9" s="339">
        <f t="shared" si="5"/>
        <v>211.4457248518296</v>
      </c>
      <c r="P9" s="339">
        <f t="shared" si="5"/>
        <v>190.98323535003962</v>
      </c>
      <c r="Q9" s="339">
        <f t="shared" si="5"/>
        <v>75.02912817322985</v>
      </c>
      <c r="R9" s="6">
        <f t="shared" si="0"/>
        <v>811.67875023766851</v>
      </c>
      <c r="S9" s="73"/>
      <c r="T9" s="365"/>
      <c r="U9" s="365"/>
      <c r="V9" t="s">
        <v>328</v>
      </c>
      <c r="W9" s="73" t="s">
        <v>204</v>
      </c>
      <c r="X9" s="6"/>
      <c r="Y9" s="6">
        <f t="shared" si="2"/>
        <v>156.40127395066199</v>
      </c>
      <c r="Z9" s="6">
        <f t="shared" si="2"/>
        <v>150.1452229926355</v>
      </c>
      <c r="AA9" s="6"/>
      <c r="AB9" s="369">
        <f t="shared" si="3"/>
        <v>306.54649694329748</v>
      </c>
      <c r="AC9" s="480">
        <f>SUM(AB7:AB11)/$AA$6</f>
        <v>24.330761314727912</v>
      </c>
      <c r="AD9" s="365"/>
      <c r="AF9" s="73" t="s">
        <v>204</v>
      </c>
      <c r="AG9" s="6">
        <v>750.72611496317757</v>
      </c>
      <c r="AH9" s="480">
        <f>SUM(AG7:AG11)/$AG$6</f>
        <v>24.330761314727916</v>
      </c>
      <c r="AJ9" s="73" t="s">
        <v>204</v>
      </c>
      <c r="AK9" s="369">
        <f>AO9+AO10</f>
        <v>504.47046659515399</v>
      </c>
      <c r="AL9" s="480">
        <f>SUM(AK7:AK11)/$AO$6</f>
        <v>21.553105609219532</v>
      </c>
      <c r="AN9" s="73" t="s">
        <v>204</v>
      </c>
      <c r="AO9" s="6">
        <v>494.51016295992406</v>
      </c>
      <c r="AP9" s="73"/>
      <c r="AY9" s="4" t="s">
        <v>275</v>
      </c>
      <c r="AZ9" s="287">
        <f>(13000)/(28*25)</f>
        <v>18.571428571428573</v>
      </c>
    </row>
    <row r="10" spans="2:52">
      <c r="B10" s="2" t="s">
        <v>328</v>
      </c>
      <c r="D10" s="73" t="s">
        <v>147</v>
      </c>
      <c r="E10" s="63">
        <v>0</v>
      </c>
      <c r="F10" s="63">
        <v>5.4474708171206228</v>
      </c>
      <c r="G10" s="63">
        <v>3.515625</v>
      </c>
      <c r="H10" s="63">
        <v>0.99720781810929393</v>
      </c>
      <c r="I10" s="6">
        <f t="shared" si="4"/>
        <v>9.9603036352299164</v>
      </c>
      <c r="J10" s="13">
        <f t="shared" si="1"/>
        <v>0.11448624868080363</v>
      </c>
      <c r="K10" s="73" t="s">
        <v>147</v>
      </c>
      <c r="L10" s="2"/>
      <c r="M10" s="339">
        <f t="shared" si="5"/>
        <v>2.4729029715053588</v>
      </c>
      <c r="N10" s="339">
        <f t="shared" si="5"/>
        <v>4.2588884509258946</v>
      </c>
      <c r="O10" s="339">
        <f t="shared" si="5"/>
        <v>4.2588884509258946</v>
      </c>
      <c r="P10" s="339">
        <f t="shared" si="5"/>
        <v>3.8467379556750023</v>
      </c>
      <c r="Q10" s="339">
        <f t="shared" si="5"/>
        <v>1.511218482586608</v>
      </c>
      <c r="R10" s="6">
        <f t="shared" si="0"/>
        <v>16.348636311618758</v>
      </c>
      <c r="S10" s="340">
        <f>SUM(R7:R13)/$R$6</f>
        <v>26.296572719919538</v>
      </c>
      <c r="T10" s="367"/>
      <c r="U10" s="367"/>
      <c r="V10" t="s">
        <v>328</v>
      </c>
      <c r="W10" s="73" t="s">
        <v>146</v>
      </c>
      <c r="X10" s="6"/>
      <c r="Y10" s="6">
        <f t="shared" si="2"/>
        <v>58.149800161483206</v>
      </c>
      <c r="Z10" s="6">
        <f t="shared" si="2"/>
        <v>55.823808155023883</v>
      </c>
      <c r="AA10" s="6"/>
      <c r="AB10" s="369">
        <f t="shared" si="3"/>
        <v>113.9736083165071</v>
      </c>
      <c r="AC10" s="73"/>
      <c r="AD10" s="367"/>
      <c r="AF10" s="73" t="s">
        <v>146</v>
      </c>
      <c r="AG10" s="6">
        <v>279.1190407751194</v>
      </c>
      <c r="AH10" s="73"/>
      <c r="AJ10" s="73" t="s">
        <v>146</v>
      </c>
      <c r="AK10" s="367"/>
      <c r="AL10" s="73"/>
      <c r="AN10" s="73" t="s">
        <v>147</v>
      </c>
      <c r="AO10" s="6">
        <v>9.9603036352299164</v>
      </c>
      <c r="AP10" s="340">
        <f>SUM(AO7:AO14)/$AO$6</f>
        <v>25.617915566331867</v>
      </c>
    </row>
    <row r="11" spans="2:52" ht="15" thickBot="1">
      <c r="B11" s="2" t="s">
        <v>328</v>
      </c>
      <c r="D11" s="73" t="s">
        <v>146</v>
      </c>
      <c r="E11" s="63">
        <v>23.54085603112841</v>
      </c>
      <c r="F11" s="63">
        <v>88.97618014451929</v>
      </c>
      <c r="G11" s="63">
        <v>75.300418859256581</v>
      </c>
      <c r="H11" s="63">
        <v>30.953330674112483</v>
      </c>
      <c r="I11" s="6">
        <f t="shared" si="4"/>
        <v>218.77078570901679</v>
      </c>
      <c r="J11" s="13">
        <f t="shared" si="1"/>
        <v>2.5146067322875494</v>
      </c>
      <c r="K11" s="73" t="s">
        <v>146</v>
      </c>
      <c r="L11" s="2"/>
      <c r="M11" s="339">
        <f t="shared" si="5"/>
        <v>54.315505417411067</v>
      </c>
      <c r="N11" s="339">
        <f t="shared" si="5"/>
        <v>93.54337044109684</v>
      </c>
      <c r="O11" s="339">
        <f t="shared" si="5"/>
        <v>93.54337044109684</v>
      </c>
      <c r="P11" s="339">
        <f t="shared" si="5"/>
        <v>84.490786204861649</v>
      </c>
      <c r="Q11" s="339">
        <f t="shared" si="5"/>
        <v>33.192808866195648</v>
      </c>
      <c r="R11" s="6">
        <f t="shared" si="0"/>
        <v>359.08584137066208</v>
      </c>
      <c r="S11" s="73"/>
      <c r="T11" s="365"/>
      <c r="U11" s="365"/>
      <c r="V11" t="s">
        <v>328</v>
      </c>
      <c r="W11" s="73" t="s">
        <v>630</v>
      </c>
      <c r="X11" s="6"/>
      <c r="Y11" s="6">
        <f t="shared" si="2"/>
        <v>67.800506538501082</v>
      </c>
      <c r="Z11" s="6">
        <f t="shared" si="2"/>
        <v>65.088486276961049</v>
      </c>
      <c r="AA11" s="6"/>
      <c r="AB11" s="369">
        <f t="shared" si="3"/>
        <v>132.88899281546213</v>
      </c>
      <c r="AC11" s="74"/>
      <c r="AD11" s="365"/>
      <c r="AF11" s="73" t="s">
        <v>630</v>
      </c>
      <c r="AG11" s="6">
        <v>325.44243138480522</v>
      </c>
      <c r="AH11" s="74"/>
      <c r="AJ11" s="73" t="s">
        <v>630</v>
      </c>
      <c r="AK11" s="369">
        <f>AO11+AO12</f>
        <v>379.90436904925741</v>
      </c>
      <c r="AL11" s="74"/>
      <c r="AN11" s="73" t="s">
        <v>146</v>
      </c>
      <c r="AO11" s="6">
        <v>218.77078570901679</v>
      </c>
      <c r="AP11" s="73"/>
    </row>
    <row r="12" spans="2:52">
      <c r="B12" s="2" t="s">
        <v>328</v>
      </c>
      <c r="D12" s="73" t="s">
        <v>148</v>
      </c>
      <c r="E12" s="63">
        <v>8.3657587548638119</v>
      </c>
      <c r="F12" s="63">
        <v>57.219695504168165</v>
      </c>
      <c r="G12" s="63">
        <v>74.606764900913475</v>
      </c>
      <c r="H12" s="63">
        <v>20.941364180295174</v>
      </c>
      <c r="I12" s="6">
        <f t="shared" si="4"/>
        <v>161.13358334024065</v>
      </c>
      <c r="J12" s="13">
        <f t="shared" si="1"/>
        <v>1.8521101533360993</v>
      </c>
      <c r="K12" s="73" t="s">
        <v>148</v>
      </c>
      <c r="L12" s="2"/>
      <c r="M12" s="339">
        <f t="shared" si="5"/>
        <v>40.005579312059744</v>
      </c>
      <c r="N12" s="339">
        <f t="shared" si="5"/>
        <v>68.898497704102894</v>
      </c>
      <c r="O12" s="339">
        <f t="shared" si="5"/>
        <v>68.898497704102894</v>
      </c>
      <c r="P12" s="339">
        <f t="shared" si="5"/>
        <v>62.230901152092933</v>
      </c>
      <c r="Q12" s="339">
        <f t="shared" si="5"/>
        <v>24.447854024036513</v>
      </c>
      <c r="R12" s="6">
        <f t="shared" si="0"/>
        <v>264.48132989639498</v>
      </c>
      <c r="S12" s="73"/>
      <c r="T12" s="365"/>
      <c r="U12" s="365"/>
      <c r="V12" t="s">
        <v>559</v>
      </c>
      <c r="W12" s="72" t="s">
        <v>149</v>
      </c>
      <c r="X12" s="6"/>
      <c r="Y12" s="6">
        <f t="shared" si="2"/>
        <v>49.175142253638924</v>
      </c>
      <c r="Z12" s="6">
        <f t="shared" si="2"/>
        <v>47.208136563493362</v>
      </c>
      <c r="AA12" s="6"/>
      <c r="AB12" s="369">
        <f t="shared" si="3"/>
        <v>96.383278817132293</v>
      </c>
      <c r="AC12" s="72"/>
      <c r="AD12" s="365"/>
      <c r="AF12" s="72" t="s">
        <v>149</v>
      </c>
      <c r="AG12" s="6">
        <v>236.04068281746683</v>
      </c>
      <c r="AH12" s="72"/>
      <c r="AJ12" s="72" t="s">
        <v>149</v>
      </c>
      <c r="AK12" s="369">
        <f>AO16</f>
        <v>115.49198684880162</v>
      </c>
      <c r="AL12" s="72"/>
      <c r="AN12" s="73" t="s">
        <v>148</v>
      </c>
      <c r="AO12" s="6">
        <v>161.13358334024065</v>
      </c>
      <c r="AP12" s="73"/>
    </row>
    <row r="13" spans="2:52" ht="15" thickBot="1">
      <c r="B13" s="2" t="s">
        <v>328</v>
      </c>
      <c r="D13" s="74" t="s">
        <v>153</v>
      </c>
      <c r="E13" s="63">
        <v>1.945525291828794</v>
      </c>
      <c r="F13" s="63">
        <v>7.1433669068319912</v>
      </c>
      <c r="G13" s="63">
        <v>18.104169157347545</v>
      </c>
      <c r="H13" s="63">
        <v>4.188272836059034</v>
      </c>
      <c r="I13" s="6">
        <f t="shared" si="4"/>
        <v>31.381334192067364</v>
      </c>
      <c r="J13" s="13">
        <f t="shared" si="1"/>
        <v>0.36070499071341799</v>
      </c>
      <c r="K13" s="74" t="s">
        <v>153</v>
      </c>
      <c r="L13" s="2"/>
      <c r="M13" s="339">
        <f t="shared" si="5"/>
        <v>7.7912277994098282</v>
      </c>
      <c r="N13" s="339">
        <f t="shared" si="5"/>
        <v>13.41822565453915</v>
      </c>
      <c r="O13" s="339">
        <f t="shared" si="5"/>
        <v>13.41822565453915</v>
      </c>
      <c r="P13" s="339">
        <f t="shared" si="5"/>
        <v>12.119687687970844</v>
      </c>
      <c r="Q13" s="339">
        <f t="shared" si="5"/>
        <v>4.7613058774171169</v>
      </c>
      <c r="R13" s="6">
        <f t="shared" si="0"/>
        <v>51.508672673876085</v>
      </c>
      <c r="S13" s="74"/>
      <c r="T13" s="365"/>
      <c r="U13" s="365"/>
      <c r="V13" t="s">
        <v>559</v>
      </c>
      <c r="W13" s="73" t="s">
        <v>632</v>
      </c>
      <c r="X13" s="6"/>
      <c r="Y13" s="6">
        <f t="shared" si="2"/>
        <v>56.98039921724456</v>
      </c>
      <c r="Z13" s="6">
        <f t="shared" si="2"/>
        <v>54.701183248554777</v>
      </c>
      <c r="AA13" s="6"/>
      <c r="AB13" s="369">
        <f t="shared" si="3"/>
        <v>111.68158246579934</v>
      </c>
      <c r="AC13" s="480">
        <f>SUM(AB12:AB14)/$AA$6</f>
        <v>20.712888325502007</v>
      </c>
      <c r="AD13" s="365"/>
      <c r="AF13" s="73" t="s">
        <v>632</v>
      </c>
      <c r="AG13" s="6">
        <v>273.50591624277388</v>
      </c>
      <c r="AH13" s="480">
        <f>SUM(AG12:AG14)/$AG$6</f>
        <v>22.305745174359924</v>
      </c>
      <c r="AJ13" s="73" t="s">
        <v>632</v>
      </c>
      <c r="AK13" s="369">
        <f>AO13+AO14</f>
        <v>353.63846626877307</v>
      </c>
      <c r="AL13" s="480">
        <f>SUM(AK12:AK14)/$AO$6</f>
        <v>19.465719793868274</v>
      </c>
      <c r="AN13" s="74" t="s">
        <v>153</v>
      </c>
      <c r="AO13" s="6">
        <v>31.381334192067364</v>
      </c>
      <c r="AP13" s="74"/>
    </row>
    <row r="14" spans="2:52" ht="15" thickBot="1">
      <c r="B14" s="2" t="s">
        <v>559</v>
      </c>
      <c r="D14" s="72" t="s">
        <v>560</v>
      </c>
      <c r="E14" s="63">
        <v>21.40077821011673</v>
      </c>
      <c r="F14" s="63">
        <v>32.711269214777303</v>
      </c>
      <c r="G14" s="63">
        <v>171.17659641886397</v>
      </c>
      <c r="H14" s="63">
        <v>96.968488232947749</v>
      </c>
      <c r="I14" s="6">
        <f t="shared" si="4"/>
        <v>322.25713207670572</v>
      </c>
      <c r="J14" s="13">
        <f t="shared" si="1"/>
        <v>3.7041049663989161</v>
      </c>
      <c r="K14" s="72" t="s">
        <v>560</v>
      </c>
      <c r="L14" s="2"/>
      <c r="M14" s="339">
        <f t="shared" si="5"/>
        <v>80.008667274216592</v>
      </c>
      <c r="N14" s="339">
        <f t="shared" si="5"/>
        <v>137.79270475003966</v>
      </c>
      <c r="O14" s="339">
        <f t="shared" si="5"/>
        <v>137.79270475003966</v>
      </c>
      <c r="P14" s="339">
        <f t="shared" si="5"/>
        <v>124.45792687100358</v>
      </c>
      <c r="Q14" s="339">
        <f t="shared" si="5"/>
        <v>48.894185556465693</v>
      </c>
      <c r="R14" s="6">
        <f t="shared" si="0"/>
        <v>528.94618920176515</v>
      </c>
      <c r="S14" s="72"/>
      <c r="T14" s="365"/>
      <c r="U14" s="365"/>
      <c r="V14" t="s">
        <v>559</v>
      </c>
      <c r="W14" s="74" t="s">
        <v>629</v>
      </c>
      <c r="X14" s="6"/>
      <c r="Y14" s="484">
        <f>+$Y3*Y6/30</f>
        <v>411.66666666666669</v>
      </c>
      <c r="Z14" s="484">
        <f>+$Y3*Z6/30</f>
        <v>395.2</v>
      </c>
      <c r="AA14" s="6"/>
      <c r="AB14" s="369">
        <f t="shared" si="3"/>
        <v>806.86666666666667</v>
      </c>
      <c r="AC14" s="74"/>
      <c r="AD14" s="365"/>
      <c r="AF14" s="74" t="s">
        <v>629</v>
      </c>
      <c r="AG14" s="6">
        <v>2167.1428218629503</v>
      </c>
      <c r="AH14" s="74"/>
      <c r="AJ14" s="74" t="s">
        <v>629</v>
      </c>
      <c r="AK14" s="369">
        <f>AO15</f>
        <v>1224.3871689489652</v>
      </c>
      <c r="AL14" s="74"/>
      <c r="AN14" s="72" t="s">
        <v>560</v>
      </c>
      <c r="AO14" s="6">
        <v>322.25713207670572</v>
      </c>
      <c r="AP14" s="72"/>
    </row>
    <row r="15" spans="2:52">
      <c r="B15" s="2" t="s">
        <v>559</v>
      </c>
      <c r="D15" s="73" t="s">
        <v>233</v>
      </c>
      <c r="E15" s="63">
        <v>272.37354085603124</v>
      </c>
      <c r="F15" s="63">
        <v>397.00454266192543</v>
      </c>
      <c r="G15" s="63">
        <v>382.13313808358129</v>
      </c>
      <c r="H15" s="63">
        <v>172.8759473474272</v>
      </c>
      <c r="I15" s="6">
        <f t="shared" si="4"/>
        <v>1224.3871689489652</v>
      </c>
      <c r="J15" s="13">
        <f t="shared" si="1"/>
        <v>14.073415735045577</v>
      </c>
      <c r="K15" s="73" t="s">
        <v>233</v>
      </c>
      <c r="L15" s="2"/>
      <c r="M15" s="341">
        <f>8*50+$AZ$4*M6</f>
        <v>799.59999999999991</v>
      </c>
      <c r="N15" s="341">
        <f>N$6*$AZ$4</f>
        <v>688.19999999999993</v>
      </c>
      <c r="O15" s="341">
        <f>O$6*$AZ$4</f>
        <v>688.19999999999993</v>
      </c>
      <c r="P15" s="341">
        <f>P$6*$AZ$9</f>
        <v>520</v>
      </c>
      <c r="Q15" s="341">
        <f>Q$6*$AZ$8</f>
        <v>184.51612903225805</v>
      </c>
      <c r="R15" s="6">
        <f t="shared" si="0"/>
        <v>2880.5161290322576</v>
      </c>
      <c r="S15" s="340">
        <f>SUM(R14:R16)/$R$6</f>
        <v>30.243936772758509</v>
      </c>
      <c r="T15" s="367"/>
      <c r="U15" s="367"/>
      <c r="V15" t="s">
        <v>23</v>
      </c>
      <c r="W15" s="72" t="s">
        <v>23</v>
      </c>
      <c r="X15" s="6"/>
      <c r="Y15" s="6">
        <f t="shared" ref="Y15:Z18" si="6">+$AG15*Y$6/$AG$6</f>
        <v>27.160124177497551</v>
      </c>
      <c r="Z15" s="6">
        <f t="shared" si="6"/>
        <v>26.073719210397652</v>
      </c>
      <c r="AA15" s="6"/>
      <c r="AB15" s="369">
        <f t="shared" si="3"/>
        <v>53.233843387895206</v>
      </c>
      <c r="AC15" s="72"/>
      <c r="AD15" s="367"/>
      <c r="AF15" s="72" t="s">
        <v>23</v>
      </c>
      <c r="AG15" s="6">
        <v>130.36859605198825</v>
      </c>
      <c r="AH15" s="72"/>
      <c r="AJ15" s="72" t="s">
        <v>23</v>
      </c>
      <c r="AK15" s="367">
        <f t="shared" ref="AK15:AK24" si="7">AO17</f>
        <v>110.89494163424125</v>
      </c>
      <c r="AL15" s="72"/>
      <c r="AN15" s="73" t="s">
        <v>233</v>
      </c>
      <c r="AO15" s="6">
        <v>1224.3871689489652</v>
      </c>
      <c r="AP15" s="340">
        <f>SUM(AO14:AO16)/$AO$6</f>
        <v>19.105014803154855</v>
      </c>
    </row>
    <row r="16" spans="2:52" ht="15" thickBot="1">
      <c r="B16" s="2" t="s">
        <v>559</v>
      </c>
      <c r="D16" s="74" t="s">
        <v>149</v>
      </c>
      <c r="E16" s="63">
        <v>29.766536964980546</v>
      </c>
      <c r="F16" s="63">
        <v>32.855795307157173</v>
      </c>
      <c r="G16" s="63">
        <v>26.343926614956683</v>
      </c>
      <c r="H16" s="63">
        <v>26.525727961707219</v>
      </c>
      <c r="I16" s="6">
        <f t="shared" si="4"/>
        <v>115.49198684880162</v>
      </c>
      <c r="J16" s="13">
        <f t="shared" si="1"/>
        <v>1.3274941017103634</v>
      </c>
      <c r="K16" s="74" t="s">
        <v>149</v>
      </c>
      <c r="L16" s="2"/>
      <c r="M16" s="339">
        <f t="shared" si="5"/>
        <v>28.673872596943852</v>
      </c>
      <c r="N16" s="339">
        <f>$J16*N$6*$M$3</f>
        <v>49.382780583625518</v>
      </c>
      <c r="O16" s="339">
        <f>$J16*O$6*$M$3</f>
        <v>49.382780583625518</v>
      </c>
      <c r="P16" s="339">
        <f>$J16*P$6*$M$3</f>
        <v>44.603801817468202</v>
      </c>
      <c r="Q16" s="339">
        <f>$J16*Q$6*$M$3</f>
        <v>17.522922142576796</v>
      </c>
      <c r="R16" s="6">
        <f t="shared" si="0"/>
        <v>189.56615772423987</v>
      </c>
      <c r="S16" s="74"/>
      <c r="T16" s="365"/>
      <c r="U16" s="365"/>
      <c r="V16" t="s">
        <v>23</v>
      </c>
      <c r="W16" s="73" t="s">
        <v>151</v>
      </c>
      <c r="X16" s="6"/>
      <c r="Y16" s="6">
        <f t="shared" si="6"/>
        <v>73.857961895556898</v>
      </c>
      <c r="Z16" s="6">
        <f t="shared" si="6"/>
        <v>70.903643419734621</v>
      </c>
      <c r="AA16" s="6"/>
      <c r="AB16" s="369">
        <f t="shared" si="3"/>
        <v>144.76160531529152</v>
      </c>
      <c r="AC16" s="480">
        <f>SUM(AB15:AB17)/$AA$6</f>
        <v>8.247720552475025</v>
      </c>
      <c r="AD16" s="365"/>
      <c r="AF16" s="73" t="s">
        <v>151</v>
      </c>
      <c r="AG16" s="6">
        <v>354.51821709867312</v>
      </c>
      <c r="AH16" s="480">
        <f>SUM(AG15:AG17)/$AG$6</f>
        <v>8.247720552475025</v>
      </c>
      <c r="AJ16" s="73" t="s">
        <v>151</v>
      </c>
      <c r="AK16" s="369">
        <f t="shared" si="7"/>
        <v>31.568417768768846</v>
      </c>
      <c r="AL16" s="480">
        <f>SUM(AK15:AK17)/$AO$6</f>
        <v>7.4438548929583339</v>
      </c>
      <c r="AN16" s="74" t="s">
        <v>149</v>
      </c>
      <c r="AO16" s="6">
        <v>115.49198684880162</v>
      </c>
      <c r="AP16" s="74"/>
    </row>
    <row r="17" spans="2:42" ht="15" thickBot="1">
      <c r="B17" s="2" t="s">
        <v>23</v>
      </c>
      <c r="D17" s="72" t="s">
        <v>23</v>
      </c>
      <c r="E17" s="63">
        <v>48.638132295719849</v>
      </c>
      <c r="F17" s="63">
        <v>62.2568093385214</v>
      </c>
      <c r="G17" s="63">
        <v>0</v>
      </c>
      <c r="H17" s="63">
        <v>0</v>
      </c>
      <c r="I17" s="6">
        <f t="shared" si="4"/>
        <v>110.89494163424125</v>
      </c>
      <c r="J17" s="13">
        <f t="shared" si="1"/>
        <v>1.2746545015430029</v>
      </c>
      <c r="K17" s="72" t="s">
        <v>23</v>
      </c>
      <c r="L17" s="2"/>
      <c r="M17" s="6">
        <v>65</v>
      </c>
      <c r="N17" s="6">
        <v>65</v>
      </c>
      <c r="O17" s="6">
        <v>65</v>
      </c>
      <c r="P17" s="6"/>
      <c r="Q17" s="6"/>
      <c r="R17" s="6">
        <f t="shared" si="0"/>
        <v>195</v>
      </c>
      <c r="S17" s="72"/>
      <c r="T17" s="365"/>
      <c r="U17" s="365"/>
      <c r="V17" t="s">
        <v>23</v>
      </c>
      <c r="W17" s="74" t="s">
        <v>8</v>
      </c>
      <c r="X17" s="6"/>
      <c r="Y17" s="6">
        <f t="shared" si="6"/>
        <v>105.17492773882118</v>
      </c>
      <c r="Z17" s="6">
        <f t="shared" si="6"/>
        <v>100.96793062926832</v>
      </c>
      <c r="AA17" s="6"/>
      <c r="AB17" s="369">
        <f t="shared" si="3"/>
        <v>206.14285836808949</v>
      </c>
      <c r="AC17" s="74"/>
      <c r="AD17" s="365"/>
      <c r="AF17" s="74" t="s">
        <v>8</v>
      </c>
      <c r="AG17" s="6">
        <v>504.83965314634167</v>
      </c>
      <c r="AH17" s="74"/>
      <c r="AJ17" s="74" t="s">
        <v>8</v>
      </c>
      <c r="AK17" s="369">
        <f t="shared" si="7"/>
        <v>505.15201628436495</v>
      </c>
      <c r="AL17" s="74"/>
      <c r="AN17" s="72" t="s">
        <v>23</v>
      </c>
      <c r="AO17" s="6">
        <v>110.89494163424125</v>
      </c>
      <c r="AP17" s="72"/>
    </row>
    <row r="18" spans="2:42">
      <c r="B18" s="2" t="s">
        <v>23</v>
      </c>
      <c r="D18" s="73" t="s">
        <v>151</v>
      </c>
      <c r="E18" s="63">
        <v>0</v>
      </c>
      <c r="F18" s="63">
        <v>13.618677042801556</v>
      </c>
      <c r="G18" s="63">
        <v>0</v>
      </c>
      <c r="H18" s="63">
        <v>17.949740725967288</v>
      </c>
      <c r="I18" s="6">
        <f t="shared" si="4"/>
        <v>31.568417768768846</v>
      </c>
      <c r="J18" s="13">
        <f t="shared" si="1"/>
        <v>0.36285537665251549</v>
      </c>
      <c r="K18" s="73" t="s">
        <v>151</v>
      </c>
      <c r="L18" s="2"/>
      <c r="M18" s="6">
        <v>15</v>
      </c>
      <c r="N18" s="6">
        <v>30</v>
      </c>
      <c r="O18" s="6">
        <v>30</v>
      </c>
      <c r="P18" s="6">
        <v>10</v>
      </c>
      <c r="Q18" s="6">
        <v>10</v>
      </c>
      <c r="R18" s="6">
        <f t="shared" si="0"/>
        <v>95</v>
      </c>
      <c r="S18" s="340">
        <f>SUM(R17:R19)/$R$6</f>
        <v>9.2857142857142865</v>
      </c>
      <c r="T18" s="367"/>
      <c r="U18" s="367"/>
      <c r="V18" t="s">
        <v>25</v>
      </c>
      <c r="W18" s="72" t="s">
        <v>150</v>
      </c>
      <c r="X18" s="6">
        <v>50</v>
      </c>
      <c r="Y18" s="6">
        <f t="shared" si="6"/>
        <v>79.702540435060925</v>
      </c>
      <c r="Z18" s="6">
        <f t="shared" si="6"/>
        <v>76.514438817658487</v>
      </c>
      <c r="AA18" s="6">
        <v>50</v>
      </c>
      <c r="AB18" s="369">
        <f t="shared" si="3"/>
        <v>256.2169792527194</v>
      </c>
      <c r="AC18" s="72"/>
      <c r="AD18" s="367"/>
      <c r="AF18" s="72" t="s">
        <v>150</v>
      </c>
      <c r="AG18" s="6">
        <v>382.57219408829246</v>
      </c>
      <c r="AH18" s="72"/>
      <c r="AJ18" s="72" t="s">
        <v>150</v>
      </c>
      <c r="AK18" s="367">
        <f t="shared" si="7"/>
        <v>353.20276683766321</v>
      </c>
      <c r="AL18" s="72"/>
      <c r="AN18" s="73" t="s">
        <v>151</v>
      </c>
      <c r="AO18" s="6">
        <v>31.568417768768846</v>
      </c>
      <c r="AP18" s="340">
        <f>SUM(AO17:AO19)/$AO$6</f>
        <v>7.4438548929583339</v>
      </c>
    </row>
    <row r="19" spans="2:42" ht="15" thickBot="1">
      <c r="B19" s="2" t="s">
        <v>23</v>
      </c>
      <c r="D19" s="74" t="s">
        <v>8</v>
      </c>
      <c r="E19" s="63">
        <v>0</v>
      </c>
      <c r="F19" s="63">
        <v>333.75785992217908</v>
      </c>
      <c r="G19" s="63">
        <v>151.44999999999999</v>
      </c>
      <c r="H19" s="63">
        <v>19.944156362185879</v>
      </c>
      <c r="I19" s="6">
        <f t="shared" si="4"/>
        <v>505.15201628436495</v>
      </c>
      <c r="J19" s="13">
        <f t="shared" si="1"/>
        <v>5.8063450147628153</v>
      </c>
      <c r="K19" s="74" t="s">
        <v>8</v>
      </c>
      <c r="L19" s="2"/>
      <c r="M19" s="6">
        <f>45*2</f>
        <v>90</v>
      </c>
      <c r="N19" s="6">
        <f>45*5</f>
        <v>225</v>
      </c>
      <c r="O19" s="6">
        <v>300</v>
      </c>
      <c r="P19" s="6">
        <v>200</v>
      </c>
      <c r="Q19" s="6"/>
      <c r="R19" s="6">
        <f t="shared" si="0"/>
        <v>815</v>
      </c>
      <c r="S19" s="74"/>
      <c r="T19" s="365"/>
      <c r="U19" s="365"/>
      <c r="V19" t="s">
        <v>25</v>
      </c>
      <c r="W19" s="74" t="s">
        <v>144</v>
      </c>
      <c r="X19" s="6">
        <v>1250</v>
      </c>
      <c r="Y19" s="6"/>
      <c r="Z19" s="6"/>
      <c r="AA19" s="6"/>
      <c r="AB19" s="369">
        <f t="shared" si="3"/>
        <v>1250</v>
      </c>
      <c r="AC19" s="481">
        <f>SUM(AB17:AB19)/$AA$6</f>
        <v>34.946119135118543</v>
      </c>
      <c r="AD19" s="365"/>
      <c r="AF19" s="74" t="s">
        <v>144</v>
      </c>
      <c r="AG19" s="6">
        <v>2900.4904518512049</v>
      </c>
      <c r="AH19" s="481">
        <f>SUM(AG17:AG19)/$AG$6</f>
        <v>31.565852492381989</v>
      </c>
      <c r="AJ19" s="74" t="s">
        <v>144</v>
      </c>
      <c r="AK19" s="369">
        <f t="shared" si="7"/>
        <v>2252.0523826001572</v>
      </c>
      <c r="AL19" s="481">
        <f>SUM(AK17:AK19)/$AO$6</f>
        <v>35.751806502553855</v>
      </c>
      <c r="AN19" s="74" t="s">
        <v>8</v>
      </c>
      <c r="AO19" s="6">
        <v>505.15201628436495</v>
      </c>
      <c r="AP19" s="74"/>
    </row>
    <row r="20" spans="2:42">
      <c r="B20" s="2" t="s">
        <v>25</v>
      </c>
      <c r="D20" s="72" t="s">
        <v>150</v>
      </c>
      <c r="E20" s="63">
        <v>82.801556420233467</v>
      </c>
      <c r="F20" s="63">
        <v>171.6684824902724</v>
      </c>
      <c r="G20" s="63">
        <v>50.866752657911192</v>
      </c>
      <c r="H20" s="63">
        <v>47.865975269246107</v>
      </c>
      <c r="I20" s="6">
        <f t="shared" si="4"/>
        <v>353.20276683766321</v>
      </c>
      <c r="J20" s="13">
        <f t="shared" si="1"/>
        <v>4.0598019176742897</v>
      </c>
      <c r="K20" s="72" t="s">
        <v>150</v>
      </c>
      <c r="L20" s="28">
        <v>50</v>
      </c>
      <c r="M20" s="28"/>
      <c r="N20" s="6">
        <v>30</v>
      </c>
      <c r="O20" s="6">
        <v>30</v>
      </c>
      <c r="P20" s="6">
        <v>50</v>
      </c>
      <c r="Q20" s="6">
        <v>50</v>
      </c>
      <c r="R20" s="6">
        <f t="shared" si="0"/>
        <v>160</v>
      </c>
      <c r="S20" s="354">
        <f>SUM(R20:R21)/$R$6</f>
        <v>8.1512605042016801</v>
      </c>
      <c r="T20" s="367"/>
      <c r="U20" s="367"/>
      <c r="V20" t="s">
        <v>24</v>
      </c>
      <c r="W20" s="72" t="s">
        <v>145</v>
      </c>
      <c r="X20" s="6"/>
      <c r="Y20" s="6">
        <f>+$AG20*Y$6/$AG$6</f>
        <v>2.5426509186351702</v>
      </c>
      <c r="Z20" s="6">
        <f>+$AG20*Z$6/$AG$6</f>
        <v>2.4409448818897639</v>
      </c>
      <c r="AA20" s="6"/>
      <c r="AB20" s="369">
        <f t="shared" si="3"/>
        <v>4.9835958005249346</v>
      </c>
      <c r="AC20" s="72"/>
      <c r="AD20" s="367"/>
      <c r="AF20" s="72" t="s">
        <v>145</v>
      </c>
      <c r="AG20" s="6">
        <v>12.204724409448819</v>
      </c>
      <c r="AH20" s="72"/>
      <c r="AJ20" s="72" t="s">
        <v>145</v>
      </c>
      <c r="AK20" s="369">
        <f t="shared" si="7"/>
        <v>206.81508485188942</v>
      </c>
      <c r="AL20" s="72"/>
      <c r="AN20" s="72" t="s">
        <v>150</v>
      </c>
      <c r="AO20" s="6">
        <v>353.20276683766321</v>
      </c>
      <c r="AP20" s="430">
        <f>2605/AO6</f>
        <v>29.942528735632184</v>
      </c>
    </row>
    <row r="21" spans="2:42" ht="15" thickBot="1">
      <c r="B21" s="2" t="s">
        <v>25</v>
      </c>
      <c r="D21" s="74" t="s">
        <v>144</v>
      </c>
      <c r="E21" s="63">
        <v>1014.55</v>
      </c>
      <c r="F21" s="63">
        <v>851.43696498054476</v>
      </c>
      <c r="G21" s="63">
        <v>306.28879217086933</v>
      </c>
      <c r="H21" s="63">
        <v>79.776625448743516</v>
      </c>
      <c r="I21" s="6">
        <f t="shared" si="4"/>
        <v>2252.0523826001572</v>
      </c>
      <c r="J21" s="13">
        <f t="shared" si="1"/>
        <v>25.885659570116751</v>
      </c>
      <c r="K21" s="74" t="s">
        <v>144</v>
      </c>
      <c r="L21" s="28">
        <f>1650</f>
        <v>1650</v>
      </c>
      <c r="M21" s="28"/>
      <c r="N21" s="6">
        <v>260</v>
      </c>
      <c r="O21" s="6">
        <v>300</v>
      </c>
      <c r="P21" s="6">
        <v>250</v>
      </c>
      <c r="Q21" s="6"/>
      <c r="R21" s="6">
        <f t="shared" si="0"/>
        <v>810</v>
      </c>
      <c r="S21" s="74"/>
      <c r="T21" s="365"/>
      <c r="U21" s="365"/>
      <c r="V21" t="s">
        <v>24</v>
      </c>
      <c r="W21" s="73" t="s">
        <v>206</v>
      </c>
      <c r="X21" s="6"/>
      <c r="Y21" s="6">
        <f>+$AG21*Y$6/$AG$6</f>
        <v>39.808237011541983</v>
      </c>
      <c r="Z21" s="6">
        <f>+$AG21*Z$6/$AG$6</f>
        <v>38.215907531080305</v>
      </c>
      <c r="AA21" s="6"/>
      <c r="AB21" s="369">
        <f t="shared" si="3"/>
        <v>78.024144542622281</v>
      </c>
      <c r="AC21" s="480">
        <f>SUM(AB20:AB22)/$AA$6</f>
        <v>7.8164844967989238</v>
      </c>
      <c r="AD21" s="365"/>
      <c r="AF21" s="73" t="s">
        <v>206</v>
      </c>
      <c r="AG21" s="6">
        <v>191.07953765540151</v>
      </c>
      <c r="AH21" s="480">
        <f>SUM(AG20:AG22)/$AG$6</f>
        <v>12.933448325515844</v>
      </c>
      <c r="AJ21" s="73" t="s">
        <v>206</v>
      </c>
      <c r="AK21" s="369">
        <f t="shared" si="7"/>
        <v>151.90835521066077</v>
      </c>
      <c r="AL21" s="480">
        <f>SUM(AK20:AK22)/$AO$6</f>
        <v>10.291215505103283</v>
      </c>
      <c r="AN21" s="74" t="s">
        <v>144</v>
      </c>
      <c r="AO21" s="6">
        <v>2252.0523826001572</v>
      </c>
      <c r="AP21" s="74"/>
    </row>
    <row r="22" spans="2:42" ht="15" thickBot="1">
      <c r="B22" s="2" t="s">
        <v>24</v>
      </c>
      <c r="D22" s="72" t="s">
        <v>145</v>
      </c>
      <c r="E22" s="63">
        <v>95.330739299610912</v>
      </c>
      <c r="F22" s="63">
        <v>0</v>
      </c>
      <c r="G22" s="63">
        <v>26.921122576610379</v>
      </c>
      <c r="H22" s="63">
        <v>84.563222975668126</v>
      </c>
      <c r="I22" s="6">
        <f t="shared" si="4"/>
        <v>206.81508485188942</v>
      </c>
      <c r="J22" s="13">
        <f t="shared" si="1"/>
        <v>2.3771848833550506</v>
      </c>
      <c r="K22" s="72" t="s">
        <v>145</v>
      </c>
      <c r="L22" s="2"/>
      <c r="M22" s="339">
        <f>$J22*M$6*$M$3</f>
        <v>51.347193480469087</v>
      </c>
      <c r="N22" s="339">
        <f>$J22*N$6*$M$3</f>
        <v>88.431277660807879</v>
      </c>
      <c r="O22" s="339">
        <f>$J22*O$6*$M$3</f>
        <v>88.431277660807879</v>
      </c>
      <c r="P22" s="339">
        <f>$J22*P$6*$M$3</f>
        <v>79.873412080729707</v>
      </c>
      <c r="Q22" s="339">
        <f>$J22*Q$6*$M$3</f>
        <v>31.378840460286668</v>
      </c>
      <c r="R22" s="6">
        <f t="shared" si="0"/>
        <v>339.46200134310124</v>
      </c>
      <c r="S22" s="72"/>
      <c r="T22" s="365"/>
      <c r="U22" s="365"/>
      <c r="V22" t="s">
        <v>24</v>
      </c>
      <c r="W22" s="74" t="s">
        <v>136</v>
      </c>
      <c r="X22" s="6">
        <v>300</v>
      </c>
      <c r="Y22" s="6"/>
      <c r="Z22" s="6"/>
      <c r="AA22" s="6"/>
      <c r="AB22" s="369">
        <f t="shared" si="3"/>
        <v>300</v>
      </c>
      <c r="AC22" s="74"/>
      <c r="AD22" s="365"/>
      <c r="AF22" s="74" t="s">
        <v>136</v>
      </c>
      <c r="AG22" s="6">
        <v>1348.7295369970509</v>
      </c>
      <c r="AH22" s="74"/>
      <c r="AJ22" s="74" t="s">
        <v>136</v>
      </c>
      <c r="AK22" s="369">
        <f t="shared" si="7"/>
        <v>536.61230888143541</v>
      </c>
      <c r="AL22" s="74"/>
      <c r="AN22" s="72" t="s">
        <v>145</v>
      </c>
      <c r="AO22" s="6">
        <v>206.81508485188942</v>
      </c>
      <c r="AP22" s="72"/>
    </row>
    <row r="23" spans="2:42" ht="15" thickBot="1">
      <c r="B23" s="2" t="s">
        <v>24</v>
      </c>
      <c r="D23" s="73" t="s">
        <v>206</v>
      </c>
      <c r="E23" s="63">
        <v>13.618677042801556</v>
      </c>
      <c r="F23" s="63">
        <v>0</v>
      </c>
      <c r="G23" s="63">
        <v>51.732039555972491</v>
      </c>
      <c r="H23" s="63">
        <v>86.557638611886716</v>
      </c>
      <c r="I23" s="6">
        <f t="shared" si="4"/>
        <v>151.90835521066077</v>
      </c>
      <c r="J23" s="13">
        <f t="shared" si="1"/>
        <v>1.7460730483983997</v>
      </c>
      <c r="K23" s="73" t="s">
        <v>206</v>
      </c>
      <c r="L23" s="2"/>
      <c r="M23" s="339">
        <f>$J23*M$6*$O$3</f>
        <v>26.714917640495514</v>
      </c>
      <c r="N23" s="339">
        <f>$J23*N$6*$O$3</f>
        <v>46.009024825297828</v>
      </c>
      <c r="O23" s="339">
        <f>$J23*O$6*$O$3</f>
        <v>46.009024825297828</v>
      </c>
      <c r="P23" s="339">
        <f>$J23*P$6*$O$3</f>
        <v>41.556538551881914</v>
      </c>
      <c r="Q23" s="339">
        <f>$J23*Q$6*$O$3</f>
        <v>16.325783002525039</v>
      </c>
      <c r="R23" s="6">
        <f t="shared" si="0"/>
        <v>176.61528884549813</v>
      </c>
      <c r="S23" s="340">
        <f>SUM(R22:R24)/$R$6</f>
        <v>9.2107335309966327</v>
      </c>
      <c r="T23" s="367"/>
      <c r="U23" s="367"/>
      <c r="V23" t="s">
        <v>558</v>
      </c>
      <c r="W23" s="74" t="s">
        <v>564</v>
      </c>
      <c r="X23" s="6"/>
      <c r="Y23" s="6">
        <f>+$AG23*Y$6/$AG$6</f>
        <v>0</v>
      </c>
      <c r="Z23" s="6">
        <f>+$AG23*Z$6/$AG$6</f>
        <v>0</v>
      </c>
      <c r="AA23" s="6"/>
      <c r="AB23" s="369">
        <f t="shared" si="3"/>
        <v>0</v>
      </c>
      <c r="AC23" s="482">
        <f>AB23/$AA$6</f>
        <v>0</v>
      </c>
      <c r="AD23" s="367"/>
      <c r="AF23" s="74" t="s">
        <v>564</v>
      </c>
      <c r="AG23" s="6">
        <v>0</v>
      </c>
      <c r="AH23" s="482">
        <f>AG23/$AG$6</f>
        <v>0</v>
      </c>
      <c r="AJ23" s="74" t="s">
        <v>564</v>
      </c>
      <c r="AK23" s="369">
        <f t="shared" si="7"/>
        <v>7716.8440841378206</v>
      </c>
      <c r="AL23" s="482">
        <f>AK23/$AO$6</f>
        <v>88.699357288940462</v>
      </c>
      <c r="AN23" s="73" t="s">
        <v>206</v>
      </c>
      <c r="AO23" s="6">
        <v>151.90835521066077</v>
      </c>
      <c r="AP23" s="340">
        <f>SUM(AO22:AO24)/$AO$6</f>
        <v>10.291215505103283</v>
      </c>
    </row>
    <row r="24" spans="2:42" ht="15" thickBot="1">
      <c r="B24" s="2" t="s">
        <v>24</v>
      </c>
      <c r="D24" s="74" t="s">
        <v>136</v>
      </c>
      <c r="E24" s="63">
        <v>226</v>
      </c>
      <c r="F24" s="63">
        <v>84.046692607003891</v>
      </c>
      <c r="G24" s="63">
        <v>0</v>
      </c>
      <c r="H24" s="63">
        <v>226.56561627443153</v>
      </c>
      <c r="I24" s="6">
        <f t="shared" si="4"/>
        <v>536.61230888143541</v>
      </c>
      <c r="J24" s="13">
        <f t="shared" si="1"/>
        <v>6.167957573349832</v>
      </c>
      <c r="K24" s="74" t="s">
        <v>136</v>
      </c>
      <c r="L24" s="28">
        <v>400</v>
      </c>
      <c r="N24" s="6">
        <v>30</v>
      </c>
      <c r="O24" s="6">
        <v>200</v>
      </c>
      <c r="P24" s="6">
        <v>150</v>
      </c>
      <c r="Q24" s="6">
        <v>200</v>
      </c>
      <c r="R24" s="6">
        <f t="shared" si="0"/>
        <v>580</v>
      </c>
      <c r="S24" s="74"/>
      <c r="T24" s="365"/>
      <c r="U24" s="365"/>
      <c r="V24" t="s">
        <v>558</v>
      </c>
      <c r="W24" s="74" t="s">
        <v>549</v>
      </c>
      <c r="X24" s="6"/>
      <c r="Y24" s="6"/>
      <c r="Z24" s="6"/>
      <c r="AA24" s="6"/>
      <c r="AB24" s="369">
        <f t="shared" si="3"/>
        <v>0</v>
      </c>
      <c r="AC24" s="482">
        <f>AB24/$AA$6</f>
        <v>0</v>
      </c>
      <c r="AD24" s="365"/>
      <c r="AF24" s="74" t="s">
        <v>549</v>
      </c>
      <c r="AG24" s="6">
        <v>399.36608557844693</v>
      </c>
      <c r="AH24" s="482">
        <f>AG24/$AG$6</f>
        <v>3.3280507131537242</v>
      </c>
      <c r="AJ24" s="74" t="s">
        <v>549</v>
      </c>
      <c r="AK24" s="369">
        <f t="shared" si="7"/>
        <v>1200</v>
      </c>
      <c r="AL24" s="482">
        <f>AK24/$AO$6</f>
        <v>13.793103448275861</v>
      </c>
      <c r="AN24" s="74" t="s">
        <v>136</v>
      </c>
      <c r="AO24" s="6">
        <v>536.61230888143541</v>
      </c>
      <c r="AP24" s="74"/>
    </row>
    <row r="25" spans="2:42" ht="15" thickBot="1">
      <c r="B25" s="2" t="s">
        <v>558</v>
      </c>
      <c r="D25" s="74" t="s">
        <v>564</v>
      </c>
      <c r="E25" s="63">
        <v>2334.6303501945526</v>
      </c>
      <c r="F25" s="63">
        <v>0</v>
      </c>
      <c r="G25" s="63">
        <v>0</v>
      </c>
      <c r="H25" s="63">
        <v>1719.9840446749101</v>
      </c>
      <c r="I25" s="6">
        <f t="shared" si="4"/>
        <v>4054.6143948694626</v>
      </c>
      <c r="J25" s="13">
        <f t="shared" si="1"/>
        <v>46.604763159419107</v>
      </c>
      <c r="K25" s="74" t="s">
        <v>564</v>
      </c>
      <c r="L25" s="2"/>
      <c r="R25" s="28">
        <f>SUM(R7:R24)</f>
        <v>9899.3979198172874</v>
      </c>
      <c r="S25" s="74"/>
      <c r="T25" s="365"/>
      <c r="U25" s="365"/>
      <c r="V25" s="365"/>
      <c r="W25" s="365"/>
      <c r="X25" s="6"/>
      <c r="Y25" s="6"/>
      <c r="Z25" s="6"/>
      <c r="AA25" s="6"/>
      <c r="AB25" s="365"/>
      <c r="AC25" s="365"/>
      <c r="AD25" s="365"/>
      <c r="AH25" s="365"/>
      <c r="AI25" s="365"/>
      <c r="AK25" s="365"/>
      <c r="AN25" s="74" t="s">
        <v>564</v>
      </c>
      <c r="AO25" s="28">
        <f>SUM(AO7:AO24)</f>
        <v>7716.8440841378206</v>
      </c>
      <c r="AP25" s="481">
        <f>AO25/$AO$6</f>
        <v>88.699357288940462</v>
      </c>
    </row>
    <row r="26" spans="2:42" ht="15" thickBot="1">
      <c r="B26" s="2" t="s">
        <v>558</v>
      </c>
      <c r="D26" s="74" t="s">
        <v>549</v>
      </c>
      <c r="E26" s="63">
        <v>466.9260700389105</v>
      </c>
      <c r="F26" s="63">
        <v>0</v>
      </c>
      <c r="G26" s="63">
        <v>408.29346092503988</v>
      </c>
      <c r="H26" s="63">
        <v>2457.9178300757876</v>
      </c>
      <c r="I26" s="6">
        <f t="shared" si="4"/>
        <v>3333.1373610397377</v>
      </c>
      <c r="J26" s="13">
        <f t="shared" si="1"/>
        <v>38.311923690111925</v>
      </c>
      <c r="K26" s="74" t="s">
        <v>549</v>
      </c>
      <c r="L26" s="28">
        <f t="shared" ref="L26:Q26" si="8">SUM(L7:L24)</f>
        <v>2100</v>
      </c>
      <c r="M26" s="28">
        <f t="shared" si="8"/>
        <v>1629.6829599506766</v>
      </c>
      <c r="N26" s="28">
        <f t="shared" si="8"/>
        <v>2465.0095421372771</v>
      </c>
      <c r="O26" s="28">
        <f t="shared" si="8"/>
        <v>2750.0095421372771</v>
      </c>
      <c r="P26" s="28">
        <f t="shared" si="8"/>
        <v>2206.7957154788305</v>
      </c>
      <c r="Q26" s="28">
        <f t="shared" si="8"/>
        <v>847.90016011322723</v>
      </c>
      <c r="R26" s="6"/>
      <c r="S26" s="74"/>
      <c r="T26" s="365"/>
      <c r="U26" s="365"/>
      <c r="V26" s="365"/>
      <c r="W26" s="365"/>
      <c r="X26" s="6"/>
      <c r="Y26" s="6"/>
      <c r="Z26" s="6"/>
      <c r="AA26" s="6"/>
      <c r="AB26" s="365"/>
      <c r="AC26" s="365"/>
      <c r="AD26" s="365"/>
      <c r="AH26" s="365"/>
      <c r="AI26" s="365"/>
      <c r="AK26" s="365"/>
      <c r="AN26" s="74" t="s">
        <v>549</v>
      </c>
      <c r="AO26" s="6">
        <v>1200</v>
      </c>
      <c r="AP26" s="481">
        <f>AO26/$AO$6</f>
        <v>13.793103448275861</v>
      </c>
    </row>
    <row r="27" spans="2:42" ht="15" thickBot="1">
      <c r="R27" s="28">
        <f>SUM(R25:R26)</f>
        <v>9899.3979198172874</v>
      </c>
      <c r="X27" s="6"/>
      <c r="Y27" s="6"/>
      <c r="Z27" s="6"/>
      <c r="AA27" s="6"/>
      <c r="AB27" s="483">
        <f>SUM(AB7:AB22)</f>
        <v>4500.5018590384097</v>
      </c>
      <c r="AC27" s="483">
        <f>SUM(AC7:AC22)</f>
        <v>96.053973824622403</v>
      </c>
      <c r="AG27" s="483">
        <f>SUM(AG7:AG22)</f>
        <v>11421.18368998894</v>
      </c>
      <c r="AH27" s="483">
        <f>SUM(AH7:AH22)</f>
        <v>99.383527859460685</v>
      </c>
      <c r="AI27" s="84"/>
      <c r="AJ27" s="84"/>
      <c r="AK27" s="483">
        <f>SUM(AK7:AK22)</f>
        <v>7716.8440841378206</v>
      </c>
      <c r="AL27" s="483">
        <f>SUM(AL7:AL22)</f>
        <v>94.505702303703274</v>
      </c>
      <c r="AM27" s="84"/>
      <c r="AN27" s="483">
        <f>SUM(AN7:AN22)</f>
        <v>0</v>
      </c>
      <c r="AO27" s="483">
        <f>SUM(AO7:AO22)</f>
        <v>7028.3234200457246</v>
      </c>
      <c r="AP27" s="483">
        <f>SUM(AP7:AP22)</f>
        <v>82.109313998077241</v>
      </c>
    </row>
    <row r="28" spans="2:42" ht="16.2" thickBot="1">
      <c r="K28" s="342" t="s">
        <v>673</v>
      </c>
      <c r="L28" s="343"/>
      <c r="M28" s="344">
        <f>M26-M20-M21-M24</f>
        <v>1629.6829599506766</v>
      </c>
      <c r="N28" s="344">
        <f>N26</f>
        <v>2465.0095421372771</v>
      </c>
      <c r="O28" s="344">
        <f>O26</f>
        <v>2750.0095421372771</v>
      </c>
      <c r="P28" s="344">
        <f>P26</f>
        <v>2206.7957154788305</v>
      </c>
      <c r="Q28" s="344">
        <f>Q26</f>
        <v>847.90016011322723</v>
      </c>
      <c r="R28" s="344">
        <f>SUM(M28:Q28)</f>
        <v>9899.3979198172892</v>
      </c>
      <c r="S28" s="355">
        <f>SUM(S7:S26)</f>
        <v>83.188217813590654</v>
      </c>
      <c r="T28" s="377"/>
      <c r="U28" s="377"/>
      <c r="V28" s="377"/>
      <c r="W28" s="342" t="s">
        <v>673</v>
      </c>
      <c r="X28" s="343"/>
      <c r="Y28" s="344">
        <f>SUM(Y7:Y24)</f>
        <v>1454.3376831828616</v>
      </c>
      <c r="Z28" s="344">
        <f>SUM(Z7:Z24)</f>
        <v>1396.164175855547</v>
      </c>
      <c r="AA28" s="6"/>
      <c r="AB28" s="344">
        <f>SUM(Y28:AA28)</f>
        <v>2850.5018590384088</v>
      </c>
      <c r="AC28" s="6"/>
      <c r="AD28" s="377"/>
      <c r="AE28" s="377"/>
      <c r="AF28" s="377"/>
      <c r="AG28" s="28">
        <f>SUM(AG7:AG26)</f>
        <v>11820.549775567388</v>
      </c>
      <c r="AH28" s="28">
        <f>SUM(AH7:AH26)</f>
        <v>102.71157857261441</v>
      </c>
      <c r="AI28" s="377"/>
      <c r="AJ28" s="377"/>
      <c r="AK28" s="28">
        <f>SUM(AK7:AK26)</f>
        <v>16633.688168275643</v>
      </c>
      <c r="AL28" s="28">
        <f>SUM(AL7:AL26)</f>
        <v>196.99816304091962</v>
      </c>
      <c r="AN28" s="377"/>
      <c r="AO28" s="28">
        <f>SUM(AO7:AO26)</f>
        <v>16633.688168275643</v>
      </c>
      <c r="AP28" s="355">
        <f>SUM(AP7:AP26)</f>
        <v>194.89299024039684</v>
      </c>
    </row>
    <row r="29" spans="2:42">
      <c r="K29" t="s">
        <v>674</v>
      </c>
      <c r="L29" s="28">
        <f>L20+L21+L24</f>
        <v>2100</v>
      </c>
      <c r="N29" s="6"/>
      <c r="O29" s="6"/>
      <c r="P29" s="28"/>
      <c r="Q29" s="28"/>
      <c r="R29" s="28">
        <f>SUM(L29:Q29)</f>
        <v>2100</v>
      </c>
      <c r="W29" t="s">
        <v>674</v>
      </c>
      <c r="X29" s="28">
        <f>SUM(X7:X24)</f>
        <v>1600</v>
      </c>
      <c r="AA29" s="28">
        <f>SUM(AA7:AA24)</f>
        <v>50</v>
      </c>
      <c r="AB29" s="28">
        <f>SUM(X29:AA29)</f>
        <v>1650</v>
      </c>
      <c r="AO29" s="28"/>
    </row>
    <row r="30" spans="2:42">
      <c r="R30" s="28"/>
      <c r="AO30" s="28"/>
    </row>
    <row r="31" spans="2:42">
      <c r="M31" s="3" t="str">
        <f t="shared" ref="M31:R32" si="9">M5</f>
        <v>Nov</v>
      </c>
      <c r="N31" s="3" t="str">
        <f t="shared" si="9"/>
        <v>Dec</v>
      </c>
      <c r="O31" s="3" t="str">
        <f t="shared" si="9"/>
        <v>Jan</v>
      </c>
      <c r="P31" s="3" t="str">
        <f>P5</f>
        <v>Fev</v>
      </c>
      <c r="Q31" s="3" t="str">
        <f t="shared" si="9"/>
        <v>Mar</v>
      </c>
      <c r="R31" s="3" t="str">
        <f t="shared" si="9"/>
        <v>Viet 8</v>
      </c>
      <c r="Y31" s="6">
        <f>Y28/Y6</f>
        <v>58.173507327314468</v>
      </c>
      <c r="Z31" s="6">
        <f>Z28/Z6</f>
        <v>58.173507327314461</v>
      </c>
      <c r="AO31" s="3" t="str">
        <f>AO5</f>
        <v>Viet 7</v>
      </c>
    </row>
    <row r="32" spans="2:42">
      <c r="M32" s="3">
        <f t="shared" si="9"/>
        <v>18</v>
      </c>
      <c r="N32" s="3">
        <f t="shared" si="9"/>
        <v>31</v>
      </c>
      <c r="O32" s="3">
        <f t="shared" si="9"/>
        <v>31</v>
      </c>
      <c r="P32" s="3">
        <f>P6</f>
        <v>28</v>
      </c>
      <c r="Q32" s="3">
        <f t="shared" si="9"/>
        <v>11</v>
      </c>
      <c r="R32" s="3">
        <f t="shared" si="9"/>
        <v>119</v>
      </c>
      <c r="AO32" s="3">
        <f>AO6</f>
        <v>87</v>
      </c>
    </row>
    <row r="33" spans="2:45">
      <c r="B33" t="s">
        <v>328</v>
      </c>
      <c r="K33" s="9" t="s">
        <v>328</v>
      </c>
      <c r="L33" s="6"/>
      <c r="M33" s="344">
        <f t="shared" ref="L33:AO37" ca="1" si="10">SUMIF($B$7:$B$26,$B33,M$7:M$24)</f>
        <v>473.33830895855175</v>
      </c>
      <c r="N33" s="344">
        <f t="shared" ca="1" si="10"/>
        <v>815.19375431750575</v>
      </c>
      <c r="O33" s="344">
        <f t="shared" ca="1" si="10"/>
        <v>815.19375431750575</v>
      </c>
      <c r="P33" s="344">
        <f t="shared" ca="1" si="10"/>
        <v>736.30403615774719</v>
      </c>
      <c r="Q33" s="344">
        <f t="shared" ca="1" si="10"/>
        <v>289.26229991911492</v>
      </c>
      <c r="R33" s="28">
        <f ca="1">SUMIF($B$7:$B$26,$B33,R$7:R$24)</f>
        <v>3129.2921536704253</v>
      </c>
      <c r="AO33" s="28">
        <f ca="1">SUMIF($B$7:$B$26,$B33,AO$7:AO$24)</f>
        <v>1906.5015221941665</v>
      </c>
      <c r="AP33" s="6">
        <f t="shared" ref="AP33:AP39" ca="1" si="11">R33-AO33</f>
        <v>1222.7906314762588</v>
      </c>
    </row>
    <row r="34" spans="2:45">
      <c r="B34" t="s">
        <v>559</v>
      </c>
      <c r="K34" s="9" t="s">
        <v>559</v>
      </c>
      <c r="L34" s="6"/>
      <c r="M34" s="344">
        <f t="shared" ca="1" si="10"/>
        <v>908.28253987116034</v>
      </c>
      <c r="N34" s="344">
        <f t="shared" ca="1" si="10"/>
        <v>875.3754853336651</v>
      </c>
      <c r="O34" s="344">
        <f t="shared" ca="1" si="10"/>
        <v>875.3754853336651</v>
      </c>
      <c r="P34" s="344">
        <f t="shared" ca="1" si="10"/>
        <v>689.06172868847182</v>
      </c>
      <c r="Q34" s="344">
        <f t="shared" ca="1" si="10"/>
        <v>250.93323673130052</v>
      </c>
      <c r="R34" s="28">
        <f t="shared" ca="1" si="10"/>
        <v>3599.0284759582628</v>
      </c>
      <c r="AO34" s="28">
        <f t="shared" ca="1" si="10"/>
        <v>1662.1362878744724</v>
      </c>
      <c r="AP34" s="6">
        <f t="shared" ca="1" si="11"/>
        <v>1936.8921880837904</v>
      </c>
    </row>
    <row r="35" spans="2:45">
      <c r="B35" t="s">
        <v>23</v>
      </c>
      <c r="K35" s="9" t="s">
        <v>23</v>
      </c>
      <c r="L35" s="6"/>
      <c r="M35" s="344">
        <f t="shared" ca="1" si="10"/>
        <v>170</v>
      </c>
      <c r="N35" s="344">
        <f t="shared" ca="1" si="10"/>
        <v>320</v>
      </c>
      <c r="O35" s="344">
        <f t="shared" ca="1" si="10"/>
        <v>395</v>
      </c>
      <c r="P35" s="344">
        <f t="shared" ca="1" si="10"/>
        <v>210</v>
      </c>
      <c r="Q35" s="344">
        <f t="shared" ca="1" si="10"/>
        <v>10</v>
      </c>
      <c r="R35" s="28">
        <f t="shared" ca="1" si="10"/>
        <v>1105</v>
      </c>
      <c r="AO35" s="28">
        <f t="shared" ca="1" si="10"/>
        <v>647.61537568737504</v>
      </c>
      <c r="AP35" s="6">
        <f t="shared" ca="1" si="11"/>
        <v>457.38462431262496</v>
      </c>
    </row>
    <row r="36" spans="2:45">
      <c r="B36" t="s">
        <v>25</v>
      </c>
      <c r="K36" s="9" t="s">
        <v>25</v>
      </c>
      <c r="L36" s="345">
        <f t="shared" ca="1" si="10"/>
        <v>1700</v>
      </c>
      <c r="M36" s="344">
        <f t="shared" ca="1" si="10"/>
        <v>0</v>
      </c>
      <c r="N36" s="344">
        <f t="shared" ca="1" si="10"/>
        <v>290</v>
      </c>
      <c r="O36" s="344">
        <f t="shared" ca="1" si="10"/>
        <v>330</v>
      </c>
      <c r="P36" s="344">
        <f t="shared" ca="1" si="10"/>
        <v>300</v>
      </c>
      <c r="Q36" s="344">
        <f t="shared" ca="1" si="10"/>
        <v>50</v>
      </c>
      <c r="R36" s="345">
        <f ca="1">SUMIF($B$7:$B$26,$B36,R$7:R$24)+L36</f>
        <v>2670</v>
      </c>
      <c r="AO36" s="28">
        <f t="shared" ca="1" si="10"/>
        <v>2605.2551494378204</v>
      </c>
      <c r="AP36" s="6">
        <f t="shared" ca="1" si="11"/>
        <v>64.744850562179636</v>
      </c>
    </row>
    <row r="37" spans="2:45">
      <c r="B37" t="s">
        <v>24</v>
      </c>
      <c r="K37" s="9" t="s">
        <v>24</v>
      </c>
      <c r="L37" s="345">
        <f t="shared" ca="1" si="10"/>
        <v>400</v>
      </c>
      <c r="M37" s="344">
        <f t="shared" ca="1" si="10"/>
        <v>78.062111120964602</v>
      </c>
      <c r="N37" s="344">
        <f t="shared" ca="1" si="10"/>
        <v>164.44030248610571</v>
      </c>
      <c r="O37" s="344">
        <f t="shared" ca="1" si="10"/>
        <v>334.44030248610568</v>
      </c>
      <c r="P37" s="344">
        <f t="shared" ca="1" si="10"/>
        <v>271.42995063261162</v>
      </c>
      <c r="Q37" s="344">
        <f t="shared" ca="1" si="10"/>
        <v>247.7046234628117</v>
      </c>
      <c r="R37" s="345">
        <f ca="1">SUMIF($B$7:$B$26,$B37,R$7:R$24)+L37</f>
        <v>1496.0772901885994</v>
      </c>
      <c r="AO37" s="28">
        <f t="shared" ca="1" si="10"/>
        <v>895.33574894398566</v>
      </c>
      <c r="AP37" s="6">
        <f t="shared" ca="1" si="11"/>
        <v>600.7415412446137</v>
      </c>
    </row>
    <row r="38" spans="2:45">
      <c r="B38"/>
      <c r="M38" s="342"/>
      <c r="N38" s="342"/>
      <c r="O38" s="342"/>
      <c r="P38" s="342"/>
      <c r="Q38" s="342"/>
      <c r="AO38" s="98">
        <v>1200</v>
      </c>
      <c r="AP38" s="6">
        <f t="shared" si="11"/>
        <v>-1200</v>
      </c>
    </row>
    <row r="39" spans="2:45">
      <c r="L39" s="28">
        <f t="shared" ref="L39:R39" ca="1" si="12">SUM(L33:L37)</f>
        <v>2100</v>
      </c>
      <c r="M39" s="344">
        <f t="shared" ca="1" si="12"/>
        <v>1629.6829599506766</v>
      </c>
      <c r="N39" s="344">
        <f t="shared" ca="1" si="12"/>
        <v>2465.0095421372766</v>
      </c>
      <c r="O39" s="344">
        <f t="shared" ca="1" si="12"/>
        <v>2750.0095421372766</v>
      </c>
      <c r="P39" s="344">
        <f ca="1">SUM(P33:P37)</f>
        <v>2206.7957154788305</v>
      </c>
      <c r="Q39" s="344">
        <f t="shared" ca="1" si="12"/>
        <v>847.90016011322712</v>
      </c>
      <c r="R39" s="28">
        <f t="shared" ca="1" si="12"/>
        <v>11999.397919817287</v>
      </c>
      <c r="AO39" s="28">
        <f ca="1">SUM(AO33:AO38)</f>
        <v>8916.8440841378197</v>
      </c>
      <c r="AP39" s="28">
        <f t="shared" ca="1" si="11"/>
        <v>3082.5538356794677</v>
      </c>
    </row>
    <row r="40" spans="2:45">
      <c r="AS40">
        <v>0</v>
      </c>
    </row>
    <row r="42" spans="2:45">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GA187"/>
  <sheetViews>
    <sheetView showZeros="0" topLeftCell="A6" zoomScale="85" zoomScaleNormal="85" workbookViewId="0">
      <pane xSplit="3" ySplit="5" topLeftCell="DS96" activePane="bottomRight" state="frozen"/>
      <selection activeCell="A6" sqref="A6"/>
      <selection pane="topRight" activeCell="D6" sqref="D6"/>
      <selection pane="bottomLeft" activeCell="A11" sqref="A11"/>
      <selection pane="bottomRight" activeCell="FG110" sqref="FG110:FI110"/>
    </sheetView>
  </sheetViews>
  <sheetFormatPr baseColWidth="10" defaultRowHeight="14.4" outlineLevelRow="2" outlineLevelCol="1"/>
  <cols>
    <col min="1" max="1" width="9.109375" customWidth="1"/>
    <col min="3" max="3" width="17.6640625" bestFit="1" customWidth="1"/>
    <col min="4" max="4" width="1.5546875" customWidth="1"/>
    <col min="5" max="5" width="10.33203125" style="2" customWidth="1"/>
    <col min="6" max="6" width="8.109375" style="2" customWidth="1"/>
    <col min="7" max="18" width="8.109375" style="2" hidden="1" customWidth="1" outlineLevel="1"/>
    <col min="19" max="19" width="9.33203125" style="2" hidden="1" customWidth="1" outlineLevel="1" collapsed="1"/>
    <col min="20" max="21" width="9.33203125" style="2" hidden="1" customWidth="1" outlineLevel="1"/>
    <col min="22" max="23" width="9.33203125" style="2" hidden="1" customWidth="1" outlineLevel="1" collapsed="1"/>
    <col min="24" max="24" width="8.109375" style="2" customWidth="1" collapsed="1"/>
    <col min="25" max="25" width="8.109375" style="2" customWidth="1"/>
    <col min="26" max="26" width="8.109375" style="2" customWidth="1" collapsed="1"/>
    <col min="27" max="28" width="8.109375" style="2" customWidth="1"/>
    <col min="29" max="29" width="8.109375" style="2" customWidth="1" collapsed="1"/>
    <col min="30" max="31" width="8.109375" style="2" customWidth="1"/>
    <col min="32" max="32" width="8.109375" style="2" customWidth="1" collapsed="1"/>
    <col min="33" max="52" width="8.109375" style="2" customWidth="1"/>
    <col min="53" max="53" width="8.109375" style="2" customWidth="1" collapsed="1"/>
    <col min="54" max="62" width="8.109375" style="2" customWidth="1"/>
    <col min="63" max="63" width="8.109375" style="2" customWidth="1" collapsed="1"/>
    <col min="64" max="125" width="8.109375" style="2" customWidth="1"/>
    <col min="126" max="126" width="8.109375" style="11" customWidth="1"/>
    <col min="127" max="127" width="2.109375" style="177" customWidth="1"/>
    <col min="128" max="128" width="11.5546875" style="4"/>
    <col min="129" max="129" width="9" style="2" customWidth="1"/>
    <col min="130" max="130" width="0.33203125" customWidth="1"/>
    <col min="131" max="137" width="0.33203125" style="2" customWidth="1"/>
    <col min="138" max="138" width="0.33203125" customWidth="1"/>
    <col min="139" max="157" width="0.33203125" hidden="1" customWidth="1" outlineLevel="1"/>
    <col min="158" max="158" width="0.33203125" hidden="1" customWidth="1" collapsed="1"/>
    <col min="159" max="159" width="0.33203125" hidden="1" customWidth="1"/>
    <col min="160" max="160" width="15.6640625" customWidth="1"/>
    <col min="165" max="166" width="11.5546875" customWidth="1"/>
    <col min="167" max="168" width="11.5546875" hidden="1" customWidth="1" outlineLevel="1"/>
    <col min="169" max="169" width="1.88671875" customWidth="1" collapsed="1"/>
    <col min="170" max="170" width="11.5546875" style="2"/>
    <col min="171" max="171" width="8.6640625" customWidth="1"/>
    <col min="172" max="172" width="10.33203125" customWidth="1"/>
    <col min="173" max="173" width="11.5546875" style="2"/>
    <col min="177" max="177" width="5.6640625" customWidth="1"/>
  </cols>
  <sheetData>
    <row r="1" spans="1:173" outlineLevel="1">
      <c r="F1" s="274">
        <v>1</v>
      </c>
      <c r="G1" s="253">
        <v>2</v>
      </c>
      <c r="H1" s="253">
        <v>3</v>
      </c>
      <c r="I1" s="253">
        <v>4</v>
      </c>
      <c r="J1" s="253">
        <v>5</v>
      </c>
      <c r="K1" s="253">
        <v>6</v>
      </c>
      <c r="L1" s="275">
        <v>7</v>
      </c>
      <c r="M1"/>
    </row>
    <row r="2" spans="1:173" ht="15" outlineLevel="1" thickBot="1">
      <c r="F2" s="251" t="s">
        <v>289</v>
      </c>
      <c r="G2" s="276" t="s">
        <v>85</v>
      </c>
      <c r="H2" s="276" t="s">
        <v>86</v>
      </c>
      <c r="I2" s="276" t="s">
        <v>87</v>
      </c>
      <c r="J2" s="276" t="s">
        <v>88</v>
      </c>
      <c r="K2" s="276" t="s">
        <v>89</v>
      </c>
      <c r="L2" s="277" t="s">
        <v>90</v>
      </c>
      <c r="M2"/>
    </row>
    <row r="3" spans="1:173" outlineLevel="1">
      <c r="F3" s="39">
        <f>F9</f>
        <v>44878</v>
      </c>
      <c r="G3" s="39">
        <f t="shared" ref="G3:BR3" si="0">G9</f>
        <v>44879</v>
      </c>
      <c r="H3" s="39">
        <f t="shared" si="0"/>
        <v>44880</v>
      </c>
      <c r="I3" s="39">
        <f t="shared" si="0"/>
        <v>44881</v>
      </c>
      <c r="J3" s="39">
        <f t="shared" si="0"/>
        <v>44882</v>
      </c>
      <c r="K3" s="39">
        <f t="shared" si="0"/>
        <v>44883</v>
      </c>
      <c r="L3" s="39">
        <f t="shared" si="0"/>
        <v>44884</v>
      </c>
      <c r="M3" s="39">
        <f t="shared" si="0"/>
        <v>44885</v>
      </c>
      <c r="N3" s="39">
        <f t="shared" si="0"/>
        <v>44886</v>
      </c>
      <c r="O3" s="39">
        <f t="shared" si="0"/>
        <v>44887</v>
      </c>
      <c r="P3" s="39">
        <f t="shared" si="0"/>
        <v>44888</v>
      </c>
      <c r="Q3" s="39">
        <f t="shared" si="0"/>
        <v>44889</v>
      </c>
      <c r="R3" s="39">
        <f t="shared" si="0"/>
        <v>44890</v>
      </c>
      <c r="S3" s="39">
        <f t="shared" si="0"/>
        <v>44891</v>
      </c>
      <c r="T3" s="39">
        <f t="shared" si="0"/>
        <v>44892</v>
      </c>
      <c r="U3" s="39">
        <f t="shared" si="0"/>
        <v>44893</v>
      </c>
      <c r="V3" s="39">
        <f t="shared" si="0"/>
        <v>44894</v>
      </c>
      <c r="W3" s="39">
        <f t="shared" si="0"/>
        <v>44895</v>
      </c>
      <c r="X3" s="39">
        <f t="shared" si="0"/>
        <v>44896</v>
      </c>
      <c r="Y3" s="39">
        <f t="shared" si="0"/>
        <v>44897</v>
      </c>
      <c r="Z3" s="39">
        <f t="shared" si="0"/>
        <v>44898</v>
      </c>
      <c r="AA3" s="39">
        <f t="shared" si="0"/>
        <v>44899</v>
      </c>
      <c r="AB3" s="39">
        <f t="shared" si="0"/>
        <v>44900</v>
      </c>
      <c r="AC3" s="39">
        <f t="shared" si="0"/>
        <v>44901</v>
      </c>
      <c r="AD3" s="39">
        <f t="shared" si="0"/>
        <v>44902</v>
      </c>
      <c r="AE3" s="39">
        <f t="shared" si="0"/>
        <v>44903</v>
      </c>
      <c r="AF3" s="39">
        <f t="shared" si="0"/>
        <v>44904</v>
      </c>
      <c r="AG3" s="39">
        <f t="shared" si="0"/>
        <v>44905</v>
      </c>
      <c r="AH3" s="39">
        <f t="shared" si="0"/>
        <v>44906</v>
      </c>
      <c r="AI3" s="39">
        <f t="shared" si="0"/>
        <v>44907</v>
      </c>
      <c r="AJ3" s="39">
        <f t="shared" si="0"/>
        <v>44908</v>
      </c>
      <c r="AK3" s="39">
        <f t="shared" si="0"/>
        <v>44909</v>
      </c>
      <c r="AL3" s="39">
        <f t="shared" si="0"/>
        <v>44910</v>
      </c>
      <c r="AM3" s="39">
        <f t="shared" si="0"/>
        <v>44911</v>
      </c>
      <c r="AN3" s="39">
        <f t="shared" si="0"/>
        <v>44912</v>
      </c>
      <c r="AO3" s="39">
        <f t="shared" si="0"/>
        <v>44913</v>
      </c>
      <c r="AP3" s="39">
        <f t="shared" si="0"/>
        <v>44914</v>
      </c>
      <c r="AQ3" s="39">
        <f t="shared" si="0"/>
        <v>44915</v>
      </c>
      <c r="AR3" s="39">
        <f t="shared" si="0"/>
        <v>44916</v>
      </c>
      <c r="AS3" s="39">
        <f t="shared" si="0"/>
        <v>44917</v>
      </c>
      <c r="AT3" s="39">
        <f t="shared" si="0"/>
        <v>44918</v>
      </c>
      <c r="AU3" s="39">
        <f t="shared" si="0"/>
        <v>44919</v>
      </c>
      <c r="AV3" s="39">
        <f t="shared" si="0"/>
        <v>44920</v>
      </c>
      <c r="AW3" s="39">
        <f t="shared" si="0"/>
        <v>44921</v>
      </c>
      <c r="AX3" s="39">
        <f t="shared" si="0"/>
        <v>44922</v>
      </c>
      <c r="AY3" s="39">
        <f t="shared" si="0"/>
        <v>44923</v>
      </c>
      <c r="AZ3" s="39">
        <f t="shared" si="0"/>
        <v>44924</v>
      </c>
      <c r="BA3" s="39">
        <f t="shared" si="0"/>
        <v>44925</v>
      </c>
      <c r="BB3" s="39">
        <f t="shared" si="0"/>
        <v>44926</v>
      </c>
      <c r="BC3" s="39">
        <f t="shared" si="0"/>
        <v>44927</v>
      </c>
      <c r="BD3" s="39">
        <f t="shared" si="0"/>
        <v>44928</v>
      </c>
      <c r="BE3" s="39">
        <f t="shared" si="0"/>
        <v>44929</v>
      </c>
      <c r="BF3" s="39">
        <f t="shared" si="0"/>
        <v>44930</v>
      </c>
      <c r="BG3" s="39">
        <f t="shared" si="0"/>
        <v>44931</v>
      </c>
      <c r="BH3" s="39">
        <f t="shared" si="0"/>
        <v>44932</v>
      </c>
      <c r="BI3" s="39">
        <f t="shared" si="0"/>
        <v>44933</v>
      </c>
      <c r="BJ3" s="39">
        <f t="shared" si="0"/>
        <v>44934</v>
      </c>
      <c r="BK3" s="39">
        <f t="shared" si="0"/>
        <v>44935</v>
      </c>
      <c r="BL3" s="39">
        <f t="shared" si="0"/>
        <v>44936</v>
      </c>
      <c r="BM3" s="39">
        <f t="shared" si="0"/>
        <v>44937</v>
      </c>
      <c r="BN3" s="39">
        <f t="shared" si="0"/>
        <v>44938</v>
      </c>
      <c r="BO3" s="39">
        <f t="shared" si="0"/>
        <v>44939</v>
      </c>
      <c r="BP3" s="39">
        <f t="shared" si="0"/>
        <v>44940</v>
      </c>
      <c r="BQ3" s="39">
        <f t="shared" si="0"/>
        <v>44941</v>
      </c>
      <c r="BR3" s="39">
        <f t="shared" si="0"/>
        <v>44942</v>
      </c>
      <c r="BS3" s="39">
        <f t="shared" ref="BS3:DU3" si="1">BS9</f>
        <v>44943</v>
      </c>
      <c r="BT3" s="39">
        <f t="shared" si="1"/>
        <v>44944</v>
      </c>
      <c r="BU3" s="39">
        <f t="shared" si="1"/>
        <v>44945</v>
      </c>
      <c r="BV3" s="39">
        <f t="shared" si="1"/>
        <v>44946</v>
      </c>
      <c r="BW3" s="39">
        <f t="shared" si="1"/>
        <v>44947</v>
      </c>
      <c r="BX3" s="39">
        <f t="shared" si="1"/>
        <v>44948</v>
      </c>
      <c r="BY3" s="39">
        <f t="shared" si="1"/>
        <v>44949</v>
      </c>
      <c r="BZ3" s="39">
        <f t="shared" si="1"/>
        <v>44950</v>
      </c>
      <c r="CA3" s="39">
        <f t="shared" si="1"/>
        <v>44951</v>
      </c>
      <c r="CB3" s="39">
        <f t="shared" si="1"/>
        <v>44952</v>
      </c>
      <c r="CC3" s="39">
        <f t="shared" si="1"/>
        <v>44953</v>
      </c>
      <c r="CD3" s="39">
        <f t="shared" si="1"/>
        <v>44954</v>
      </c>
      <c r="CE3" s="39">
        <f t="shared" si="1"/>
        <v>44955</v>
      </c>
      <c r="CF3" s="39">
        <f t="shared" si="1"/>
        <v>44956</v>
      </c>
      <c r="CG3" s="39">
        <f t="shared" si="1"/>
        <v>44957</v>
      </c>
      <c r="CH3" s="39">
        <f t="shared" si="1"/>
        <v>44958</v>
      </c>
      <c r="CI3" s="39">
        <f t="shared" si="1"/>
        <v>44959</v>
      </c>
      <c r="CJ3" s="39">
        <f t="shared" si="1"/>
        <v>44960</v>
      </c>
      <c r="CK3" s="39">
        <f t="shared" si="1"/>
        <v>44961</v>
      </c>
      <c r="CL3" s="39">
        <f t="shared" si="1"/>
        <v>44962</v>
      </c>
      <c r="CM3" s="39">
        <f t="shared" si="1"/>
        <v>44963</v>
      </c>
      <c r="CN3" s="39">
        <f t="shared" si="1"/>
        <v>44964</v>
      </c>
      <c r="CO3" s="39">
        <f t="shared" si="1"/>
        <v>44965</v>
      </c>
      <c r="CP3" s="39">
        <f t="shared" si="1"/>
        <v>44966</v>
      </c>
      <c r="CQ3" s="39">
        <f t="shared" si="1"/>
        <v>44967</v>
      </c>
      <c r="CR3" s="39">
        <f t="shared" si="1"/>
        <v>44968</v>
      </c>
      <c r="CS3" s="39">
        <f t="shared" si="1"/>
        <v>44969</v>
      </c>
      <c r="CT3" s="39">
        <f t="shared" si="1"/>
        <v>44970</v>
      </c>
      <c r="CU3" s="39">
        <f t="shared" si="1"/>
        <v>44971</v>
      </c>
      <c r="CV3" s="39">
        <f t="shared" si="1"/>
        <v>44972</v>
      </c>
      <c r="CW3" s="39">
        <f t="shared" si="1"/>
        <v>44973</v>
      </c>
      <c r="CX3" s="39">
        <f t="shared" si="1"/>
        <v>44974</v>
      </c>
      <c r="CY3" s="39">
        <f t="shared" si="1"/>
        <v>44975</v>
      </c>
      <c r="CZ3" s="39">
        <f t="shared" si="1"/>
        <v>44976</v>
      </c>
      <c r="DA3" s="39">
        <f t="shared" si="1"/>
        <v>44977</v>
      </c>
      <c r="DB3" s="39">
        <f t="shared" si="1"/>
        <v>44978</v>
      </c>
      <c r="DC3" s="39">
        <f t="shared" si="1"/>
        <v>44979</v>
      </c>
      <c r="DD3" s="39">
        <f t="shared" si="1"/>
        <v>44980</v>
      </c>
      <c r="DE3" s="39">
        <f t="shared" si="1"/>
        <v>44981</v>
      </c>
      <c r="DF3" s="39">
        <f t="shared" si="1"/>
        <v>44982</v>
      </c>
      <c r="DG3" s="39">
        <f t="shared" si="1"/>
        <v>44983</v>
      </c>
      <c r="DH3" s="39">
        <f t="shared" si="1"/>
        <v>44984</v>
      </c>
      <c r="DI3" s="39">
        <f t="shared" si="1"/>
        <v>44985</v>
      </c>
      <c r="DJ3" s="39">
        <f t="shared" si="1"/>
        <v>44986</v>
      </c>
      <c r="DK3" s="39">
        <f t="shared" si="1"/>
        <v>44987</v>
      </c>
      <c r="DL3" s="39">
        <f t="shared" si="1"/>
        <v>44988</v>
      </c>
      <c r="DM3" s="39">
        <f t="shared" si="1"/>
        <v>44989</v>
      </c>
      <c r="DN3" s="39">
        <f t="shared" si="1"/>
        <v>44990</v>
      </c>
      <c r="DO3" s="39">
        <f t="shared" si="1"/>
        <v>44991</v>
      </c>
      <c r="DP3" s="39">
        <f t="shared" si="1"/>
        <v>44992</v>
      </c>
      <c r="DQ3" s="39">
        <f t="shared" si="1"/>
        <v>44993</v>
      </c>
      <c r="DR3" s="39">
        <f t="shared" si="1"/>
        <v>44994</v>
      </c>
      <c r="DS3" s="39">
        <f t="shared" si="1"/>
        <v>44995</v>
      </c>
      <c r="DT3" s="39">
        <f t="shared" si="1"/>
        <v>44996</v>
      </c>
      <c r="DU3" s="39">
        <f t="shared" si="1"/>
        <v>44997</v>
      </c>
    </row>
    <row r="4" spans="1:173" outlineLevel="1">
      <c r="E4" s="2" t="str">
        <f>+LEFT(ADDRESS(1,COLUMN(),4),INT((COLUMN()+25)/26))</f>
        <v>E</v>
      </c>
      <c r="F4" s="2" t="str">
        <f t="shared" ref="F4:AZ4" si="2">+LEFT(ADDRESS(1,COLUMN(),4),INT((COLUMN()+25)/26))</f>
        <v>F</v>
      </c>
      <c r="G4" s="2" t="str">
        <f t="shared" si="2"/>
        <v>G</v>
      </c>
      <c r="H4" s="2" t="str">
        <f t="shared" si="2"/>
        <v>H</v>
      </c>
      <c r="I4" s="2" t="str">
        <f t="shared" si="2"/>
        <v>I</v>
      </c>
      <c r="J4" s="2" t="str">
        <f t="shared" si="2"/>
        <v>J</v>
      </c>
      <c r="K4" s="2" t="str">
        <f t="shared" si="2"/>
        <v>K</v>
      </c>
      <c r="L4" s="2" t="str">
        <f t="shared" si="2"/>
        <v>L</v>
      </c>
      <c r="M4" s="2" t="str">
        <f t="shared" si="2"/>
        <v>M</v>
      </c>
      <c r="N4" s="2" t="str">
        <f t="shared" si="2"/>
        <v>N</v>
      </c>
      <c r="O4" s="2" t="str">
        <f t="shared" si="2"/>
        <v>O</v>
      </c>
      <c r="P4" s="2" t="str">
        <f t="shared" si="2"/>
        <v>P</v>
      </c>
      <c r="Q4" s="2" t="str">
        <f t="shared" si="2"/>
        <v>Q</v>
      </c>
      <c r="R4" s="2" t="str">
        <f t="shared" si="2"/>
        <v>R</v>
      </c>
      <c r="S4" s="2" t="str">
        <f t="shared" si="2"/>
        <v>S</v>
      </c>
      <c r="T4" s="2" t="str">
        <f t="shared" si="2"/>
        <v>T</v>
      </c>
      <c r="U4" s="2" t="str">
        <f t="shared" si="2"/>
        <v>U</v>
      </c>
      <c r="V4" s="2" t="str">
        <f t="shared" si="2"/>
        <v>V</v>
      </c>
      <c r="W4" s="2" t="str">
        <f t="shared" si="2"/>
        <v>W</v>
      </c>
      <c r="X4" s="2" t="str">
        <f t="shared" si="2"/>
        <v>X</v>
      </c>
      <c r="Y4" s="2" t="str">
        <f t="shared" si="2"/>
        <v>Y</v>
      </c>
      <c r="Z4" s="2" t="str">
        <f t="shared" si="2"/>
        <v>Z</v>
      </c>
      <c r="AA4" s="2" t="str">
        <f t="shared" si="2"/>
        <v>AA</v>
      </c>
      <c r="AB4" s="2" t="str">
        <f t="shared" si="2"/>
        <v>AB</v>
      </c>
      <c r="AC4" s="2" t="str">
        <f t="shared" si="2"/>
        <v>AC</v>
      </c>
      <c r="AD4" s="2" t="str">
        <f t="shared" si="2"/>
        <v>AD</v>
      </c>
      <c r="AE4" s="2" t="str">
        <f t="shared" si="2"/>
        <v>AE</v>
      </c>
      <c r="AF4" s="2" t="str">
        <f t="shared" si="2"/>
        <v>AF</v>
      </c>
      <c r="AG4" s="2" t="str">
        <f t="shared" si="2"/>
        <v>AG</v>
      </c>
      <c r="AH4" s="2" t="str">
        <f t="shared" si="2"/>
        <v>AH</v>
      </c>
      <c r="AI4" s="2" t="str">
        <f t="shared" si="2"/>
        <v>AI</v>
      </c>
      <c r="AJ4" s="2" t="str">
        <f t="shared" si="2"/>
        <v>AJ</v>
      </c>
      <c r="AK4" s="2" t="str">
        <f t="shared" si="2"/>
        <v>AK</v>
      </c>
      <c r="AL4" s="2" t="str">
        <f t="shared" si="2"/>
        <v>AL</v>
      </c>
      <c r="AM4" s="2" t="str">
        <f t="shared" si="2"/>
        <v>AM</v>
      </c>
      <c r="AN4" s="2" t="str">
        <f t="shared" si="2"/>
        <v>AN</v>
      </c>
      <c r="AO4" s="2" t="str">
        <f t="shared" si="2"/>
        <v>AO</v>
      </c>
      <c r="AP4" s="2" t="str">
        <f t="shared" si="2"/>
        <v>AP</v>
      </c>
      <c r="AQ4" s="2" t="str">
        <f t="shared" si="2"/>
        <v>AQ</v>
      </c>
      <c r="AR4" s="2" t="str">
        <f t="shared" si="2"/>
        <v>AR</v>
      </c>
      <c r="AS4" s="2" t="str">
        <f t="shared" si="2"/>
        <v>AS</v>
      </c>
      <c r="AT4" s="2" t="str">
        <f t="shared" si="2"/>
        <v>AT</v>
      </c>
      <c r="AU4" s="2" t="str">
        <f t="shared" si="2"/>
        <v>AU</v>
      </c>
      <c r="AV4" s="2" t="str">
        <f t="shared" si="2"/>
        <v>AV</v>
      </c>
      <c r="AW4" s="2" t="str">
        <f t="shared" si="2"/>
        <v>AW</v>
      </c>
      <c r="AX4" s="2" t="str">
        <f t="shared" si="2"/>
        <v>AX</v>
      </c>
      <c r="AY4" s="2" t="str">
        <f t="shared" si="2"/>
        <v>AY</v>
      </c>
      <c r="AZ4" s="2" t="str">
        <f t="shared" si="2"/>
        <v>AZ</v>
      </c>
      <c r="BA4" s="2" t="str">
        <f>+LEFT(LEFT(ADDRESS(1,COLUMN(),4),INT((COLUMN()+25)/26)),2)</f>
        <v>BA</v>
      </c>
      <c r="BB4" s="2" t="str">
        <f t="shared" ref="BB4:DM4" si="3">+LEFT(LEFT(ADDRESS(1,COLUMN(),4),INT((COLUMN()+25)/26)),2)</f>
        <v>BB</v>
      </c>
      <c r="BC4" s="2" t="str">
        <f t="shared" si="3"/>
        <v>BC</v>
      </c>
      <c r="BD4" s="2" t="str">
        <f t="shared" si="3"/>
        <v>BD</v>
      </c>
      <c r="BE4" s="2" t="str">
        <f t="shared" si="3"/>
        <v>BE</v>
      </c>
      <c r="BF4" s="2" t="str">
        <f t="shared" si="3"/>
        <v>BF</v>
      </c>
      <c r="BG4" s="2" t="str">
        <f t="shared" si="3"/>
        <v>BG</v>
      </c>
      <c r="BH4" s="2" t="str">
        <f t="shared" si="3"/>
        <v>BH</v>
      </c>
      <c r="BI4" s="2" t="str">
        <f t="shared" si="3"/>
        <v>BI</v>
      </c>
      <c r="BJ4" s="2" t="str">
        <f t="shared" si="3"/>
        <v>BJ</v>
      </c>
      <c r="BK4" s="2" t="str">
        <f t="shared" si="3"/>
        <v>BK</v>
      </c>
      <c r="BL4" s="2" t="str">
        <f t="shared" si="3"/>
        <v>BL</v>
      </c>
      <c r="BM4" s="2" t="str">
        <f t="shared" si="3"/>
        <v>BM</v>
      </c>
      <c r="BN4" s="2" t="str">
        <f t="shared" si="3"/>
        <v>BN</v>
      </c>
      <c r="BO4" s="2" t="str">
        <f t="shared" si="3"/>
        <v>BO</v>
      </c>
      <c r="BP4" s="2" t="str">
        <f t="shared" si="3"/>
        <v>BP</v>
      </c>
      <c r="BQ4" s="2" t="str">
        <f t="shared" si="3"/>
        <v>BQ</v>
      </c>
      <c r="BR4" s="2" t="str">
        <f t="shared" si="3"/>
        <v>BR</v>
      </c>
      <c r="BS4" s="2" t="str">
        <f t="shared" si="3"/>
        <v>BS</v>
      </c>
      <c r="BT4" s="2" t="str">
        <f t="shared" si="3"/>
        <v>BT</v>
      </c>
      <c r="BU4" s="2" t="str">
        <f t="shared" si="3"/>
        <v>BU</v>
      </c>
      <c r="BV4" s="2" t="str">
        <f t="shared" si="3"/>
        <v>BV</v>
      </c>
      <c r="BW4" s="2" t="str">
        <f t="shared" si="3"/>
        <v>BW</v>
      </c>
      <c r="BX4" s="2" t="str">
        <f t="shared" si="3"/>
        <v>BX</v>
      </c>
      <c r="BY4" s="2" t="str">
        <f t="shared" si="3"/>
        <v>BY</v>
      </c>
      <c r="BZ4" s="2" t="str">
        <f t="shared" si="3"/>
        <v>BZ</v>
      </c>
      <c r="CA4" s="2" t="str">
        <f t="shared" si="3"/>
        <v>CA</v>
      </c>
      <c r="CB4" s="2" t="str">
        <f t="shared" si="3"/>
        <v>CB</v>
      </c>
      <c r="CC4" s="2" t="str">
        <f t="shared" si="3"/>
        <v>CC</v>
      </c>
      <c r="CD4" s="2" t="str">
        <f t="shared" si="3"/>
        <v>CD</v>
      </c>
      <c r="CE4" s="2" t="str">
        <f t="shared" si="3"/>
        <v>CE</v>
      </c>
      <c r="CF4" s="2" t="str">
        <f t="shared" si="3"/>
        <v>CF</v>
      </c>
      <c r="CG4" s="2" t="str">
        <f t="shared" si="3"/>
        <v>CG</v>
      </c>
      <c r="CH4" s="2" t="str">
        <f t="shared" si="3"/>
        <v>CH</v>
      </c>
      <c r="CI4" s="2" t="str">
        <f t="shared" si="3"/>
        <v>CI</v>
      </c>
      <c r="CJ4" s="2" t="str">
        <f t="shared" si="3"/>
        <v>CJ</v>
      </c>
      <c r="CK4" s="2" t="str">
        <f t="shared" si="3"/>
        <v>CK</v>
      </c>
      <c r="CL4" s="2" t="str">
        <f t="shared" si="3"/>
        <v>CL</v>
      </c>
      <c r="CM4" s="2" t="str">
        <f t="shared" si="3"/>
        <v>CM</v>
      </c>
      <c r="CN4" s="2" t="str">
        <f t="shared" si="3"/>
        <v>CN</v>
      </c>
      <c r="CO4" s="2" t="str">
        <f t="shared" si="3"/>
        <v>CO</v>
      </c>
      <c r="CP4" s="2" t="str">
        <f t="shared" si="3"/>
        <v>CP</v>
      </c>
      <c r="CQ4" s="2" t="str">
        <f t="shared" si="3"/>
        <v>CQ</v>
      </c>
      <c r="CR4" s="2" t="str">
        <f t="shared" si="3"/>
        <v>CR</v>
      </c>
      <c r="CS4" s="2" t="str">
        <f t="shared" si="3"/>
        <v>CS</v>
      </c>
      <c r="CT4" s="2" t="str">
        <f t="shared" si="3"/>
        <v>CT</v>
      </c>
      <c r="CU4" s="2" t="str">
        <f t="shared" si="3"/>
        <v>CU</v>
      </c>
      <c r="CV4" s="2" t="str">
        <f t="shared" si="3"/>
        <v>CV</v>
      </c>
      <c r="CW4" s="2" t="str">
        <f t="shared" si="3"/>
        <v>CW</v>
      </c>
      <c r="CX4" s="2" t="str">
        <f t="shared" si="3"/>
        <v>CX</v>
      </c>
      <c r="CY4" s="2" t="str">
        <f t="shared" si="3"/>
        <v>CY</v>
      </c>
      <c r="CZ4" s="2" t="str">
        <f t="shared" si="3"/>
        <v>CZ</v>
      </c>
      <c r="DA4" s="2" t="str">
        <f t="shared" si="3"/>
        <v>DA</v>
      </c>
      <c r="DB4" s="2" t="str">
        <f t="shared" si="3"/>
        <v>DB</v>
      </c>
      <c r="DC4" s="2" t="str">
        <f t="shared" si="3"/>
        <v>DC</v>
      </c>
      <c r="DD4" s="2" t="str">
        <f t="shared" si="3"/>
        <v>DD</v>
      </c>
      <c r="DE4" s="2" t="str">
        <f t="shared" si="3"/>
        <v>DE</v>
      </c>
      <c r="DF4" s="2" t="str">
        <f t="shared" si="3"/>
        <v>DF</v>
      </c>
      <c r="DG4" s="2" t="str">
        <f t="shared" si="3"/>
        <v>DG</v>
      </c>
      <c r="DH4" s="2" t="str">
        <f t="shared" si="3"/>
        <v>DH</v>
      </c>
      <c r="DI4" s="2" t="str">
        <f t="shared" si="3"/>
        <v>DI</v>
      </c>
      <c r="DJ4" s="2" t="str">
        <f t="shared" si="3"/>
        <v>DJ</v>
      </c>
      <c r="DK4" s="2" t="str">
        <f t="shared" si="3"/>
        <v>DK</v>
      </c>
      <c r="DL4" s="2" t="str">
        <f t="shared" si="3"/>
        <v>DL</v>
      </c>
      <c r="DM4" s="2" t="str">
        <f t="shared" si="3"/>
        <v>DM</v>
      </c>
      <c r="DN4" s="2" t="str">
        <f t="shared" ref="DN4:DU4" si="4">+LEFT(LEFT(ADDRESS(1,COLUMN(),4),INT((COLUMN()+25)/26)),2)</f>
        <v>DN</v>
      </c>
      <c r="DO4" s="2" t="str">
        <f t="shared" si="4"/>
        <v>DO</v>
      </c>
      <c r="DP4" s="2" t="str">
        <f t="shared" si="4"/>
        <v>DP</v>
      </c>
      <c r="DQ4" s="2" t="str">
        <f t="shared" si="4"/>
        <v>DQ</v>
      </c>
      <c r="DR4" s="2" t="str">
        <f t="shared" si="4"/>
        <v>DR</v>
      </c>
      <c r="DS4" s="2" t="str">
        <f t="shared" si="4"/>
        <v>DS</v>
      </c>
      <c r="DT4" s="2" t="str">
        <f t="shared" si="4"/>
        <v>DT</v>
      </c>
      <c r="DU4" s="2" t="str">
        <f t="shared" si="4"/>
        <v>DU</v>
      </c>
    </row>
    <row r="5" spans="1:173" outlineLevel="1">
      <c r="F5" s="2">
        <f>F7</f>
        <v>1</v>
      </c>
      <c r="G5" s="2">
        <f t="shared" ref="G5:BP5" si="5">G7</f>
        <v>2</v>
      </c>
      <c r="H5" s="2">
        <f t="shared" si="5"/>
        <v>3</v>
      </c>
      <c r="I5" s="2">
        <f t="shared" si="5"/>
        <v>4</v>
      </c>
      <c r="J5" s="2">
        <f t="shared" si="5"/>
        <v>5</v>
      </c>
      <c r="K5" s="2">
        <f t="shared" si="5"/>
        <v>6</v>
      </c>
      <c r="L5" s="2">
        <f t="shared" si="5"/>
        <v>7</v>
      </c>
      <c r="M5" s="2">
        <f t="shared" si="5"/>
        <v>8</v>
      </c>
      <c r="N5" s="2">
        <f t="shared" si="5"/>
        <v>9</v>
      </c>
      <c r="O5" s="2">
        <f t="shared" si="5"/>
        <v>10</v>
      </c>
      <c r="P5" s="2">
        <f t="shared" si="5"/>
        <v>11</v>
      </c>
      <c r="Q5" s="2">
        <f t="shared" si="5"/>
        <v>12</v>
      </c>
      <c r="R5" s="2">
        <f t="shared" si="5"/>
        <v>13</v>
      </c>
      <c r="S5" s="2">
        <f t="shared" si="5"/>
        <v>14</v>
      </c>
      <c r="T5" s="2">
        <f t="shared" si="5"/>
        <v>15</v>
      </c>
      <c r="U5" s="2">
        <f t="shared" si="5"/>
        <v>16</v>
      </c>
      <c r="V5" s="2">
        <f t="shared" si="5"/>
        <v>17</v>
      </c>
      <c r="W5" s="2">
        <f t="shared" si="5"/>
        <v>18</v>
      </c>
      <c r="X5" s="2">
        <f t="shared" si="5"/>
        <v>19</v>
      </c>
      <c r="Y5" s="2">
        <f t="shared" si="5"/>
        <v>20</v>
      </c>
      <c r="Z5" s="2">
        <f t="shared" si="5"/>
        <v>21</v>
      </c>
      <c r="AA5" s="2">
        <f t="shared" si="5"/>
        <v>22</v>
      </c>
      <c r="AB5" s="2">
        <f t="shared" si="5"/>
        <v>23</v>
      </c>
      <c r="AC5" s="2">
        <f t="shared" si="5"/>
        <v>24</v>
      </c>
      <c r="AD5" s="2">
        <f t="shared" si="5"/>
        <v>25</v>
      </c>
      <c r="AE5" s="2">
        <f t="shared" si="5"/>
        <v>26</v>
      </c>
      <c r="AF5" s="2">
        <f t="shared" si="5"/>
        <v>27</v>
      </c>
      <c r="AG5" s="2">
        <f t="shared" si="5"/>
        <v>28</v>
      </c>
      <c r="AH5" s="2">
        <f t="shared" si="5"/>
        <v>29</v>
      </c>
      <c r="AI5" s="2">
        <f t="shared" si="5"/>
        <v>30</v>
      </c>
      <c r="AJ5" s="2">
        <f t="shared" si="5"/>
        <v>31</v>
      </c>
      <c r="AK5" s="2">
        <f t="shared" si="5"/>
        <v>32</v>
      </c>
      <c r="AL5" s="2">
        <f t="shared" si="5"/>
        <v>33</v>
      </c>
      <c r="AM5" s="2">
        <f t="shared" si="5"/>
        <v>34</v>
      </c>
      <c r="AN5" s="2">
        <f t="shared" si="5"/>
        <v>35</v>
      </c>
      <c r="AO5" s="2">
        <f t="shared" si="5"/>
        <v>36</v>
      </c>
      <c r="AP5" s="2">
        <f t="shared" si="5"/>
        <v>37</v>
      </c>
      <c r="AQ5" s="2">
        <f t="shared" si="5"/>
        <v>38</v>
      </c>
      <c r="AR5" s="2">
        <f t="shared" si="5"/>
        <v>39</v>
      </c>
      <c r="AS5" s="2">
        <f t="shared" si="5"/>
        <v>40</v>
      </c>
      <c r="AT5" s="2">
        <f t="shared" si="5"/>
        <v>41</v>
      </c>
      <c r="AU5" s="2">
        <f t="shared" si="5"/>
        <v>42</v>
      </c>
      <c r="AV5" s="2">
        <f t="shared" si="5"/>
        <v>43</v>
      </c>
      <c r="AW5" s="2">
        <f t="shared" si="5"/>
        <v>44</v>
      </c>
      <c r="AX5" s="2">
        <f t="shared" si="5"/>
        <v>45</v>
      </c>
      <c r="AY5" s="2">
        <f t="shared" si="5"/>
        <v>46</v>
      </c>
      <c r="AZ5" s="2">
        <f t="shared" si="5"/>
        <v>47</v>
      </c>
      <c r="BA5" s="2">
        <f t="shared" si="5"/>
        <v>48</v>
      </c>
      <c r="BB5" s="2">
        <f t="shared" si="5"/>
        <v>49</v>
      </c>
      <c r="BC5" s="2">
        <f t="shared" si="5"/>
        <v>50</v>
      </c>
      <c r="BD5" s="2">
        <f t="shared" si="5"/>
        <v>51</v>
      </c>
      <c r="BE5" s="2">
        <f t="shared" si="5"/>
        <v>52</v>
      </c>
      <c r="BF5" s="2">
        <f t="shared" si="5"/>
        <v>53</v>
      </c>
      <c r="BG5" s="2">
        <f t="shared" si="5"/>
        <v>54</v>
      </c>
      <c r="BH5" s="2">
        <f t="shared" si="5"/>
        <v>55</v>
      </c>
      <c r="BI5" s="2">
        <f t="shared" si="5"/>
        <v>56</v>
      </c>
      <c r="BJ5" s="2">
        <f t="shared" si="5"/>
        <v>57</v>
      </c>
      <c r="BK5" s="2">
        <f t="shared" si="5"/>
        <v>58</v>
      </c>
      <c r="BL5" s="2">
        <f t="shared" si="5"/>
        <v>59</v>
      </c>
      <c r="BM5" s="2">
        <f t="shared" si="5"/>
        <v>60</v>
      </c>
      <c r="BN5" s="2">
        <f t="shared" si="5"/>
        <v>61</v>
      </c>
      <c r="BO5" s="2">
        <f t="shared" si="5"/>
        <v>62</v>
      </c>
      <c r="BP5" s="2">
        <f t="shared" si="5"/>
        <v>63</v>
      </c>
      <c r="BQ5" s="2">
        <f t="shared" ref="BQ5:DU5" si="6">BQ7</f>
        <v>64</v>
      </c>
      <c r="BR5" s="2">
        <f t="shared" si="6"/>
        <v>65</v>
      </c>
      <c r="BS5" s="2">
        <f t="shared" si="6"/>
        <v>66</v>
      </c>
      <c r="BT5" s="2">
        <f t="shared" si="6"/>
        <v>67</v>
      </c>
      <c r="BU5" s="2">
        <f t="shared" si="6"/>
        <v>68</v>
      </c>
      <c r="BV5" s="2">
        <f t="shared" si="6"/>
        <v>69</v>
      </c>
      <c r="BW5" s="2">
        <f t="shared" si="6"/>
        <v>70</v>
      </c>
      <c r="BX5" s="2">
        <f t="shared" si="6"/>
        <v>71</v>
      </c>
      <c r="BY5" s="2">
        <f t="shared" si="6"/>
        <v>72</v>
      </c>
      <c r="BZ5" s="2">
        <f t="shared" si="6"/>
        <v>73</v>
      </c>
      <c r="CA5" s="2">
        <f t="shared" si="6"/>
        <v>74</v>
      </c>
      <c r="CB5" s="2">
        <f t="shared" si="6"/>
        <v>75</v>
      </c>
      <c r="CC5" s="2">
        <f t="shared" si="6"/>
        <v>76</v>
      </c>
      <c r="CD5" s="2">
        <f t="shared" si="6"/>
        <v>77</v>
      </c>
      <c r="CE5" s="2">
        <f t="shared" si="6"/>
        <v>78</v>
      </c>
      <c r="CF5" s="2">
        <f t="shared" si="6"/>
        <v>79</v>
      </c>
      <c r="CG5" s="2">
        <f t="shared" si="6"/>
        <v>80</v>
      </c>
      <c r="CH5" s="2">
        <f t="shared" si="6"/>
        <v>81</v>
      </c>
      <c r="CI5" s="2">
        <f t="shared" si="6"/>
        <v>82</v>
      </c>
      <c r="CJ5" s="2">
        <f t="shared" si="6"/>
        <v>83</v>
      </c>
      <c r="CK5" s="2">
        <f t="shared" si="6"/>
        <v>84</v>
      </c>
      <c r="CL5" s="2">
        <f t="shared" si="6"/>
        <v>85</v>
      </c>
      <c r="CM5" s="2">
        <f t="shared" si="6"/>
        <v>86</v>
      </c>
      <c r="CN5" s="2">
        <f t="shared" si="6"/>
        <v>87</v>
      </c>
      <c r="CO5" s="2">
        <f t="shared" si="6"/>
        <v>88</v>
      </c>
      <c r="CP5" s="2">
        <f t="shared" si="6"/>
        <v>89</v>
      </c>
      <c r="CQ5" s="2">
        <f t="shared" si="6"/>
        <v>90</v>
      </c>
      <c r="CR5" s="2">
        <f t="shared" si="6"/>
        <v>91</v>
      </c>
      <c r="CS5" s="2">
        <f t="shared" si="6"/>
        <v>92</v>
      </c>
      <c r="CT5" s="2">
        <f t="shared" si="6"/>
        <v>93</v>
      </c>
      <c r="CU5" s="2">
        <f t="shared" si="6"/>
        <v>94</v>
      </c>
      <c r="CV5" s="2">
        <f t="shared" si="6"/>
        <v>95</v>
      </c>
      <c r="CW5" s="2">
        <f t="shared" si="6"/>
        <v>96</v>
      </c>
      <c r="CX5" s="2">
        <f t="shared" si="6"/>
        <v>97</v>
      </c>
      <c r="CY5" s="2">
        <f t="shared" si="6"/>
        <v>98</v>
      </c>
      <c r="CZ5" s="2">
        <f t="shared" si="6"/>
        <v>99</v>
      </c>
      <c r="DA5" s="2">
        <f t="shared" si="6"/>
        <v>100</v>
      </c>
      <c r="DB5" s="2">
        <f t="shared" si="6"/>
        <v>101</v>
      </c>
      <c r="DC5" s="2">
        <f t="shared" si="6"/>
        <v>102</v>
      </c>
      <c r="DD5" s="2">
        <f t="shared" si="6"/>
        <v>103</v>
      </c>
      <c r="DE5" s="2">
        <f t="shared" si="6"/>
        <v>104</v>
      </c>
      <c r="DF5" s="2">
        <f t="shared" si="6"/>
        <v>105</v>
      </c>
      <c r="DG5" s="2">
        <f t="shared" si="6"/>
        <v>106</v>
      </c>
      <c r="DH5" s="2">
        <f t="shared" si="6"/>
        <v>107</v>
      </c>
      <c r="DI5" s="2">
        <f t="shared" si="6"/>
        <v>108</v>
      </c>
      <c r="DJ5" s="2">
        <f t="shared" si="6"/>
        <v>109</v>
      </c>
      <c r="DK5" s="2">
        <f t="shared" si="6"/>
        <v>110</v>
      </c>
      <c r="DL5" s="2">
        <f t="shared" si="6"/>
        <v>111</v>
      </c>
      <c r="DM5" s="2">
        <f t="shared" si="6"/>
        <v>112</v>
      </c>
      <c r="DN5" s="2">
        <f t="shared" si="6"/>
        <v>113</v>
      </c>
      <c r="DO5" s="2">
        <f t="shared" si="6"/>
        <v>114</v>
      </c>
      <c r="DP5" s="2">
        <f t="shared" si="6"/>
        <v>115</v>
      </c>
      <c r="DQ5" s="2">
        <f t="shared" si="6"/>
        <v>116</v>
      </c>
      <c r="DU5" s="2">
        <f t="shared" si="6"/>
        <v>120</v>
      </c>
    </row>
    <row r="6" spans="1:173">
      <c r="C6" s="2" t="s">
        <v>566</v>
      </c>
      <c r="E6" s="11">
        <v>25.4</v>
      </c>
      <c r="F6" s="11">
        <f>E6</f>
        <v>25.4</v>
      </c>
      <c r="G6" s="11">
        <f>F6</f>
        <v>25.4</v>
      </c>
      <c r="H6" s="11">
        <f t="shared" ref="H6:AR6" si="7">G6</f>
        <v>25.4</v>
      </c>
      <c r="I6" s="11">
        <f t="shared" si="7"/>
        <v>25.4</v>
      </c>
      <c r="J6" s="11">
        <f t="shared" si="7"/>
        <v>25.4</v>
      </c>
      <c r="K6" s="11">
        <f t="shared" si="7"/>
        <v>25.4</v>
      </c>
      <c r="L6" s="11">
        <f t="shared" si="7"/>
        <v>25.4</v>
      </c>
      <c r="M6" s="11">
        <f t="shared" si="7"/>
        <v>25.4</v>
      </c>
      <c r="N6" s="11">
        <f t="shared" si="7"/>
        <v>25.4</v>
      </c>
      <c r="O6" s="11">
        <f t="shared" si="7"/>
        <v>25.4</v>
      </c>
      <c r="P6" s="11">
        <f t="shared" si="7"/>
        <v>25.4</v>
      </c>
      <c r="Q6" s="11">
        <f t="shared" si="7"/>
        <v>25.4</v>
      </c>
      <c r="R6" s="11">
        <f t="shared" si="7"/>
        <v>25.4</v>
      </c>
      <c r="S6" s="11">
        <f t="shared" si="7"/>
        <v>25.4</v>
      </c>
      <c r="T6" s="11">
        <f t="shared" si="7"/>
        <v>25.4</v>
      </c>
      <c r="U6" s="11">
        <f t="shared" si="7"/>
        <v>25.4</v>
      </c>
      <c r="V6" s="11">
        <f t="shared" si="7"/>
        <v>25.4</v>
      </c>
      <c r="W6" s="11">
        <f t="shared" si="7"/>
        <v>25.4</v>
      </c>
      <c r="X6" s="11">
        <f t="shared" si="7"/>
        <v>25.4</v>
      </c>
      <c r="Y6" s="11">
        <f t="shared" si="7"/>
        <v>25.4</v>
      </c>
      <c r="Z6" s="11">
        <f t="shared" si="7"/>
        <v>25.4</v>
      </c>
      <c r="AA6" s="11">
        <f t="shared" si="7"/>
        <v>25.4</v>
      </c>
      <c r="AB6" s="11">
        <f t="shared" si="7"/>
        <v>25.4</v>
      </c>
      <c r="AC6" s="11">
        <f t="shared" si="7"/>
        <v>25.4</v>
      </c>
      <c r="AD6" s="11">
        <f t="shared" si="7"/>
        <v>25.4</v>
      </c>
      <c r="AE6" s="11">
        <f t="shared" si="7"/>
        <v>25.4</v>
      </c>
      <c r="AF6" s="11">
        <f t="shared" si="7"/>
        <v>25.4</v>
      </c>
      <c r="AG6" s="11">
        <f t="shared" si="7"/>
        <v>25.4</v>
      </c>
      <c r="AH6" s="11">
        <f t="shared" si="7"/>
        <v>25.4</v>
      </c>
      <c r="AI6" s="11">
        <f t="shared" si="7"/>
        <v>25.4</v>
      </c>
      <c r="AJ6" s="11">
        <f t="shared" si="7"/>
        <v>25.4</v>
      </c>
      <c r="AK6" s="11">
        <f t="shared" si="7"/>
        <v>25.4</v>
      </c>
      <c r="AL6" s="177">
        <v>24.95</v>
      </c>
      <c r="AM6" s="177">
        <f t="shared" si="7"/>
        <v>24.95</v>
      </c>
      <c r="AN6" s="177">
        <f t="shared" si="7"/>
        <v>24.95</v>
      </c>
      <c r="AO6" s="177">
        <f t="shared" si="7"/>
        <v>24.95</v>
      </c>
      <c r="AP6" s="177">
        <f t="shared" si="7"/>
        <v>24.95</v>
      </c>
      <c r="AQ6" s="177">
        <f t="shared" si="7"/>
        <v>24.95</v>
      </c>
      <c r="AR6" s="177">
        <f t="shared" si="7"/>
        <v>24.95</v>
      </c>
      <c r="AS6" s="177">
        <f t="shared" ref="AS6:BC6" si="8">AR6</f>
        <v>24.95</v>
      </c>
      <c r="AT6" s="177">
        <f t="shared" si="8"/>
        <v>24.95</v>
      </c>
      <c r="AU6" s="177">
        <f t="shared" si="8"/>
        <v>24.95</v>
      </c>
      <c r="AV6" s="177">
        <f t="shared" si="8"/>
        <v>24.95</v>
      </c>
      <c r="AW6" s="177">
        <f t="shared" si="8"/>
        <v>24.95</v>
      </c>
      <c r="AX6" s="177">
        <f t="shared" si="8"/>
        <v>24.95</v>
      </c>
      <c r="AY6" s="177">
        <f t="shared" si="8"/>
        <v>24.95</v>
      </c>
      <c r="AZ6" s="177">
        <f t="shared" si="8"/>
        <v>24.95</v>
      </c>
      <c r="BA6" s="177">
        <f t="shared" si="8"/>
        <v>24.95</v>
      </c>
      <c r="BB6" s="177">
        <f t="shared" si="8"/>
        <v>24.95</v>
      </c>
      <c r="BC6" s="177">
        <f t="shared" si="8"/>
        <v>24.95</v>
      </c>
      <c r="BD6" s="2">
        <v>25.24</v>
      </c>
      <c r="BE6" s="2">
        <f t="shared" ref="BE6:CJ6" si="9">BD6</f>
        <v>25.24</v>
      </c>
      <c r="BF6" s="2">
        <f t="shared" si="9"/>
        <v>25.24</v>
      </c>
      <c r="BG6" s="2">
        <f t="shared" si="9"/>
        <v>25.24</v>
      </c>
      <c r="BH6" s="2">
        <f t="shared" si="9"/>
        <v>25.24</v>
      </c>
      <c r="BI6" s="2">
        <f t="shared" si="9"/>
        <v>25.24</v>
      </c>
      <c r="BJ6" s="2">
        <f t="shared" si="9"/>
        <v>25.24</v>
      </c>
      <c r="BK6" s="2">
        <f t="shared" si="9"/>
        <v>25.24</v>
      </c>
      <c r="BL6" s="2">
        <f t="shared" si="9"/>
        <v>25.24</v>
      </c>
      <c r="BM6" s="2">
        <f t="shared" si="9"/>
        <v>25.24</v>
      </c>
      <c r="BN6" s="2">
        <f t="shared" si="9"/>
        <v>25.24</v>
      </c>
      <c r="BO6" s="2">
        <f t="shared" si="9"/>
        <v>25.24</v>
      </c>
      <c r="BP6" s="2">
        <f t="shared" si="9"/>
        <v>25.24</v>
      </c>
      <c r="BQ6" s="2">
        <f t="shared" si="9"/>
        <v>25.24</v>
      </c>
      <c r="BR6" s="2">
        <f t="shared" si="9"/>
        <v>25.24</v>
      </c>
      <c r="BS6" s="2">
        <f t="shared" si="9"/>
        <v>25.24</v>
      </c>
      <c r="BT6" s="2">
        <f t="shared" si="9"/>
        <v>25.24</v>
      </c>
      <c r="BU6" s="2">
        <f t="shared" si="9"/>
        <v>25.24</v>
      </c>
      <c r="BV6" s="2">
        <f t="shared" si="9"/>
        <v>25.24</v>
      </c>
      <c r="BW6" s="2">
        <f t="shared" si="9"/>
        <v>25.24</v>
      </c>
      <c r="BX6" s="2">
        <f t="shared" si="9"/>
        <v>25.24</v>
      </c>
      <c r="BY6" s="2">
        <f t="shared" si="9"/>
        <v>25.24</v>
      </c>
      <c r="BZ6" s="2">
        <f t="shared" si="9"/>
        <v>25.24</v>
      </c>
      <c r="CA6" s="2">
        <f t="shared" si="9"/>
        <v>25.24</v>
      </c>
      <c r="CB6" s="2">
        <f t="shared" si="9"/>
        <v>25.24</v>
      </c>
      <c r="CC6" s="2">
        <f t="shared" si="9"/>
        <v>25.24</v>
      </c>
      <c r="CD6" s="2">
        <f t="shared" si="9"/>
        <v>25.24</v>
      </c>
      <c r="CE6" s="2">
        <f t="shared" si="9"/>
        <v>25.24</v>
      </c>
      <c r="CF6" s="2">
        <f t="shared" si="9"/>
        <v>25.24</v>
      </c>
      <c r="CG6" s="2">
        <f t="shared" si="9"/>
        <v>25.24</v>
      </c>
      <c r="CH6" s="2">
        <f t="shared" si="9"/>
        <v>25.24</v>
      </c>
      <c r="CI6" s="2">
        <f t="shared" si="9"/>
        <v>25.24</v>
      </c>
      <c r="CJ6" s="2">
        <f t="shared" si="9"/>
        <v>25.24</v>
      </c>
      <c r="CK6" s="2">
        <f t="shared" ref="CK6:DQ6" si="10">CJ6</f>
        <v>25.24</v>
      </c>
      <c r="CL6" s="2">
        <f t="shared" si="10"/>
        <v>25.24</v>
      </c>
      <c r="CM6" s="2">
        <f t="shared" si="10"/>
        <v>25.24</v>
      </c>
      <c r="CN6" s="2">
        <f t="shared" si="10"/>
        <v>25.24</v>
      </c>
      <c r="CO6" s="2">
        <f t="shared" si="10"/>
        <v>25.24</v>
      </c>
      <c r="CP6" s="2">
        <f t="shared" si="10"/>
        <v>25.24</v>
      </c>
      <c r="CQ6" s="2">
        <f t="shared" si="10"/>
        <v>25.24</v>
      </c>
      <c r="CR6" s="2">
        <f t="shared" si="10"/>
        <v>25.24</v>
      </c>
      <c r="CS6" s="2">
        <f t="shared" si="10"/>
        <v>25.24</v>
      </c>
      <c r="CT6" s="2">
        <f t="shared" si="10"/>
        <v>25.24</v>
      </c>
      <c r="CU6" s="2">
        <f t="shared" si="10"/>
        <v>25.24</v>
      </c>
      <c r="CV6" s="2">
        <f t="shared" si="10"/>
        <v>25.24</v>
      </c>
      <c r="CW6" s="2">
        <f t="shared" si="10"/>
        <v>25.24</v>
      </c>
      <c r="CX6" s="2">
        <f t="shared" si="10"/>
        <v>25.24</v>
      </c>
      <c r="CY6" s="2">
        <f t="shared" si="10"/>
        <v>25.24</v>
      </c>
      <c r="CZ6" s="2">
        <f t="shared" si="10"/>
        <v>25.24</v>
      </c>
      <c r="DA6" s="2">
        <f t="shared" si="10"/>
        <v>25.24</v>
      </c>
      <c r="DB6" s="2">
        <f t="shared" si="10"/>
        <v>25.24</v>
      </c>
      <c r="DC6" s="2">
        <f t="shared" si="10"/>
        <v>25.24</v>
      </c>
      <c r="DD6" s="2">
        <f t="shared" si="10"/>
        <v>25.24</v>
      </c>
      <c r="DE6" s="2">
        <f t="shared" si="10"/>
        <v>25.24</v>
      </c>
      <c r="DF6" s="2">
        <f t="shared" si="10"/>
        <v>25.24</v>
      </c>
      <c r="DG6" s="2">
        <f t="shared" si="10"/>
        <v>25.24</v>
      </c>
      <c r="DH6" s="2">
        <f t="shared" si="10"/>
        <v>25.24</v>
      </c>
      <c r="DI6" s="2">
        <f t="shared" si="10"/>
        <v>25.24</v>
      </c>
      <c r="DJ6" s="2">
        <f t="shared" si="10"/>
        <v>25.24</v>
      </c>
      <c r="DK6" s="2">
        <f t="shared" si="10"/>
        <v>25.24</v>
      </c>
      <c r="DL6" s="2">
        <f t="shared" si="10"/>
        <v>25.24</v>
      </c>
      <c r="DM6" s="2">
        <f t="shared" si="10"/>
        <v>25.24</v>
      </c>
      <c r="DN6" s="2">
        <f t="shared" si="10"/>
        <v>25.24</v>
      </c>
      <c r="DO6" s="2">
        <f t="shared" si="10"/>
        <v>25.24</v>
      </c>
      <c r="DP6" s="2">
        <f t="shared" si="10"/>
        <v>25.24</v>
      </c>
      <c r="DQ6" s="2">
        <f t="shared" si="10"/>
        <v>25.24</v>
      </c>
      <c r="DR6" s="2">
        <f>DQ6</f>
        <v>25.24</v>
      </c>
      <c r="DS6" s="2">
        <f>DR6</f>
        <v>25.24</v>
      </c>
      <c r="DT6" s="2">
        <f>DS6</f>
        <v>25.24</v>
      </c>
      <c r="DU6" s="2">
        <f>DT6</f>
        <v>25.24</v>
      </c>
      <c r="FF6" s="5">
        <v>44878</v>
      </c>
      <c r="FG6" s="5">
        <f>FF7+1</f>
        <v>44896</v>
      </c>
      <c r="FH6" s="5">
        <f>FG7+1</f>
        <v>44927</v>
      </c>
      <c r="FI6" s="5">
        <f>FH7+1</f>
        <v>44958</v>
      </c>
      <c r="FJ6" s="5">
        <f>FI7+1</f>
        <v>44986</v>
      </c>
      <c r="FK6" s="2"/>
    </row>
    <row r="7" spans="1:173">
      <c r="E7" s="2" t="s">
        <v>253</v>
      </c>
      <c r="F7" s="2">
        <v>1</v>
      </c>
      <c r="G7" s="2">
        <v>2</v>
      </c>
      <c r="H7" s="2">
        <v>3</v>
      </c>
      <c r="I7" s="2">
        <v>4</v>
      </c>
      <c r="J7" s="2">
        <v>5</v>
      </c>
      <c r="K7" s="2">
        <v>6</v>
      </c>
      <c r="L7" s="2">
        <v>7</v>
      </c>
      <c r="M7" s="2">
        <v>8</v>
      </c>
      <c r="N7" s="2">
        <v>9</v>
      </c>
      <c r="O7" s="2">
        <v>10</v>
      </c>
      <c r="P7" s="2">
        <v>11</v>
      </c>
      <c r="Q7" s="2">
        <v>12</v>
      </c>
      <c r="R7" s="2">
        <v>13</v>
      </c>
      <c r="S7" s="2">
        <v>14</v>
      </c>
      <c r="T7" s="2">
        <v>15</v>
      </c>
      <c r="U7" s="2">
        <v>16</v>
      </c>
      <c r="V7" s="2">
        <v>17</v>
      </c>
      <c r="W7" s="2">
        <v>18</v>
      </c>
      <c r="X7" s="2">
        <v>19</v>
      </c>
      <c r="Y7" s="2">
        <v>20</v>
      </c>
      <c r="Z7" s="2">
        <v>21</v>
      </c>
      <c r="AA7" s="2">
        <v>22</v>
      </c>
      <c r="AB7" s="2">
        <v>23</v>
      </c>
      <c r="AC7" s="2">
        <v>24</v>
      </c>
      <c r="AD7" s="2">
        <v>25</v>
      </c>
      <c r="AE7" s="2">
        <v>26</v>
      </c>
      <c r="AF7" s="2">
        <v>27</v>
      </c>
      <c r="AG7" s="2">
        <v>28</v>
      </c>
      <c r="AH7" s="2">
        <v>29</v>
      </c>
      <c r="AI7" s="2">
        <v>30</v>
      </c>
      <c r="AJ7" s="2">
        <v>31</v>
      </c>
      <c r="AK7" s="2">
        <v>32</v>
      </c>
      <c r="AL7" s="2">
        <v>33</v>
      </c>
      <c r="AM7" s="2">
        <v>34</v>
      </c>
      <c r="AN7" s="2">
        <v>35</v>
      </c>
      <c r="AO7" s="2">
        <v>36</v>
      </c>
      <c r="AP7" s="2">
        <v>37</v>
      </c>
      <c r="AQ7" s="2">
        <v>38</v>
      </c>
      <c r="AR7" s="2">
        <v>39</v>
      </c>
      <c r="AS7" s="2">
        <v>40</v>
      </c>
      <c r="AT7" s="2">
        <v>41</v>
      </c>
      <c r="AU7" s="2">
        <v>42</v>
      </c>
      <c r="AV7" s="2">
        <v>43</v>
      </c>
      <c r="AW7" s="2">
        <v>44</v>
      </c>
      <c r="AX7" s="2">
        <v>45</v>
      </c>
      <c r="AY7" s="2">
        <v>46</v>
      </c>
      <c r="AZ7" s="2">
        <v>47</v>
      </c>
      <c r="BA7" s="2">
        <v>48</v>
      </c>
      <c r="BB7" s="2">
        <v>49</v>
      </c>
      <c r="BC7" s="2">
        <v>50</v>
      </c>
      <c r="BD7" s="2">
        <v>51</v>
      </c>
      <c r="BE7" s="2">
        <v>52</v>
      </c>
      <c r="BF7" s="2">
        <v>53</v>
      </c>
      <c r="BG7" s="2">
        <v>54</v>
      </c>
      <c r="BH7" s="2">
        <v>55</v>
      </c>
      <c r="BI7" s="2">
        <v>56</v>
      </c>
      <c r="BJ7" s="2">
        <v>57</v>
      </c>
      <c r="BK7" s="2">
        <v>58</v>
      </c>
      <c r="BL7" s="2">
        <v>59</v>
      </c>
      <c r="BM7" s="2">
        <v>60</v>
      </c>
      <c r="BN7" s="2">
        <v>61</v>
      </c>
      <c r="BO7" s="2">
        <v>62</v>
      </c>
      <c r="BP7" s="2">
        <v>63</v>
      </c>
      <c r="BQ7" s="2">
        <v>64</v>
      </c>
      <c r="BR7" s="2">
        <v>65</v>
      </c>
      <c r="BS7" s="2">
        <v>66</v>
      </c>
      <c r="BT7" s="2">
        <v>67</v>
      </c>
      <c r="BU7" s="2">
        <v>68</v>
      </c>
      <c r="BV7" s="2">
        <v>69</v>
      </c>
      <c r="BW7" s="2">
        <v>70</v>
      </c>
      <c r="BX7" s="2">
        <v>71</v>
      </c>
      <c r="BY7" s="2">
        <v>72</v>
      </c>
      <c r="BZ7" s="2">
        <v>73</v>
      </c>
      <c r="CA7" s="2">
        <v>74</v>
      </c>
      <c r="CB7" s="2">
        <v>75</v>
      </c>
      <c r="CC7" s="2">
        <v>76</v>
      </c>
      <c r="CD7" s="2">
        <v>77</v>
      </c>
      <c r="CE7" s="2">
        <v>78</v>
      </c>
      <c r="CF7" s="2">
        <v>79</v>
      </c>
      <c r="CG7" s="2">
        <v>80</v>
      </c>
      <c r="CH7" s="2">
        <v>81</v>
      </c>
      <c r="CI7" s="2">
        <v>82</v>
      </c>
      <c r="CJ7" s="2">
        <v>83</v>
      </c>
      <c r="CK7" s="2">
        <v>84</v>
      </c>
      <c r="CL7" s="2">
        <v>85</v>
      </c>
      <c r="CM7" s="2">
        <v>86</v>
      </c>
      <c r="CN7" s="2">
        <v>87</v>
      </c>
      <c r="CO7" s="2">
        <v>88</v>
      </c>
      <c r="CP7" s="2">
        <v>89</v>
      </c>
      <c r="CQ7" s="2">
        <v>90</v>
      </c>
      <c r="CR7" s="2">
        <v>91</v>
      </c>
      <c r="CS7" s="2">
        <v>92</v>
      </c>
      <c r="CT7" s="2">
        <v>93</v>
      </c>
      <c r="CU7" s="2">
        <v>94</v>
      </c>
      <c r="CV7" s="2">
        <v>95</v>
      </c>
      <c r="CW7" s="2">
        <v>96</v>
      </c>
      <c r="CX7" s="2">
        <v>97</v>
      </c>
      <c r="CY7" s="2">
        <v>98</v>
      </c>
      <c r="CZ7" s="2">
        <v>99</v>
      </c>
      <c r="DA7" s="2">
        <v>100</v>
      </c>
      <c r="DB7" s="2">
        <v>101</v>
      </c>
      <c r="DC7" s="2">
        <v>102</v>
      </c>
      <c r="DD7" s="2">
        <v>103</v>
      </c>
      <c r="DE7" s="2">
        <v>104</v>
      </c>
      <c r="DF7" s="2">
        <v>105</v>
      </c>
      <c r="DG7" s="2">
        <v>106</v>
      </c>
      <c r="DH7" s="2">
        <v>107</v>
      </c>
      <c r="DI7" s="2">
        <v>108</v>
      </c>
      <c r="DJ7" s="2">
        <v>109</v>
      </c>
      <c r="DK7" s="2">
        <v>110</v>
      </c>
      <c r="DL7" s="2">
        <v>111</v>
      </c>
      <c r="DM7" s="2">
        <v>112</v>
      </c>
      <c r="DN7" s="2">
        <v>113</v>
      </c>
      <c r="DO7" s="2">
        <v>114</v>
      </c>
      <c r="DP7" s="2">
        <v>115</v>
      </c>
      <c r="DQ7" s="2">
        <v>116</v>
      </c>
      <c r="DR7" s="2">
        <v>117</v>
      </c>
      <c r="DS7" s="2">
        <v>118</v>
      </c>
      <c r="DT7" s="2">
        <v>119</v>
      </c>
      <c r="DU7" s="2">
        <v>120</v>
      </c>
      <c r="DX7" s="2">
        <f>2879/25</f>
        <v>115.16</v>
      </c>
      <c r="FF7" s="397">
        <v>44895</v>
      </c>
      <c r="FG7" s="397">
        <v>44926</v>
      </c>
      <c r="FH7" s="397">
        <v>44957</v>
      </c>
      <c r="FI7" s="397">
        <v>44985</v>
      </c>
      <c r="FJ7" s="397">
        <v>44997</v>
      </c>
      <c r="FK7" s="2"/>
    </row>
    <row r="8" spans="1:173">
      <c r="E8" s="2" t="str">
        <f t="shared" ref="E8:AJ8" si="11">HLOOKUP(WEEKDAY(E9,2),$F$1:$M$2,2)</f>
        <v>Sam</v>
      </c>
      <c r="F8" s="2" t="str">
        <f t="shared" si="11"/>
        <v>Dim</v>
      </c>
      <c r="G8" s="2" t="str">
        <f t="shared" si="11"/>
        <v>Lundi</v>
      </c>
      <c r="H8" s="2" t="str">
        <f t="shared" si="11"/>
        <v>mardi</v>
      </c>
      <c r="I8" s="2" t="str">
        <f t="shared" si="11"/>
        <v>Mer</v>
      </c>
      <c r="J8" s="2" t="str">
        <f t="shared" si="11"/>
        <v>Jeu</v>
      </c>
      <c r="K8" s="2" t="str">
        <f t="shared" si="11"/>
        <v>Ven</v>
      </c>
      <c r="L8" s="2" t="str">
        <f t="shared" si="11"/>
        <v>Sam</v>
      </c>
      <c r="M8" s="2" t="str">
        <f t="shared" si="11"/>
        <v>Dim</v>
      </c>
      <c r="N8" s="2" t="str">
        <f t="shared" si="11"/>
        <v>Lundi</v>
      </c>
      <c r="O8" s="2" t="str">
        <f t="shared" si="11"/>
        <v>mardi</v>
      </c>
      <c r="P8" s="2" t="str">
        <f t="shared" si="11"/>
        <v>Mer</v>
      </c>
      <c r="Q8" s="2" t="str">
        <f t="shared" si="11"/>
        <v>Jeu</v>
      </c>
      <c r="R8" s="2" t="str">
        <f t="shared" si="11"/>
        <v>Ven</v>
      </c>
      <c r="S8" s="2" t="str">
        <f t="shared" si="11"/>
        <v>Sam</v>
      </c>
      <c r="T8" s="2" t="str">
        <f t="shared" si="11"/>
        <v>Dim</v>
      </c>
      <c r="U8" s="2" t="str">
        <f t="shared" si="11"/>
        <v>Lundi</v>
      </c>
      <c r="V8" s="2" t="str">
        <f t="shared" si="11"/>
        <v>mardi</v>
      </c>
      <c r="W8" s="2" t="str">
        <f t="shared" si="11"/>
        <v>Mer</v>
      </c>
      <c r="X8" s="2" t="str">
        <f t="shared" si="11"/>
        <v>Jeu</v>
      </c>
      <c r="Y8" s="2" t="str">
        <f t="shared" si="11"/>
        <v>Ven</v>
      </c>
      <c r="Z8" s="2" t="str">
        <f t="shared" si="11"/>
        <v>Sam</v>
      </c>
      <c r="AA8" s="2" t="str">
        <f t="shared" si="11"/>
        <v>Dim</v>
      </c>
      <c r="AB8" s="2" t="str">
        <f t="shared" si="11"/>
        <v>Lundi</v>
      </c>
      <c r="AC8" s="2" t="str">
        <f t="shared" si="11"/>
        <v>mardi</v>
      </c>
      <c r="AD8" s="2" t="str">
        <f t="shared" si="11"/>
        <v>Mer</v>
      </c>
      <c r="AE8" s="2" t="str">
        <f t="shared" si="11"/>
        <v>Jeu</v>
      </c>
      <c r="AF8" s="2" t="str">
        <f t="shared" si="11"/>
        <v>Ven</v>
      </c>
      <c r="AG8" s="2" t="str">
        <f t="shared" si="11"/>
        <v>Sam</v>
      </c>
      <c r="AH8" s="2" t="str">
        <f t="shared" si="11"/>
        <v>Dim</v>
      </c>
      <c r="AI8" s="2" t="str">
        <f t="shared" si="11"/>
        <v>Lundi</v>
      </c>
      <c r="AJ8" s="2" t="str">
        <f t="shared" si="11"/>
        <v>mardi</v>
      </c>
      <c r="AK8" s="2" t="str">
        <f t="shared" ref="AK8:BP8" si="12">HLOOKUP(WEEKDAY(AK9,2),$F$1:$M$2,2)</f>
        <v>Mer</v>
      </c>
      <c r="AL8" s="2" t="str">
        <f t="shared" si="12"/>
        <v>Jeu</v>
      </c>
      <c r="AM8" s="2" t="str">
        <f t="shared" si="12"/>
        <v>Ven</v>
      </c>
      <c r="AN8" s="2" t="str">
        <f t="shared" si="12"/>
        <v>Sam</v>
      </c>
      <c r="AO8" s="2" t="str">
        <f t="shared" si="12"/>
        <v>Dim</v>
      </c>
      <c r="AP8" s="2" t="str">
        <f t="shared" si="12"/>
        <v>Lundi</v>
      </c>
      <c r="AQ8" s="2" t="str">
        <f t="shared" si="12"/>
        <v>mardi</v>
      </c>
      <c r="AR8" s="2" t="str">
        <f t="shared" si="12"/>
        <v>Mer</v>
      </c>
      <c r="AS8" s="2" t="str">
        <f t="shared" si="12"/>
        <v>Jeu</v>
      </c>
      <c r="AT8" s="2" t="str">
        <f t="shared" si="12"/>
        <v>Ven</v>
      </c>
      <c r="AU8" s="2" t="str">
        <f t="shared" si="12"/>
        <v>Sam</v>
      </c>
      <c r="AV8" s="2" t="str">
        <f t="shared" si="12"/>
        <v>Dim</v>
      </c>
      <c r="AW8" s="2" t="str">
        <f t="shared" si="12"/>
        <v>Lundi</v>
      </c>
      <c r="AX8" s="2" t="str">
        <f t="shared" si="12"/>
        <v>mardi</v>
      </c>
      <c r="AY8" s="2" t="str">
        <f t="shared" si="12"/>
        <v>Mer</v>
      </c>
      <c r="AZ8" s="2" t="str">
        <f t="shared" si="12"/>
        <v>Jeu</v>
      </c>
      <c r="BA8" s="2" t="str">
        <f t="shared" si="12"/>
        <v>Ven</v>
      </c>
      <c r="BB8" s="2" t="str">
        <f t="shared" si="12"/>
        <v>Sam</v>
      </c>
      <c r="BC8" s="2" t="str">
        <f t="shared" si="12"/>
        <v>Dim</v>
      </c>
      <c r="BD8" s="2" t="str">
        <f t="shared" si="12"/>
        <v>Lundi</v>
      </c>
      <c r="BE8" s="2" t="str">
        <f t="shared" si="12"/>
        <v>mardi</v>
      </c>
      <c r="BF8" s="2" t="str">
        <f t="shared" si="12"/>
        <v>Mer</v>
      </c>
      <c r="BG8" s="2" t="str">
        <f t="shared" si="12"/>
        <v>Jeu</v>
      </c>
      <c r="BH8" s="2" t="str">
        <f t="shared" si="12"/>
        <v>Ven</v>
      </c>
      <c r="BI8" s="2" t="str">
        <f t="shared" si="12"/>
        <v>Sam</v>
      </c>
      <c r="BJ8" s="2" t="str">
        <f t="shared" si="12"/>
        <v>Dim</v>
      </c>
      <c r="BK8" s="2" t="str">
        <f t="shared" si="12"/>
        <v>Lundi</v>
      </c>
      <c r="BL8" s="2" t="str">
        <f t="shared" si="12"/>
        <v>mardi</v>
      </c>
      <c r="BM8" s="2" t="str">
        <f t="shared" si="12"/>
        <v>Mer</v>
      </c>
      <c r="BN8" s="2" t="str">
        <f t="shared" si="12"/>
        <v>Jeu</v>
      </c>
      <c r="BO8" s="2" t="str">
        <f t="shared" si="12"/>
        <v>Ven</v>
      </c>
      <c r="BP8" s="2" t="str">
        <f t="shared" si="12"/>
        <v>Sam</v>
      </c>
      <c r="BQ8" s="2" t="str">
        <f t="shared" ref="BQ8:DU8" si="13">HLOOKUP(WEEKDAY(BQ9,2),$F$1:$M$2,2)</f>
        <v>Dim</v>
      </c>
      <c r="BR8" s="2" t="str">
        <f t="shared" si="13"/>
        <v>Lundi</v>
      </c>
      <c r="BS8" s="2" t="str">
        <f t="shared" si="13"/>
        <v>mardi</v>
      </c>
      <c r="BT8" s="2" t="str">
        <f t="shared" si="13"/>
        <v>Mer</v>
      </c>
      <c r="BU8" s="2" t="str">
        <f t="shared" si="13"/>
        <v>Jeu</v>
      </c>
      <c r="BV8" s="2" t="str">
        <f t="shared" si="13"/>
        <v>Ven</v>
      </c>
      <c r="BW8" s="2" t="str">
        <f t="shared" si="13"/>
        <v>Sam</v>
      </c>
      <c r="BX8" s="2" t="str">
        <f t="shared" si="13"/>
        <v>Dim</v>
      </c>
      <c r="BY8" s="2" t="str">
        <f t="shared" si="13"/>
        <v>Lundi</v>
      </c>
      <c r="BZ8" s="2" t="str">
        <f t="shared" si="13"/>
        <v>mardi</v>
      </c>
      <c r="CA8" s="2" t="str">
        <f t="shared" si="13"/>
        <v>Mer</v>
      </c>
      <c r="CB8" s="2" t="str">
        <f t="shared" si="13"/>
        <v>Jeu</v>
      </c>
      <c r="CC8" s="2" t="str">
        <f t="shared" si="13"/>
        <v>Ven</v>
      </c>
      <c r="CD8" s="2" t="str">
        <f t="shared" si="13"/>
        <v>Sam</v>
      </c>
      <c r="CE8" s="2" t="str">
        <f t="shared" si="13"/>
        <v>Dim</v>
      </c>
      <c r="CF8" s="2" t="str">
        <f t="shared" si="13"/>
        <v>Lundi</v>
      </c>
      <c r="CG8" s="2" t="str">
        <f t="shared" si="13"/>
        <v>mardi</v>
      </c>
      <c r="CH8" s="2" t="str">
        <f t="shared" si="13"/>
        <v>Mer</v>
      </c>
      <c r="CI8" s="2" t="str">
        <f t="shared" si="13"/>
        <v>Jeu</v>
      </c>
      <c r="CJ8" s="2" t="str">
        <f t="shared" si="13"/>
        <v>Ven</v>
      </c>
      <c r="CK8" s="2" t="str">
        <f t="shared" si="13"/>
        <v>Sam</v>
      </c>
      <c r="CL8" s="2" t="str">
        <f t="shared" si="13"/>
        <v>Dim</v>
      </c>
      <c r="CM8" s="2" t="str">
        <f t="shared" si="13"/>
        <v>Lundi</v>
      </c>
      <c r="CN8" s="2" t="str">
        <f t="shared" si="13"/>
        <v>mardi</v>
      </c>
      <c r="CO8" s="2" t="str">
        <f t="shared" si="13"/>
        <v>Mer</v>
      </c>
      <c r="CP8" s="2" t="str">
        <f t="shared" si="13"/>
        <v>Jeu</v>
      </c>
      <c r="CQ8" s="2" t="str">
        <f t="shared" si="13"/>
        <v>Ven</v>
      </c>
      <c r="CR8" s="2" t="str">
        <f t="shared" si="13"/>
        <v>Sam</v>
      </c>
      <c r="CS8" s="2" t="str">
        <f t="shared" si="13"/>
        <v>Dim</v>
      </c>
      <c r="CT8" s="2" t="str">
        <f t="shared" si="13"/>
        <v>Lundi</v>
      </c>
      <c r="CU8" s="2" t="str">
        <f t="shared" si="13"/>
        <v>mardi</v>
      </c>
      <c r="CV8" s="2" t="str">
        <f t="shared" si="13"/>
        <v>Mer</v>
      </c>
      <c r="CW8" s="2" t="str">
        <f t="shared" si="13"/>
        <v>Jeu</v>
      </c>
      <c r="CX8" s="2" t="str">
        <f t="shared" si="13"/>
        <v>Ven</v>
      </c>
      <c r="CY8" s="2" t="str">
        <f t="shared" si="13"/>
        <v>Sam</v>
      </c>
      <c r="CZ8" s="2" t="str">
        <f t="shared" si="13"/>
        <v>Dim</v>
      </c>
      <c r="DA8" s="2" t="str">
        <f t="shared" si="13"/>
        <v>Lundi</v>
      </c>
      <c r="DB8" s="2" t="str">
        <f t="shared" si="13"/>
        <v>mardi</v>
      </c>
      <c r="DC8" s="2" t="str">
        <f t="shared" si="13"/>
        <v>Mer</v>
      </c>
      <c r="DD8" s="2" t="str">
        <f t="shared" si="13"/>
        <v>Jeu</v>
      </c>
      <c r="DE8" s="2" t="str">
        <f t="shared" si="13"/>
        <v>Ven</v>
      </c>
      <c r="DF8" s="2" t="str">
        <f t="shared" si="13"/>
        <v>Sam</v>
      </c>
      <c r="DG8" s="2" t="str">
        <f t="shared" si="13"/>
        <v>Dim</v>
      </c>
      <c r="DH8" s="2" t="str">
        <f t="shared" si="13"/>
        <v>Lundi</v>
      </c>
      <c r="DI8" s="2" t="str">
        <f t="shared" si="13"/>
        <v>mardi</v>
      </c>
      <c r="DJ8" s="2" t="str">
        <f t="shared" si="13"/>
        <v>Mer</v>
      </c>
      <c r="DK8" s="2" t="str">
        <f t="shared" si="13"/>
        <v>Jeu</v>
      </c>
      <c r="DL8" s="2" t="str">
        <f t="shared" si="13"/>
        <v>Ven</v>
      </c>
      <c r="DM8" s="2" t="str">
        <f t="shared" si="13"/>
        <v>Sam</v>
      </c>
      <c r="DN8" s="2" t="str">
        <f t="shared" si="13"/>
        <v>Dim</v>
      </c>
      <c r="DO8" s="2" t="str">
        <f t="shared" si="13"/>
        <v>Lundi</v>
      </c>
      <c r="DP8" s="2" t="str">
        <f t="shared" si="13"/>
        <v>mardi</v>
      </c>
      <c r="DQ8" s="2" t="str">
        <f t="shared" si="13"/>
        <v>Mer</v>
      </c>
      <c r="DR8" s="2" t="str">
        <f t="shared" si="13"/>
        <v>Jeu</v>
      </c>
      <c r="DS8" s="2" t="str">
        <f t="shared" si="13"/>
        <v>Ven</v>
      </c>
      <c r="DT8" s="2" t="str">
        <f t="shared" si="13"/>
        <v>Sam</v>
      </c>
      <c r="DU8" s="2" t="str">
        <f t="shared" si="13"/>
        <v>Dim</v>
      </c>
      <c r="DX8" s="2"/>
      <c r="FD8" s="4" t="s">
        <v>753</v>
      </c>
      <c r="FE8" s="398">
        <f>SUM(FF8:FJ8)</f>
        <v>120</v>
      </c>
      <c r="FF8" s="142">
        <f>HLOOKUP(FF7,$F$3:$DU$5,3,FALSE)</f>
        <v>18</v>
      </c>
      <c r="FG8" s="142">
        <f>HLOOKUP(FG7,$F$3:$DU$5,3,FALSE)-SUM($FF8:FF8)</f>
        <v>31</v>
      </c>
      <c r="FH8" s="142">
        <f>HLOOKUP(FH7,$F$3:$DU$5,3,FALSE)-SUM($FF8:FG8)</f>
        <v>31</v>
      </c>
      <c r="FI8" s="142">
        <f>HLOOKUP(FI7,$F$3:$DU$5,3,FALSE)-SUM($FF8:FH8)</f>
        <v>28</v>
      </c>
      <c r="FJ8" s="142">
        <f>HLOOKUP(FJ7,$F$3:$DU$5,3,FALSE)-SUM($FF8:FI8)</f>
        <v>12</v>
      </c>
      <c r="FK8" s="2"/>
      <c r="FL8" t="s">
        <v>305</v>
      </c>
    </row>
    <row r="9" spans="1:173" s="10" customFormat="1">
      <c r="E9" s="34">
        <v>44877</v>
      </c>
      <c r="F9" s="34">
        <f t="shared" ref="F9:AK9" si="14">E9+1</f>
        <v>44878</v>
      </c>
      <c r="G9" s="34">
        <f t="shared" si="14"/>
        <v>44879</v>
      </c>
      <c r="H9" s="34">
        <f t="shared" si="14"/>
        <v>44880</v>
      </c>
      <c r="I9" s="34">
        <f t="shared" si="14"/>
        <v>44881</v>
      </c>
      <c r="J9" s="34">
        <f t="shared" si="14"/>
        <v>44882</v>
      </c>
      <c r="K9" s="34">
        <f t="shared" si="14"/>
        <v>44883</v>
      </c>
      <c r="L9" s="34">
        <f t="shared" si="14"/>
        <v>44884</v>
      </c>
      <c r="M9" s="34">
        <f t="shared" si="14"/>
        <v>44885</v>
      </c>
      <c r="N9" s="34">
        <f t="shared" si="14"/>
        <v>44886</v>
      </c>
      <c r="O9" s="34">
        <f t="shared" si="14"/>
        <v>44887</v>
      </c>
      <c r="P9" s="34">
        <f t="shared" si="14"/>
        <v>44888</v>
      </c>
      <c r="Q9" s="34">
        <f t="shared" si="14"/>
        <v>44889</v>
      </c>
      <c r="R9" s="34">
        <f t="shared" si="14"/>
        <v>44890</v>
      </c>
      <c r="S9" s="34">
        <f t="shared" si="14"/>
        <v>44891</v>
      </c>
      <c r="T9" s="34">
        <f t="shared" si="14"/>
        <v>44892</v>
      </c>
      <c r="U9" s="34">
        <f t="shared" si="14"/>
        <v>44893</v>
      </c>
      <c r="V9" s="34">
        <f t="shared" si="14"/>
        <v>44894</v>
      </c>
      <c r="W9" s="34">
        <f t="shared" si="14"/>
        <v>44895</v>
      </c>
      <c r="X9" s="34">
        <f t="shared" si="14"/>
        <v>44896</v>
      </c>
      <c r="Y9" s="34">
        <f t="shared" si="14"/>
        <v>44897</v>
      </c>
      <c r="Z9" s="34">
        <f t="shared" si="14"/>
        <v>44898</v>
      </c>
      <c r="AA9" s="34">
        <f t="shared" si="14"/>
        <v>44899</v>
      </c>
      <c r="AB9" s="34">
        <f t="shared" si="14"/>
        <v>44900</v>
      </c>
      <c r="AC9" s="34">
        <f t="shared" si="14"/>
        <v>44901</v>
      </c>
      <c r="AD9" s="34">
        <f t="shared" si="14"/>
        <v>44902</v>
      </c>
      <c r="AE9" s="34">
        <f t="shared" si="14"/>
        <v>44903</v>
      </c>
      <c r="AF9" s="34">
        <f t="shared" si="14"/>
        <v>44904</v>
      </c>
      <c r="AG9" s="34">
        <f t="shared" si="14"/>
        <v>44905</v>
      </c>
      <c r="AH9" s="34">
        <f t="shared" si="14"/>
        <v>44906</v>
      </c>
      <c r="AI9" s="34">
        <f t="shared" si="14"/>
        <v>44907</v>
      </c>
      <c r="AJ9" s="34">
        <f t="shared" si="14"/>
        <v>44908</v>
      </c>
      <c r="AK9" s="34">
        <f t="shared" si="14"/>
        <v>44909</v>
      </c>
      <c r="AL9" s="34">
        <f t="shared" ref="AL9:BR9" si="15">AK9+1</f>
        <v>44910</v>
      </c>
      <c r="AM9" s="34">
        <f t="shared" si="15"/>
        <v>44911</v>
      </c>
      <c r="AN9" s="34">
        <f t="shared" si="15"/>
        <v>44912</v>
      </c>
      <c r="AO9" s="34">
        <f t="shared" si="15"/>
        <v>44913</v>
      </c>
      <c r="AP9" s="34">
        <f t="shared" si="15"/>
        <v>44914</v>
      </c>
      <c r="AQ9" s="34">
        <f t="shared" si="15"/>
        <v>44915</v>
      </c>
      <c r="AR9" s="34">
        <f t="shared" si="15"/>
        <v>44916</v>
      </c>
      <c r="AS9" s="34">
        <f t="shared" si="15"/>
        <v>44917</v>
      </c>
      <c r="AT9" s="34">
        <f t="shared" si="15"/>
        <v>44918</v>
      </c>
      <c r="AU9" s="34">
        <f t="shared" si="15"/>
        <v>44919</v>
      </c>
      <c r="AV9" s="34">
        <f t="shared" si="15"/>
        <v>44920</v>
      </c>
      <c r="AW9" s="34">
        <f t="shared" si="15"/>
        <v>44921</v>
      </c>
      <c r="AX9" s="34">
        <f t="shared" si="15"/>
        <v>44922</v>
      </c>
      <c r="AY9" s="34">
        <f t="shared" si="15"/>
        <v>44923</v>
      </c>
      <c r="AZ9" s="34">
        <f t="shared" si="15"/>
        <v>44924</v>
      </c>
      <c r="BA9" s="34">
        <f t="shared" si="15"/>
        <v>44925</v>
      </c>
      <c r="BB9" s="34">
        <f t="shared" si="15"/>
        <v>44926</v>
      </c>
      <c r="BC9" s="34">
        <f t="shared" si="15"/>
        <v>44927</v>
      </c>
      <c r="BD9" s="34">
        <f t="shared" si="15"/>
        <v>44928</v>
      </c>
      <c r="BE9" s="34">
        <f t="shared" si="15"/>
        <v>44929</v>
      </c>
      <c r="BF9" s="34">
        <f t="shared" si="15"/>
        <v>44930</v>
      </c>
      <c r="BG9" s="34">
        <f t="shared" si="15"/>
        <v>44931</v>
      </c>
      <c r="BH9" s="34">
        <f t="shared" si="15"/>
        <v>44932</v>
      </c>
      <c r="BI9" s="34">
        <f t="shared" si="15"/>
        <v>44933</v>
      </c>
      <c r="BJ9" s="34">
        <f t="shared" si="15"/>
        <v>44934</v>
      </c>
      <c r="BK9" s="34">
        <f t="shared" si="15"/>
        <v>44935</v>
      </c>
      <c r="BL9" s="34">
        <f t="shared" si="15"/>
        <v>44936</v>
      </c>
      <c r="BM9" s="34">
        <f t="shared" si="15"/>
        <v>44937</v>
      </c>
      <c r="BN9" s="34">
        <f t="shared" si="15"/>
        <v>44938</v>
      </c>
      <c r="BO9" s="34">
        <f t="shared" si="15"/>
        <v>44939</v>
      </c>
      <c r="BP9" s="34">
        <f t="shared" si="15"/>
        <v>44940</v>
      </c>
      <c r="BQ9" s="34">
        <f t="shared" si="15"/>
        <v>44941</v>
      </c>
      <c r="BR9" s="34">
        <f t="shared" si="15"/>
        <v>44942</v>
      </c>
      <c r="BS9" s="34">
        <f t="shared" ref="BS9:CG9" si="16">BR9+1</f>
        <v>44943</v>
      </c>
      <c r="BT9" s="34">
        <f t="shared" si="16"/>
        <v>44944</v>
      </c>
      <c r="BU9" s="34">
        <f t="shared" si="16"/>
        <v>44945</v>
      </c>
      <c r="BV9" s="34">
        <f t="shared" si="16"/>
        <v>44946</v>
      </c>
      <c r="BW9" s="34">
        <f t="shared" si="16"/>
        <v>44947</v>
      </c>
      <c r="BX9" s="34">
        <f t="shared" si="16"/>
        <v>44948</v>
      </c>
      <c r="BY9" s="34">
        <f t="shared" si="16"/>
        <v>44949</v>
      </c>
      <c r="BZ9" s="34">
        <f t="shared" si="16"/>
        <v>44950</v>
      </c>
      <c r="CA9" s="34">
        <f t="shared" si="16"/>
        <v>44951</v>
      </c>
      <c r="CB9" s="34">
        <f t="shared" si="16"/>
        <v>44952</v>
      </c>
      <c r="CC9" s="34">
        <f t="shared" si="16"/>
        <v>44953</v>
      </c>
      <c r="CD9" s="34">
        <f t="shared" si="16"/>
        <v>44954</v>
      </c>
      <c r="CE9" s="34">
        <f t="shared" si="16"/>
        <v>44955</v>
      </c>
      <c r="CF9" s="34">
        <f t="shared" si="16"/>
        <v>44956</v>
      </c>
      <c r="CG9" s="34">
        <f t="shared" si="16"/>
        <v>44957</v>
      </c>
      <c r="CH9" s="34">
        <f t="shared" ref="CH9:DQ9" si="17">CG9+1</f>
        <v>44958</v>
      </c>
      <c r="CI9" s="34">
        <f t="shared" si="17"/>
        <v>44959</v>
      </c>
      <c r="CJ9" s="34">
        <f t="shared" si="17"/>
        <v>44960</v>
      </c>
      <c r="CK9" s="34">
        <f t="shared" si="17"/>
        <v>44961</v>
      </c>
      <c r="CL9" s="34">
        <f t="shared" si="17"/>
        <v>44962</v>
      </c>
      <c r="CM9" s="34">
        <f t="shared" si="17"/>
        <v>44963</v>
      </c>
      <c r="CN9" s="34">
        <f t="shared" si="17"/>
        <v>44964</v>
      </c>
      <c r="CO9" s="34">
        <f t="shared" si="17"/>
        <v>44965</v>
      </c>
      <c r="CP9" s="34">
        <f t="shared" si="17"/>
        <v>44966</v>
      </c>
      <c r="CQ9" s="34">
        <f t="shared" si="17"/>
        <v>44967</v>
      </c>
      <c r="CR9" s="34">
        <f t="shared" si="17"/>
        <v>44968</v>
      </c>
      <c r="CS9" s="34">
        <f t="shared" si="17"/>
        <v>44969</v>
      </c>
      <c r="CT9" s="34">
        <f t="shared" si="17"/>
        <v>44970</v>
      </c>
      <c r="CU9" s="34">
        <f t="shared" si="17"/>
        <v>44971</v>
      </c>
      <c r="CV9" s="34">
        <f t="shared" si="17"/>
        <v>44972</v>
      </c>
      <c r="CW9" s="34">
        <f t="shared" si="17"/>
        <v>44973</v>
      </c>
      <c r="CX9" s="34">
        <f t="shared" si="17"/>
        <v>44974</v>
      </c>
      <c r="CY9" s="34">
        <f t="shared" si="17"/>
        <v>44975</v>
      </c>
      <c r="CZ9" s="34">
        <f t="shared" si="17"/>
        <v>44976</v>
      </c>
      <c r="DA9" s="34">
        <f t="shared" si="17"/>
        <v>44977</v>
      </c>
      <c r="DB9" s="34">
        <f t="shared" si="17"/>
        <v>44978</v>
      </c>
      <c r="DC9" s="34">
        <f t="shared" si="17"/>
        <v>44979</v>
      </c>
      <c r="DD9" s="34">
        <f t="shared" si="17"/>
        <v>44980</v>
      </c>
      <c r="DE9" s="34">
        <f t="shared" si="17"/>
        <v>44981</v>
      </c>
      <c r="DF9" s="34">
        <f t="shared" si="17"/>
        <v>44982</v>
      </c>
      <c r="DG9" s="34">
        <f t="shared" si="17"/>
        <v>44983</v>
      </c>
      <c r="DH9" s="34">
        <f t="shared" si="17"/>
        <v>44984</v>
      </c>
      <c r="DI9" s="34">
        <f t="shared" si="17"/>
        <v>44985</v>
      </c>
      <c r="DJ9" s="34">
        <f t="shared" si="17"/>
        <v>44986</v>
      </c>
      <c r="DK9" s="34">
        <f t="shared" si="17"/>
        <v>44987</v>
      </c>
      <c r="DL9" s="34">
        <f t="shared" si="17"/>
        <v>44988</v>
      </c>
      <c r="DM9" s="34">
        <f t="shared" si="17"/>
        <v>44989</v>
      </c>
      <c r="DN9" s="34">
        <f t="shared" si="17"/>
        <v>44990</v>
      </c>
      <c r="DO9" s="34">
        <f t="shared" si="17"/>
        <v>44991</v>
      </c>
      <c r="DP9" s="34">
        <f t="shared" si="17"/>
        <v>44992</v>
      </c>
      <c r="DQ9" s="34">
        <f t="shared" si="17"/>
        <v>44993</v>
      </c>
      <c r="DR9" s="34">
        <f>DQ9+1</f>
        <v>44994</v>
      </c>
      <c r="DS9" s="34">
        <f>DR9+1</f>
        <v>44995</v>
      </c>
      <c r="DT9" s="34">
        <f>DS9+1</f>
        <v>44996</v>
      </c>
      <c r="DU9" s="34">
        <f>DT9+1</f>
        <v>44997</v>
      </c>
      <c r="DV9" s="192"/>
      <c r="DW9" s="178"/>
      <c r="DX9" s="12"/>
      <c r="DY9" s="2"/>
      <c r="EA9" s="1"/>
      <c r="EB9" s="1"/>
      <c r="EC9" s="1"/>
      <c r="ED9" s="1"/>
      <c r="EE9" s="1"/>
      <c r="EF9" s="1"/>
      <c r="EG9" s="1"/>
      <c r="EH9"/>
      <c r="EI9"/>
      <c r="EJ9"/>
      <c r="EK9"/>
      <c r="EL9"/>
      <c r="EM9"/>
      <c r="EN9"/>
      <c r="EO9"/>
      <c r="EP9"/>
      <c r="EQ9"/>
      <c r="ER9"/>
      <c r="ES9"/>
      <c r="ET9"/>
      <c r="EU9"/>
      <c r="EV9"/>
      <c r="EW9"/>
      <c r="EX9"/>
      <c r="EY9"/>
      <c r="EZ9"/>
      <c r="FA9"/>
      <c r="FB9"/>
      <c r="FE9" s="118" t="s">
        <v>286</v>
      </c>
      <c r="FF9" s="118" t="str">
        <f t="shared" ref="FF9:FJ10" si="18">HLOOKUP(FF6,$F$3:$DU$4,2,FALSE)</f>
        <v>F</v>
      </c>
      <c r="FG9" s="118" t="str">
        <f t="shared" si="18"/>
        <v>X</v>
      </c>
      <c r="FH9" s="118" t="str">
        <f t="shared" si="18"/>
        <v>BC</v>
      </c>
      <c r="FI9" s="118" t="str">
        <f t="shared" si="18"/>
        <v>CH</v>
      </c>
      <c r="FJ9" s="118" t="str">
        <f t="shared" si="18"/>
        <v>DJ</v>
      </c>
      <c r="FK9" s="118"/>
      <c r="FL9" s="242"/>
      <c r="FN9" s="1"/>
      <c r="FQ9" s="1"/>
    </row>
    <row r="10" spans="1:173">
      <c r="C10" s="75" t="s">
        <v>158</v>
      </c>
      <c r="D10" s="2"/>
      <c r="E10" s="118" t="s">
        <v>68</v>
      </c>
      <c r="F10" s="2" t="s">
        <v>52</v>
      </c>
      <c r="G10" s="2" t="s">
        <v>52</v>
      </c>
      <c r="H10" s="2" t="s">
        <v>52</v>
      </c>
      <c r="I10" s="2" t="s">
        <v>52</v>
      </c>
      <c r="J10" s="2" t="s">
        <v>52</v>
      </c>
      <c r="K10" s="2" t="s">
        <v>52</v>
      </c>
      <c r="L10" s="2" t="s">
        <v>52</v>
      </c>
      <c r="M10" s="2" t="s">
        <v>52</v>
      </c>
      <c r="N10" s="2" t="s">
        <v>52</v>
      </c>
      <c r="O10" s="2" t="s">
        <v>52</v>
      </c>
      <c r="P10" s="2" t="s">
        <v>52</v>
      </c>
      <c r="Q10" s="2" t="s">
        <v>52</v>
      </c>
      <c r="R10" s="2" t="s">
        <v>53</v>
      </c>
      <c r="S10" s="2" t="s">
        <v>53</v>
      </c>
      <c r="T10" s="2" t="s">
        <v>52</v>
      </c>
      <c r="U10" s="2" t="s">
        <v>52</v>
      </c>
      <c r="V10" s="2" t="s">
        <v>52</v>
      </c>
      <c r="W10" s="2" t="s">
        <v>52</v>
      </c>
      <c r="X10" s="2" t="s">
        <v>52</v>
      </c>
      <c r="Y10" s="2" t="s">
        <v>52</v>
      </c>
      <c r="Z10" s="2" t="s">
        <v>699</v>
      </c>
      <c r="AA10" s="2" t="s">
        <v>699</v>
      </c>
      <c r="AB10" s="2" t="s">
        <v>52</v>
      </c>
      <c r="AC10" s="2" t="s">
        <v>52</v>
      </c>
      <c r="AD10" s="2" t="s">
        <v>288</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717</v>
      </c>
      <c r="AT10" s="2" t="s">
        <v>52</v>
      </c>
      <c r="AU10" s="2" t="s">
        <v>52</v>
      </c>
      <c r="AV10" s="2" t="s">
        <v>52</v>
      </c>
      <c r="AW10" s="2" t="s">
        <v>52</v>
      </c>
      <c r="AX10" s="2" t="s">
        <v>52</v>
      </c>
      <c r="AY10" s="2" t="s">
        <v>52</v>
      </c>
      <c r="AZ10" s="2" t="s">
        <v>52</v>
      </c>
      <c r="BA10" s="2" t="s">
        <v>52</v>
      </c>
      <c r="BB10" s="2" t="s">
        <v>52</v>
      </c>
      <c r="BC10" s="2" t="s">
        <v>52</v>
      </c>
      <c r="BD10" s="2" t="s">
        <v>52</v>
      </c>
      <c r="BE10" s="2" t="s">
        <v>52</v>
      </c>
      <c r="BF10" s="2" t="s">
        <v>52</v>
      </c>
      <c r="BG10" s="2" t="s">
        <v>52</v>
      </c>
      <c r="BH10" s="2" t="s">
        <v>864</v>
      </c>
      <c r="BI10" s="2" t="s">
        <v>52</v>
      </c>
      <c r="BJ10" s="2" t="s">
        <v>52</v>
      </c>
      <c r="BK10" s="2" t="s">
        <v>52</v>
      </c>
      <c r="BL10" s="2" t="s">
        <v>52</v>
      </c>
      <c r="BM10" s="2" t="s">
        <v>52</v>
      </c>
      <c r="BN10" s="2" t="s">
        <v>52</v>
      </c>
      <c r="BO10" s="2" t="s">
        <v>52</v>
      </c>
      <c r="BP10" s="2" t="s">
        <v>52</v>
      </c>
      <c r="BQ10" s="2" t="s">
        <v>52</v>
      </c>
      <c r="BR10" s="2" t="s">
        <v>52</v>
      </c>
      <c r="BS10" s="2" t="s">
        <v>52</v>
      </c>
      <c r="BT10" s="2" t="s">
        <v>52</v>
      </c>
      <c r="BU10" s="2" t="s">
        <v>52</v>
      </c>
      <c r="BV10" s="2" t="s">
        <v>52</v>
      </c>
      <c r="BW10" s="2" t="s">
        <v>731</v>
      </c>
      <c r="BX10" s="2" t="s">
        <v>52</v>
      </c>
      <c r="BY10" s="2" t="s">
        <v>52</v>
      </c>
      <c r="BZ10" s="2" t="s">
        <v>52</v>
      </c>
      <c r="CA10" s="2" t="s">
        <v>52</v>
      </c>
      <c r="CB10" s="2" t="s">
        <v>52</v>
      </c>
      <c r="CC10" s="2" t="s">
        <v>52</v>
      </c>
      <c r="CD10" s="2" t="s">
        <v>52</v>
      </c>
      <c r="CE10" s="2" t="s">
        <v>52</v>
      </c>
      <c r="CF10" s="2" t="s">
        <v>52</v>
      </c>
      <c r="CG10" s="2" t="s">
        <v>52</v>
      </c>
      <c r="CH10" s="2" t="s">
        <v>52</v>
      </c>
      <c r="CI10" s="2" t="s">
        <v>52</v>
      </c>
      <c r="CJ10" s="2" t="s">
        <v>52</v>
      </c>
      <c r="CK10" s="2" t="s">
        <v>52</v>
      </c>
      <c r="CL10" s="2" t="s">
        <v>52</v>
      </c>
      <c r="CM10" s="2" t="s">
        <v>840</v>
      </c>
      <c r="CN10" s="2" t="s">
        <v>840</v>
      </c>
      <c r="CO10" s="2" t="s">
        <v>840</v>
      </c>
      <c r="CP10" s="2" t="s">
        <v>840</v>
      </c>
      <c r="CQ10" s="2" t="s">
        <v>840</v>
      </c>
      <c r="CR10" s="2" t="s">
        <v>52</v>
      </c>
      <c r="CS10" s="2" t="s">
        <v>52</v>
      </c>
      <c r="CT10" s="2" t="s">
        <v>52</v>
      </c>
      <c r="CU10" s="2" t="s">
        <v>52</v>
      </c>
      <c r="CV10" s="2" t="s">
        <v>52</v>
      </c>
      <c r="CW10" s="2" t="s">
        <v>52</v>
      </c>
      <c r="CX10" s="2" t="s">
        <v>288</v>
      </c>
      <c r="CY10" s="2" t="s">
        <v>52</v>
      </c>
      <c r="CZ10" s="2" t="s">
        <v>52</v>
      </c>
      <c r="DA10" s="2" t="s">
        <v>52</v>
      </c>
      <c r="DB10" s="2" t="s">
        <v>52</v>
      </c>
      <c r="DC10" s="2" t="s">
        <v>52</v>
      </c>
      <c r="DD10" s="2" t="s">
        <v>52</v>
      </c>
      <c r="DE10" s="2" t="s">
        <v>52</v>
      </c>
      <c r="DF10" s="2" t="s">
        <v>52</v>
      </c>
      <c r="DG10" s="4" t="s">
        <v>967</v>
      </c>
      <c r="DH10" s="4" t="s">
        <v>967</v>
      </c>
      <c r="DI10" s="4" t="s">
        <v>967</v>
      </c>
      <c r="DJ10" s="2" t="s">
        <v>52</v>
      </c>
      <c r="DK10" s="2" t="s">
        <v>52</v>
      </c>
      <c r="DL10" s="2" t="s">
        <v>52</v>
      </c>
      <c r="DM10" s="2" t="s">
        <v>52</v>
      </c>
      <c r="DN10" s="2" t="s">
        <v>52</v>
      </c>
      <c r="DO10" s="2" t="s">
        <v>52</v>
      </c>
      <c r="DP10" s="2" t="s">
        <v>52</v>
      </c>
      <c r="DQ10" s="2" t="s">
        <v>52</v>
      </c>
      <c r="DR10" s="2" t="s">
        <v>52</v>
      </c>
      <c r="DS10" s="2" t="s">
        <v>52</v>
      </c>
      <c r="DT10" s="2" t="s">
        <v>52</v>
      </c>
      <c r="DU10" s="2" t="s">
        <v>68</v>
      </c>
      <c r="FE10" s="118" t="s">
        <v>286</v>
      </c>
      <c r="FF10" s="118" t="str">
        <f t="shared" si="18"/>
        <v>W</v>
      </c>
      <c r="FG10" s="118" t="str">
        <f t="shared" si="18"/>
        <v>BB</v>
      </c>
      <c r="FH10" s="118" t="str">
        <f t="shared" si="18"/>
        <v>CG</v>
      </c>
      <c r="FI10" s="118" t="str">
        <f t="shared" si="18"/>
        <v>DI</v>
      </c>
      <c r="FJ10" s="118" t="str">
        <f t="shared" si="18"/>
        <v>DU</v>
      </c>
      <c r="FK10" s="242"/>
      <c r="FL10" s="118"/>
    </row>
    <row r="11" spans="1:173" ht="15" outlineLevel="1" thickBot="1">
      <c r="D11" s="11" t="s">
        <v>17</v>
      </c>
      <c r="DF11" s="2">
        <v>100</v>
      </c>
      <c r="DX11" s="4" t="s">
        <v>13</v>
      </c>
      <c r="FE11" s="4" t="s">
        <v>677</v>
      </c>
      <c r="FF11" s="4" t="s">
        <v>635</v>
      </c>
      <c r="FG11" s="4" t="s">
        <v>637</v>
      </c>
      <c r="FH11" s="4" t="s">
        <v>638</v>
      </c>
      <c r="FI11" s="4" t="s">
        <v>636</v>
      </c>
      <c r="FJ11" s="4" t="s">
        <v>752</v>
      </c>
      <c r="FK11" s="4" t="s">
        <v>517</v>
      </c>
      <c r="FL11" s="4" t="s">
        <v>518</v>
      </c>
      <c r="FN11" s="4" t="s">
        <v>14</v>
      </c>
      <c r="FP11" s="4" t="s">
        <v>789</v>
      </c>
    </row>
    <row r="12" spans="1:173" outlineLevel="1">
      <c r="A12" t="s">
        <v>70</v>
      </c>
      <c r="B12" t="s">
        <v>328</v>
      </c>
      <c r="C12" s="72" t="s">
        <v>205</v>
      </c>
      <c r="D12" s="11"/>
      <c r="F12" s="2">
        <f>52+20</f>
        <v>72</v>
      </c>
      <c r="G12" s="2">
        <v>125</v>
      </c>
      <c r="H12" s="2">
        <f>52+100+32+22</f>
        <v>206</v>
      </c>
      <c r="I12">
        <v>120</v>
      </c>
      <c r="J12">
        <v>40</v>
      </c>
      <c r="K12">
        <v>250</v>
      </c>
      <c r="L12" t="s">
        <v>658</v>
      </c>
      <c r="M12" s="2">
        <v>140</v>
      </c>
      <c r="O12" s="2">
        <v>140</v>
      </c>
      <c r="P12" s="2">
        <v>55</v>
      </c>
      <c r="Q12" s="2">
        <v>24</v>
      </c>
      <c r="R12" s="2">
        <v>50</v>
      </c>
      <c r="S12" s="154">
        <v>73</v>
      </c>
      <c r="T12" s="2">
        <v>65</v>
      </c>
      <c r="U12" s="2">
        <v>190</v>
      </c>
      <c r="V12" s="2">
        <v>118</v>
      </c>
      <c r="W12" s="2">
        <v>25</v>
      </c>
      <c r="X12" s="2">
        <v>23</v>
      </c>
      <c r="Y12"/>
      <c r="Z12"/>
      <c r="AA12" s="2">
        <v>170</v>
      </c>
      <c r="AB12"/>
      <c r="AC12">
        <f>130+150+71</f>
        <v>351</v>
      </c>
      <c r="AD12" s="2">
        <v>189</v>
      </c>
      <c r="AE12" s="2">
        <v>50</v>
      </c>
      <c r="AG12" s="2">
        <v>40</v>
      </c>
      <c r="AH12" s="2">
        <v>310</v>
      </c>
      <c r="AI12" s="2">
        <v>15</v>
      </c>
      <c r="AL12" s="2">
        <v>105</v>
      </c>
      <c r="AM12" s="2">
        <v>160</v>
      </c>
      <c r="AN12" s="2">
        <v>220</v>
      </c>
      <c r="AQ12" s="2">
        <f>48+36+120</f>
        <v>204</v>
      </c>
      <c r="AR12" s="2">
        <v>25</v>
      </c>
      <c r="AS12" s="2">
        <v>65</v>
      </c>
      <c r="AT12" s="2">
        <f>200+140+40+80</f>
        <v>460</v>
      </c>
      <c r="AU12" s="2">
        <f>185+300+142+27</f>
        <v>654</v>
      </c>
      <c r="AW12"/>
      <c r="AX12"/>
      <c r="AY12">
        <v>30</v>
      </c>
      <c r="AZ12">
        <v>0</v>
      </c>
      <c r="BA12">
        <v>80</v>
      </c>
      <c r="BB12" s="2">
        <v>0</v>
      </c>
      <c r="BC12"/>
      <c r="BD12"/>
      <c r="BE12">
        <v>24</v>
      </c>
      <c r="BF12"/>
      <c r="BG12">
        <v>260</v>
      </c>
      <c r="BH12">
        <f>105+35+100+30</f>
        <v>270</v>
      </c>
      <c r="BI12">
        <v>20</v>
      </c>
      <c r="BJ12">
        <v>35</v>
      </c>
      <c r="BK12"/>
      <c r="BL12">
        <f>55+78+40</f>
        <v>173</v>
      </c>
      <c r="BM12">
        <f>400+35+75</f>
        <v>510</v>
      </c>
      <c r="BN12">
        <v>200</v>
      </c>
      <c r="BO12">
        <v>16</v>
      </c>
      <c r="BP12"/>
      <c r="BQ12">
        <v>290</v>
      </c>
      <c r="BR12">
        <v>40</v>
      </c>
      <c r="BS12">
        <v>360</v>
      </c>
      <c r="BT12">
        <f>30+90+300+24</f>
        <v>444</v>
      </c>
      <c r="BU12">
        <f>16+120+100+350</f>
        <v>586</v>
      </c>
      <c r="BV12">
        <f>470+800</f>
        <v>1270</v>
      </c>
      <c r="BW12" s="2">
        <v>20</v>
      </c>
      <c r="BX12" s="2">
        <v>0</v>
      </c>
      <c r="BY12" s="2">
        <v>87</v>
      </c>
      <c r="BZ12" s="2">
        <v>170</v>
      </c>
      <c r="CB12" s="2">
        <v>30</v>
      </c>
      <c r="CC12" s="2">
        <v>80</v>
      </c>
      <c r="CD12" s="2">
        <v>30</v>
      </c>
      <c r="CE12" s="2">
        <v>72</v>
      </c>
      <c r="CG12" s="2">
        <v>10</v>
      </c>
      <c r="CH12" s="2">
        <v>23</v>
      </c>
      <c r="CI12">
        <f>90+16</f>
        <v>106</v>
      </c>
      <c r="CJ12" s="2">
        <v>76</v>
      </c>
      <c r="CK12">
        <f>8+125+50+60</f>
        <v>243</v>
      </c>
      <c r="CL12"/>
      <c r="CM12" s="144">
        <v>0</v>
      </c>
      <c r="CN12" s="144">
        <v>19.090909090909093</v>
      </c>
      <c r="CO12" s="144">
        <v>206.18181818181819</v>
      </c>
      <c r="CP12" s="144">
        <v>0</v>
      </c>
      <c r="CQ12" s="144">
        <v>148.90909090909091</v>
      </c>
      <c r="CR12" s="144">
        <f>236.727272727273+40</f>
        <v>276.72727272727298</v>
      </c>
      <c r="CS12" t="s">
        <v>844</v>
      </c>
      <c r="CT12">
        <v>0</v>
      </c>
      <c r="CU12">
        <v>0</v>
      </c>
      <c r="CV12">
        <v>150</v>
      </c>
      <c r="CW12"/>
      <c r="CX12" s="2">
        <v>20</v>
      </c>
      <c r="CY12" s="2">
        <v>280</v>
      </c>
      <c r="CZ12" s="2">
        <v>140</v>
      </c>
      <c r="DA12" s="2">
        <f>40+130+60+50+200+36+50+16</f>
        <v>582</v>
      </c>
      <c r="DB12" s="2">
        <v>24</v>
      </c>
      <c r="DC12" s="2">
        <f>40+85+110</f>
        <v>235</v>
      </c>
      <c r="DD12" s="2">
        <v>87</v>
      </c>
      <c r="DF12" s="2">
        <v>20</v>
      </c>
      <c r="DG12" s="2">
        <v>40</v>
      </c>
      <c r="DH12" s="2">
        <v>0</v>
      </c>
      <c r="DI12">
        <v>0</v>
      </c>
      <c r="DJ12" s="475">
        <v>650</v>
      </c>
      <c r="DK12">
        <v>24</v>
      </c>
      <c r="DL12">
        <v>60</v>
      </c>
      <c r="DM12">
        <v>0</v>
      </c>
      <c r="DN12">
        <f>60+75</f>
        <v>135</v>
      </c>
      <c r="DO12">
        <v>60</v>
      </c>
      <c r="DP12" t="s">
        <v>978</v>
      </c>
      <c r="DQ12">
        <v>0</v>
      </c>
      <c r="DR12">
        <v>250</v>
      </c>
      <c r="DS12">
        <v>80</v>
      </c>
      <c r="DT12">
        <f>35+180</f>
        <v>215</v>
      </c>
      <c r="DU12">
        <v>0</v>
      </c>
      <c r="DW12" s="179"/>
      <c r="DX12" s="29">
        <f t="shared" ref="DX12:DX29" si="19">SUM(E12:DW12)</f>
        <v>13991.909090909092</v>
      </c>
      <c r="DY12" s="6">
        <f t="shared" ref="DY12:DY31" si="20">DX12/TAUXmoyen</f>
        <v>551.74816689968202</v>
      </c>
      <c r="DZ12" s="27"/>
      <c r="EA12" s="27"/>
      <c r="FD12" s="72" t="s">
        <v>205</v>
      </c>
      <c r="FE12" s="142">
        <f ca="1">SUM((INDIRECT(FE$9&amp;ROW()):(INDIRECT(FE$10&amp;ROW()))))</f>
        <v>0</v>
      </c>
      <c r="FF12" s="142">
        <f ca="1">SUM((INDIRECT(FF$9&amp;ROW()):(INDIRECT(FF$10&amp;ROW()))))</f>
        <v>1693</v>
      </c>
      <c r="FG12" s="142">
        <f ca="1">SUM((INDIRECT(FG$9&amp;ROW()):(INDIRECT(FG$10&amp;ROW()))))</f>
        <v>3151</v>
      </c>
      <c r="FH12" s="142">
        <f ca="1">SUM((INDIRECT(FH$9&amp;ROW()):(INDIRECT(FH$10&amp;ROW()))))</f>
        <v>4997</v>
      </c>
      <c r="FI12" s="142">
        <f ca="1">SUM((INDIRECT(FI$9&amp;ROW()):(INDIRECT(FI$10&amp;ROW()))))</f>
        <v>2676.909090909091</v>
      </c>
      <c r="FJ12" s="142">
        <f ca="1">SUM((INDIRECT(FJ$9&amp;ROW()):(INDIRECT(FJ$10&amp;ROW()))))</f>
        <v>1474</v>
      </c>
      <c r="FK12" s="142" t="e">
        <f ca="1">SUM((INDIRECT(FK$9&amp;ROW()):(INDIRECT(FK$10&amp;ROW()))))</f>
        <v>#REF!</v>
      </c>
      <c r="FL12" s="142" t="e">
        <f ca="1">SUM((INDIRECT(FL$9&amp;ROW()):(INDIRECT(FL$10&amp;ROW()))))</f>
        <v>#REF!</v>
      </c>
      <c r="FN12" s="431">
        <f t="shared" ref="FN12:FN31" ca="1" si="21">SUM(FF12:FJ12)</f>
        <v>13991.909090909092</v>
      </c>
      <c r="FP12" s="72"/>
    </row>
    <row r="13" spans="1:173" outlineLevel="1">
      <c r="A13" t="s">
        <v>70</v>
      </c>
      <c r="B13" t="s">
        <v>328</v>
      </c>
      <c r="C13" s="73" t="s">
        <v>203</v>
      </c>
      <c r="D13" s="11"/>
      <c r="F13" s="2">
        <v>360</v>
      </c>
      <c r="G13" s="2">
        <v>470</v>
      </c>
      <c r="H13" s="2">
        <v>210</v>
      </c>
      <c r="I13"/>
      <c r="J13">
        <v>380</v>
      </c>
      <c r="K13"/>
      <c r="L13">
        <v>155</v>
      </c>
      <c r="M13" s="2">
        <v>215</v>
      </c>
      <c r="N13" s="2">
        <v>138</v>
      </c>
      <c r="P13" s="2">
        <v>0</v>
      </c>
      <c r="Q13" s="2">
        <v>0</v>
      </c>
      <c r="R13" s="2">
        <v>180</v>
      </c>
      <c r="S13" s="154">
        <v>100</v>
      </c>
      <c r="T13" s="2">
        <v>120</v>
      </c>
      <c r="U13"/>
      <c r="V13" s="2">
        <v>110</v>
      </c>
      <c r="W13" s="2">
        <v>310</v>
      </c>
      <c r="X13" s="2">
        <v>110</v>
      </c>
      <c r="Y13" s="2">
        <v>175</v>
      </c>
      <c r="Z13" s="2">
        <v>260</v>
      </c>
      <c r="AA13"/>
      <c r="AB13" s="2">
        <v>90</v>
      </c>
      <c r="AC13"/>
      <c r="AF13" s="2">
        <v>145</v>
      </c>
      <c r="AH13" s="2">
        <v>130</v>
      </c>
      <c r="AI13" s="2">
        <v>1680</v>
      </c>
      <c r="AJ13" s="2">
        <v>370</v>
      </c>
      <c r="AK13" s="2">
        <v>230</v>
      </c>
      <c r="AL13" s="2">
        <v>405</v>
      </c>
      <c r="AM13"/>
      <c r="AN13" s="2">
        <v>220</v>
      </c>
      <c r="AO13" s="2">
        <v>160</v>
      </c>
      <c r="AP13" s="2">
        <v>310</v>
      </c>
      <c r="AQ13" s="2">
        <v>105</v>
      </c>
      <c r="AR13" s="2">
        <v>150</v>
      </c>
      <c r="AS13" s="2">
        <v>130</v>
      </c>
      <c r="AT13" s="2">
        <v>135</v>
      </c>
      <c r="AV13" s="2">
        <v>320</v>
      </c>
      <c r="AW13" s="2">
        <v>395</v>
      </c>
      <c r="AX13" s="2">
        <v>375</v>
      </c>
      <c r="AY13">
        <v>300</v>
      </c>
      <c r="AZ13">
        <v>100</v>
      </c>
      <c r="BA13">
        <v>300</v>
      </c>
      <c r="BB13" s="2">
        <v>500</v>
      </c>
      <c r="BC13"/>
      <c r="BD13">
        <v>120</v>
      </c>
      <c r="BE13"/>
      <c r="BF13">
        <v>450</v>
      </c>
      <c r="BG13">
        <v>85</v>
      </c>
      <c r="BH13" t="s">
        <v>734</v>
      </c>
      <c r="BI13">
        <v>195</v>
      </c>
      <c r="BJ13">
        <v>1360</v>
      </c>
      <c r="BK13">
        <v>260</v>
      </c>
      <c r="BL13">
        <v>90</v>
      </c>
      <c r="BM13"/>
      <c r="BN13">
        <v>175</v>
      </c>
      <c r="BO13">
        <v>212</v>
      </c>
      <c r="BP13" s="2">
        <v>420</v>
      </c>
      <c r="BQ13">
        <v>0</v>
      </c>
      <c r="BR13">
        <v>350</v>
      </c>
      <c r="BS13">
        <v>90</v>
      </c>
      <c r="BT13"/>
      <c r="BU13">
        <f>145+470</f>
        <v>615</v>
      </c>
      <c r="BV13">
        <v>0</v>
      </c>
      <c r="BW13" s="2">
        <v>0</v>
      </c>
      <c r="BX13" s="2">
        <v>100</v>
      </c>
      <c r="BY13" s="2">
        <v>0</v>
      </c>
      <c r="CA13" s="2">
        <v>510</v>
      </c>
      <c r="CB13" s="2">
        <v>0</v>
      </c>
      <c r="CC13" s="2">
        <v>412</v>
      </c>
      <c r="CE13" s="2">
        <v>240</v>
      </c>
      <c r="CG13" s="2">
        <v>430</v>
      </c>
      <c r="CH13"/>
      <c r="CI13"/>
      <c r="CJ13"/>
      <c r="CK13"/>
      <c r="CL13">
        <v>510</v>
      </c>
      <c r="CM13" s="144">
        <v>305.4545454545455</v>
      </c>
      <c r="CN13" s="144">
        <v>278.72727272727275</v>
      </c>
      <c r="CO13" s="144">
        <v>366.54545454545456</v>
      </c>
      <c r="CP13" s="144">
        <v>358.90909090909093</v>
      </c>
      <c r="CQ13" s="144">
        <v>76.363636363636374</v>
      </c>
      <c r="CR13" s="144">
        <v>99.27272727272728</v>
      </c>
      <c r="CS13">
        <v>350</v>
      </c>
      <c r="CT13">
        <v>100</v>
      </c>
      <c r="CU13">
        <v>260</v>
      </c>
      <c r="CV13">
        <v>0</v>
      </c>
      <c r="CW13">
        <v>200</v>
      </c>
      <c r="CX13" s="2">
        <f>300+200+400</f>
        <v>900</v>
      </c>
      <c r="CY13" s="2">
        <v>0</v>
      </c>
      <c r="CZ13" s="2">
        <v>210</v>
      </c>
      <c r="DC13" s="2">
        <v>200</v>
      </c>
      <c r="DD13"/>
      <c r="DE13" s="2">
        <v>240</v>
      </c>
      <c r="DF13" s="2">
        <v>390</v>
      </c>
      <c r="DG13" s="2">
        <v>120</v>
      </c>
      <c r="DH13" s="2">
        <v>430</v>
      </c>
      <c r="DI13">
        <v>120</v>
      </c>
      <c r="DJ13">
        <v>480</v>
      </c>
      <c r="DK13">
        <f>180+25</f>
        <v>205</v>
      </c>
      <c r="DL13">
        <v>50</v>
      </c>
      <c r="DM13">
        <v>105</v>
      </c>
      <c r="DN13">
        <v>750</v>
      </c>
      <c r="DO13">
        <v>475</v>
      </c>
      <c r="DP13" s="474">
        <v>175</v>
      </c>
      <c r="DQ13">
        <v>800</v>
      </c>
      <c r="DR13">
        <f>170+30</f>
        <v>200</v>
      </c>
      <c r="DS13">
        <v>250</v>
      </c>
      <c r="DT13">
        <v>518</v>
      </c>
      <c r="DU13">
        <v>0</v>
      </c>
      <c r="DX13" s="29">
        <f t="shared" si="19"/>
        <v>25480.272727272728</v>
      </c>
      <c r="DY13" s="6">
        <f t="shared" si="20"/>
        <v>1004.7730926518806</v>
      </c>
      <c r="DZ13" s="27"/>
      <c r="EA13" s="27"/>
      <c r="FD13" s="73" t="s">
        <v>203</v>
      </c>
      <c r="FE13" s="142">
        <f ca="1">SUM((INDIRECT(FE$9&amp;ROW()):(INDIRECT(FE$10&amp;ROW()))))</f>
        <v>0</v>
      </c>
      <c r="FF13" s="142">
        <f ca="1">SUM((INDIRECT(FF$9&amp;ROW()):(INDIRECT(FF$10&amp;ROW()))))</f>
        <v>2748</v>
      </c>
      <c r="FG13" s="142">
        <f ca="1">SUM((INDIRECT(FG$9&amp;ROW()):(INDIRECT(FG$10&amp;ROW()))))</f>
        <v>7095</v>
      </c>
      <c r="FH13" s="142">
        <f ca="1">SUM((INDIRECT(FH$9&amp;ROW()):(INDIRECT(FH$10&amp;ROW()))))</f>
        <v>6114</v>
      </c>
      <c r="FI13" s="142">
        <f ca="1">SUM((INDIRECT(FI$9&amp;ROW()):(INDIRECT(FI$10&amp;ROW()))))</f>
        <v>5515.272727272727</v>
      </c>
      <c r="FJ13" s="142">
        <f ca="1">SUM((INDIRECT(FJ$9&amp;ROW()):(INDIRECT(FJ$10&amp;ROW()))))</f>
        <v>4008</v>
      </c>
      <c r="FK13" s="142" t="e">
        <f ca="1">SUM((INDIRECT(FK$9&amp;ROW()):(INDIRECT(FK$10&amp;ROW()))))</f>
        <v>#REF!</v>
      </c>
      <c r="FL13" s="142" t="e">
        <f ca="1">SUM((INDIRECT(FL$9&amp;ROW()):(INDIRECT(FL$10&amp;ROW()))))</f>
        <v>#REF!</v>
      </c>
      <c r="FN13" s="432">
        <f t="shared" ca="1" si="21"/>
        <v>25480.272727272728</v>
      </c>
      <c r="FP13" s="73"/>
    </row>
    <row r="14" spans="1:173" outlineLevel="1">
      <c r="A14" t="s">
        <v>70</v>
      </c>
      <c r="B14" t="s">
        <v>328</v>
      </c>
      <c r="C14" s="73" t="s">
        <v>204</v>
      </c>
      <c r="D14" s="11"/>
      <c r="F14" s="2">
        <v>140</v>
      </c>
      <c r="G14" s="2">
        <v>95</v>
      </c>
      <c r="H14" s="2">
        <v>218</v>
      </c>
      <c r="I14">
        <v>95</v>
      </c>
      <c r="J14">
        <v>120</v>
      </c>
      <c r="K14">
        <v>85</v>
      </c>
      <c r="L14">
        <v>120</v>
      </c>
      <c r="O14" s="2">
        <v>150</v>
      </c>
      <c r="P14" s="2">
        <v>120</v>
      </c>
      <c r="Q14" s="2">
        <v>45</v>
      </c>
      <c r="R14" s="2">
        <v>170</v>
      </c>
      <c r="S14" s="154">
        <v>145</v>
      </c>
      <c r="T14" s="2">
        <v>20</v>
      </c>
      <c r="U14" s="2">
        <v>450</v>
      </c>
      <c r="V14" s="2">
        <v>160</v>
      </c>
      <c r="W14" s="2">
        <v>165</v>
      </c>
      <c r="X14" s="2">
        <v>140</v>
      </c>
      <c r="Y14" s="2">
        <v>360</v>
      </c>
      <c r="Z14"/>
      <c r="AA14" s="2">
        <v>240</v>
      </c>
      <c r="AB14" s="2">
        <v>220</v>
      </c>
      <c r="AC14">
        <f>120+100</f>
        <v>220</v>
      </c>
      <c r="AD14" s="2">
        <v>200</v>
      </c>
      <c r="AE14" s="2">
        <v>95</v>
      </c>
      <c r="AF14" s="2">
        <v>140</v>
      </c>
      <c r="AG14" s="2">
        <v>826</v>
      </c>
      <c r="AH14" s="2">
        <v>170</v>
      </c>
      <c r="AL14">
        <v>150</v>
      </c>
      <c r="AM14">
        <v>90</v>
      </c>
      <c r="AN14" s="2">
        <v>150</v>
      </c>
      <c r="AO14" s="2">
        <v>100</v>
      </c>
      <c r="AP14" s="2">
        <v>130</v>
      </c>
      <c r="AR14" s="2">
        <v>100</v>
      </c>
      <c r="AT14" s="2">
        <v>115</v>
      </c>
      <c r="AU14" s="2">
        <v>180</v>
      </c>
      <c r="AV14" s="2">
        <v>150</v>
      </c>
      <c r="AW14" s="2">
        <v>177</v>
      </c>
      <c r="AX14" s="2">
        <v>210</v>
      </c>
      <c r="AY14">
        <v>260</v>
      </c>
      <c r="AZ14">
        <v>90</v>
      </c>
      <c r="BA14">
        <v>110</v>
      </c>
      <c r="BB14" s="2">
        <v>250</v>
      </c>
      <c r="BC14">
        <v>415</v>
      </c>
      <c r="BD14">
        <v>185</v>
      </c>
      <c r="BE14">
        <v>225</v>
      </c>
      <c r="BF14">
        <v>140</v>
      </c>
      <c r="BG14">
        <v>355</v>
      </c>
      <c r="BH14"/>
      <c r="BI14"/>
      <c r="BJ14">
        <v>95</v>
      </c>
      <c r="BK14">
        <v>150</v>
      </c>
      <c r="BL14">
        <v>97</v>
      </c>
      <c r="BM14"/>
      <c r="BN14">
        <v>25</v>
      </c>
      <c r="BO14"/>
      <c r="BP14" s="2">
        <v>180</v>
      </c>
      <c r="BQ14">
        <v>230</v>
      </c>
      <c r="BR14">
        <v>135</v>
      </c>
      <c r="BS14">
        <v>45</v>
      </c>
      <c r="BT14">
        <v>150</v>
      </c>
      <c r="BU14">
        <v>5</v>
      </c>
      <c r="BV14">
        <v>30</v>
      </c>
      <c r="BW14" s="2">
        <v>470</v>
      </c>
      <c r="BX14" s="2">
        <v>0</v>
      </c>
      <c r="BY14" s="2">
        <v>60</v>
      </c>
      <c r="CA14" s="2">
        <v>150</v>
      </c>
      <c r="CB14" s="2">
        <v>170</v>
      </c>
      <c r="CC14" s="2">
        <v>0</v>
      </c>
      <c r="CD14" s="2">
        <v>170</v>
      </c>
      <c r="CE14" s="2">
        <v>112</v>
      </c>
      <c r="CF14" s="2">
        <v>130</v>
      </c>
      <c r="CG14" s="2">
        <v>125</v>
      </c>
      <c r="CH14" s="2">
        <v>290</v>
      </c>
      <c r="CI14"/>
      <c r="CJ14" s="2">
        <v>105</v>
      </c>
      <c r="CK14" s="2">
        <v>810</v>
      </c>
      <c r="CL14" s="2">
        <v>105</v>
      </c>
      <c r="CM14" s="144">
        <v>290.18181818181819</v>
      </c>
      <c r="CN14" s="144">
        <v>412.36363636363637</v>
      </c>
      <c r="CO14" s="144">
        <v>458.18181818181819</v>
      </c>
      <c r="CP14" s="144">
        <v>190.90909090909091</v>
      </c>
      <c r="CQ14" s="144">
        <v>129.81818181818181</v>
      </c>
      <c r="CR14" s="144">
        <v>110</v>
      </c>
      <c r="CS14">
        <v>170</v>
      </c>
      <c r="CT14">
        <v>175</v>
      </c>
      <c r="CU14">
        <v>535</v>
      </c>
      <c r="CV14">
        <v>180</v>
      </c>
      <c r="CW14">
        <v>125</v>
      </c>
      <c r="CX14" s="2">
        <v>550</v>
      </c>
      <c r="CY14" s="2">
        <v>35</v>
      </c>
      <c r="CZ14" s="2">
        <v>0</v>
      </c>
      <c r="DB14" s="2">
        <f>25+50+5</f>
        <v>80</v>
      </c>
      <c r="DC14" s="2">
        <v>120</v>
      </c>
      <c r="DD14" s="2">
        <v>60</v>
      </c>
      <c r="DE14" s="2">
        <v>55</v>
      </c>
      <c r="DF14" s="2">
        <v>140</v>
      </c>
      <c r="DG14" s="2">
        <v>115</v>
      </c>
      <c r="DH14" s="2">
        <v>190</v>
      </c>
      <c r="DI14">
        <v>135</v>
      </c>
      <c r="DJ14">
        <v>140</v>
      </c>
      <c r="DK14">
        <v>120</v>
      </c>
      <c r="DL14">
        <v>0</v>
      </c>
      <c r="DM14">
        <v>125</v>
      </c>
      <c r="DN14">
        <v>150</v>
      </c>
      <c r="DO14">
        <v>190</v>
      </c>
      <c r="DP14">
        <v>790</v>
      </c>
      <c r="DQ14">
        <v>110</v>
      </c>
      <c r="DR14">
        <f>180+100</f>
        <v>280</v>
      </c>
      <c r="DS14">
        <v>180</v>
      </c>
      <c r="DT14">
        <v>100</v>
      </c>
      <c r="DU14">
        <v>0</v>
      </c>
      <c r="DX14" s="29">
        <f t="shared" si="19"/>
        <v>18771.454545454544</v>
      </c>
      <c r="DY14" s="6">
        <f t="shared" si="20"/>
        <v>740.2217644641886</v>
      </c>
      <c r="DZ14" s="27"/>
      <c r="EA14" s="27"/>
      <c r="FD14" s="73" t="s">
        <v>204</v>
      </c>
      <c r="FE14" s="142">
        <f ca="1">SUM((INDIRECT(FE$9&amp;ROW()):(INDIRECT(FE$10&amp;ROW()))))</f>
        <v>0</v>
      </c>
      <c r="FF14" s="142">
        <f ca="1">SUM((INDIRECT(FF$9&amp;ROW()):(INDIRECT(FF$10&amp;ROW()))))</f>
        <v>2298</v>
      </c>
      <c r="FG14" s="142">
        <f ca="1">SUM((INDIRECT(FG$9&amp;ROW()):(INDIRECT(FG$10&amp;ROW()))))</f>
        <v>4873</v>
      </c>
      <c r="FH14" s="142">
        <f ca="1">SUM((INDIRECT(FH$9&amp;ROW()):(INDIRECT(FH$10&amp;ROW()))))</f>
        <v>3849</v>
      </c>
      <c r="FI14" s="142">
        <f ca="1">SUM((INDIRECT(FI$9&amp;ROW()):(INDIRECT(FI$10&amp;ROW()))))</f>
        <v>5566.454545454546</v>
      </c>
      <c r="FJ14" s="142">
        <f ca="1">SUM((INDIRECT(FJ$9&amp;ROW()):(INDIRECT(FJ$10&amp;ROW()))))</f>
        <v>2185</v>
      </c>
      <c r="FK14" s="142" t="e">
        <f ca="1">SUM((INDIRECT(FK$9&amp;ROW()):(INDIRECT(FK$10&amp;ROW()))))</f>
        <v>#REF!</v>
      </c>
      <c r="FL14" s="142" t="e">
        <f ca="1">SUM((INDIRECT(FL$9&amp;ROW()):(INDIRECT(FL$10&amp;ROW()))))</f>
        <v>#REF!</v>
      </c>
      <c r="FN14" s="432">
        <f t="shared" ca="1" si="21"/>
        <v>18771.454545454544</v>
      </c>
      <c r="FP14" s="340">
        <f ca="1">SUM(FG12:FG16)/$Q$6</f>
        <v>734.9212598425197</v>
      </c>
    </row>
    <row r="15" spans="1:173" outlineLevel="1">
      <c r="A15" t="s">
        <v>70</v>
      </c>
      <c r="B15" t="s">
        <v>328</v>
      </c>
      <c r="C15" s="73" t="s">
        <v>146</v>
      </c>
      <c r="D15" s="11"/>
      <c r="F15" s="2">
        <v>85</v>
      </c>
      <c r="G15" s="2">
        <v>23</v>
      </c>
      <c r="H15" s="2">
        <f>65+30</f>
        <v>95</v>
      </c>
      <c r="I15">
        <v>23</v>
      </c>
      <c r="J15">
        <v>60</v>
      </c>
      <c r="K15">
        <v>113</v>
      </c>
      <c r="L15">
        <v>40</v>
      </c>
      <c r="M15" s="2">
        <v>875</v>
      </c>
      <c r="N15" s="2">
        <v>25</v>
      </c>
      <c r="O15" s="2">
        <v>130</v>
      </c>
      <c r="P15" s="2">
        <v>133</v>
      </c>
      <c r="Q15" s="2">
        <v>25</v>
      </c>
      <c r="R15" s="2">
        <v>65</v>
      </c>
      <c r="S15" s="154">
        <v>65</v>
      </c>
      <c r="T15" s="2">
        <v>30</v>
      </c>
      <c r="U15" s="2">
        <v>100</v>
      </c>
      <c r="V15" s="2">
        <v>135</v>
      </c>
      <c r="W15" s="2">
        <v>100</v>
      </c>
      <c r="X15" s="2">
        <v>50</v>
      </c>
      <c r="Y15"/>
      <c r="Z15" s="2">
        <v>20</v>
      </c>
      <c r="AA15" s="2">
        <v>90</v>
      </c>
      <c r="AB15" s="2">
        <v>180</v>
      </c>
      <c r="AC15">
        <f>25+23+12</f>
        <v>60</v>
      </c>
      <c r="AF15" s="2">
        <v>100</v>
      </c>
      <c r="AG15" s="2">
        <v>25</v>
      </c>
      <c r="AH15" s="2">
        <v>73</v>
      </c>
      <c r="AJ15" s="2">
        <v>125</v>
      </c>
      <c r="AK15" s="2">
        <v>145</v>
      </c>
      <c r="AL15" s="2">
        <v>25</v>
      </c>
      <c r="AM15" s="2">
        <v>80</v>
      </c>
      <c r="AN15" s="2">
        <v>75</v>
      </c>
      <c r="AO15" s="2">
        <v>100</v>
      </c>
      <c r="AP15" s="2">
        <v>23</v>
      </c>
      <c r="AQ15" s="2">
        <v>25</v>
      </c>
      <c r="AR15" s="2">
        <v>15</v>
      </c>
      <c r="AS15" s="2">
        <v>39</v>
      </c>
      <c r="AT15" s="2">
        <v>25</v>
      </c>
      <c r="AV15" s="2">
        <v>25</v>
      </c>
      <c r="AW15" s="2">
        <v>25</v>
      </c>
      <c r="AX15" s="2">
        <v>25</v>
      </c>
      <c r="AY15">
        <v>25</v>
      </c>
      <c r="AZ15">
        <f>40+23+25</f>
        <v>88</v>
      </c>
      <c r="BA15">
        <v>115</v>
      </c>
      <c r="BB15" s="2">
        <v>80</v>
      </c>
      <c r="BC15">
        <v>100</v>
      </c>
      <c r="BD15">
        <v>25</v>
      </c>
      <c r="BE15">
        <v>25</v>
      </c>
      <c r="BF15">
        <v>50</v>
      </c>
      <c r="BG15">
        <v>25</v>
      </c>
      <c r="BH15"/>
      <c r="BI15">
        <v>25</v>
      </c>
      <c r="BJ15">
        <v>25</v>
      </c>
      <c r="BK15">
        <v>25</v>
      </c>
      <c r="BL15">
        <v>25</v>
      </c>
      <c r="BM15">
        <v>25</v>
      </c>
      <c r="BN15">
        <v>15</v>
      </c>
      <c r="BO15">
        <v>25</v>
      </c>
      <c r="BP15" s="2">
        <v>25</v>
      </c>
      <c r="BQ15">
        <v>0</v>
      </c>
      <c r="BR15">
        <v>25</v>
      </c>
      <c r="BS15">
        <v>30</v>
      </c>
      <c r="BT15"/>
      <c r="BU15">
        <v>550</v>
      </c>
      <c r="BV15">
        <v>50</v>
      </c>
      <c r="BW15" s="2">
        <v>0</v>
      </c>
      <c r="BX15" s="2">
        <v>10</v>
      </c>
      <c r="BY15" s="2">
        <v>25</v>
      </c>
      <c r="BZ15" s="2">
        <v>25</v>
      </c>
      <c r="CB15" s="2">
        <v>25</v>
      </c>
      <c r="CC15" s="2">
        <v>50</v>
      </c>
      <c r="CD15" s="2">
        <v>25</v>
      </c>
      <c r="CE15" s="2">
        <v>105</v>
      </c>
      <c r="CF15" s="2">
        <v>75</v>
      </c>
      <c r="CG15" s="2">
        <v>25</v>
      </c>
      <c r="CH15" s="2">
        <v>25</v>
      </c>
      <c r="CI15" s="2">
        <v>20</v>
      </c>
      <c r="CJ15" s="2">
        <v>25</v>
      </c>
      <c r="CK15">
        <f>25+30</f>
        <v>55</v>
      </c>
      <c r="CL15" s="2">
        <v>30</v>
      </c>
      <c r="CM15" s="144">
        <v>91.63636363636364</v>
      </c>
      <c r="CN15" s="144">
        <v>38.181818181818187</v>
      </c>
      <c r="CO15" s="144">
        <v>57.272727272727273</v>
      </c>
      <c r="CP15" s="144">
        <v>0</v>
      </c>
      <c r="CQ15" s="144">
        <v>0</v>
      </c>
      <c r="CR15" s="144">
        <v>34.363636363636367</v>
      </c>
      <c r="CS15">
        <v>0</v>
      </c>
      <c r="CT15">
        <v>45</v>
      </c>
      <c r="CU15">
        <v>60</v>
      </c>
      <c r="CV15">
        <v>25</v>
      </c>
      <c r="CW15">
        <v>25</v>
      </c>
      <c r="CX15" s="2">
        <v>75</v>
      </c>
      <c r="CY15" s="2">
        <v>25</v>
      </c>
      <c r="CZ15" s="2">
        <v>25</v>
      </c>
      <c r="DA15" s="2">
        <f>15+220+90</f>
        <v>325</v>
      </c>
      <c r="DB15" s="2">
        <f>15+140</f>
        <v>155</v>
      </c>
      <c r="DC15" s="2">
        <v>25</v>
      </c>
      <c r="DD15" s="2">
        <v>25</v>
      </c>
      <c r="DE15" s="2" t="s">
        <v>732</v>
      </c>
      <c r="DF15" s="2">
        <v>25</v>
      </c>
      <c r="DG15" s="2">
        <f>75+60</f>
        <v>135</v>
      </c>
      <c r="DH15" s="2">
        <v>62</v>
      </c>
      <c r="DI15">
        <v>55</v>
      </c>
      <c r="DJ15">
        <v>25</v>
      </c>
      <c r="DK15">
        <v>25</v>
      </c>
      <c r="DL15">
        <v>0</v>
      </c>
      <c r="DM15">
        <v>60</v>
      </c>
      <c r="DN15">
        <v>50</v>
      </c>
      <c r="DO15">
        <v>25</v>
      </c>
      <c r="DP15">
        <f>30+50</f>
        <v>80</v>
      </c>
      <c r="DQ15">
        <f>25+25</f>
        <v>50</v>
      </c>
      <c r="DR15">
        <v>0</v>
      </c>
      <c r="DS15">
        <f>25+35</f>
        <v>60</v>
      </c>
      <c r="DT15">
        <v>0</v>
      </c>
      <c r="DU15"/>
      <c r="DX15" s="29">
        <f t="shared" si="19"/>
        <v>7053.454545454545</v>
      </c>
      <c r="DY15" s="6">
        <f t="shared" si="20"/>
        <v>278.14150238392659</v>
      </c>
      <c r="DZ15" s="27"/>
      <c r="EA15" s="27"/>
      <c r="FD15" s="73" t="s">
        <v>146</v>
      </c>
      <c r="FE15" s="142">
        <f ca="1">SUM((INDIRECT(FE$9&amp;ROW()):(INDIRECT(FE$10&amp;ROW()))))</f>
        <v>0</v>
      </c>
      <c r="FF15" s="142">
        <f ca="1">SUM((INDIRECT(FF$9&amp;ROW()):(INDIRECT(FF$10&amp;ROW()))))</f>
        <v>2122</v>
      </c>
      <c r="FG15" s="142">
        <f ca="1">SUM((INDIRECT(FG$9&amp;ROW()):(INDIRECT(FG$10&amp;ROW()))))</f>
        <v>1658</v>
      </c>
      <c r="FH15" s="142">
        <f ca="1">SUM((INDIRECT(FH$9&amp;ROW()):(INDIRECT(FH$10&amp;ROW()))))</f>
        <v>1435</v>
      </c>
      <c r="FI15" s="142">
        <f ca="1">SUM((INDIRECT(FI$9&amp;ROW()):(INDIRECT(FI$10&amp;ROW()))))</f>
        <v>1463.4545454545455</v>
      </c>
      <c r="FJ15" s="142">
        <f ca="1">SUM((INDIRECT(FJ$9&amp;ROW()):(INDIRECT(FJ$10&amp;ROW()))))</f>
        <v>375</v>
      </c>
      <c r="FK15" s="142" t="e">
        <f ca="1">SUM((INDIRECT(FK$9&amp;ROW()):(INDIRECT(FK$10&amp;ROW()))))</f>
        <v>#REF!</v>
      </c>
      <c r="FL15" s="142" t="e">
        <f ca="1">SUM((INDIRECT(FL$9&amp;ROW()):(INDIRECT(FL$10&amp;ROW()))))</f>
        <v>#REF!</v>
      </c>
      <c r="FN15" s="432">
        <f t="shared" ca="1" si="21"/>
        <v>7053.454545454546</v>
      </c>
      <c r="FP15" s="358"/>
    </row>
    <row r="16" spans="1:173" ht="15" outlineLevel="1" thickBot="1">
      <c r="A16" t="s">
        <v>70</v>
      </c>
      <c r="B16" t="s">
        <v>328</v>
      </c>
      <c r="C16" s="73" t="s">
        <v>630</v>
      </c>
      <c r="D16" s="11"/>
      <c r="E16" s="2">
        <v>0</v>
      </c>
      <c r="F16" s="2">
        <v>95</v>
      </c>
      <c r="I16"/>
      <c r="J16"/>
      <c r="K16">
        <v>100</v>
      </c>
      <c r="L16">
        <v>15</v>
      </c>
      <c r="M16" s="2">
        <v>15</v>
      </c>
      <c r="P16" s="2">
        <v>0</v>
      </c>
      <c r="Q16" s="2">
        <v>0</v>
      </c>
      <c r="R16" s="2">
        <f>15+200+70</f>
        <v>285</v>
      </c>
      <c r="S16" s="154"/>
      <c r="T16" s="2">
        <v>15</v>
      </c>
      <c r="U16"/>
      <c r="V16"/>
      <c r="W16" s="2">
        <v>90</v>
      </c>
      <c r="X16" s="2">
        <v>195</v>
      </c>
      <c r="Y16"/>
      <c r="Z16"/>
      <c r="AA16" s="2">
        <v>15</v>
      </c>
      <c r="AB16"/>
      <c r="AC16">
        <v>15</v>
      </c>
      <c r="AF16" s="2">
        <v>80</v>
      </c>
      <c r="AG16" s="2">
        <v>180</v>
      </c>
      <c r="AH16" s="2">
        <v>195</v>
      </c>
      <c r="AK16" s="2">
        <v>165</v>
      </c>
      <c r="AL16" s="2">
        <v>15</v>
      </c>
      <c r="AM16"/>
      <c r="AN16" s="2">
        <v>210</v>
      </c>
      <c r="AO16" s="2">
        <f>15+120</f>
        <v>135</v>
      </c>
      <c r="AQ16" s="2">
        <f>15+240</f>
        <v>255</v>
      </c>
      <c r="AS16" s="2">
        <v>50</v>
      </c>
      <c r="AT16" s="2">
        <v>180</v>
      </c>
      <c r="AU16" s="2">
        <f>15+100</f>
        <v>115</v>
      </c>
      <c r="AW16" s="2">
        <v>15</v>
      </c>
      <c r="AX16"/>
      <c r="AY16">
        <v>0</v>
      </c>
      <c r="AZ16">
        <v>0</v>
      </c>
      <c r="BA16">
        <v>0</v>
      </c>
      <c r="BB16" s="2">
        <v>70</v>
      </c>
      <c r="BC16">
        <v>50</v>
      </c>
      <c r="BD16">
        <v>15</v>
      </c>
      <c r="BE16"/>
      <c r="BF16">
        <v>15</v>
      </c>
      <c r="BG16"/>
      <c r="BH16"/>
      <c r="BI16">
        <f>15+180+126</f>
        <v>321</v>
      </c>
      <c r="BJ16"/>
      <c r="BK16">
        <v>15</v>
      </c>
      <c r="BL16">
        <v>140</v>
      </c>
      <c r="BM16"/>
      <c r="BN16">
        <v>80</v>
      </c>
      <c r="BO16">
        <v>15</v>
      </c>
      <c r="BP16" s="2">
        <v>135</v>
      </c>
      <c r="BQ16">
        <f>15+126</f>
        <v>141</v>
      </c>
      <c r="BR16">
        <v>0</v>
      </c>
      <c r="BS16">
        <f>15+240+520</f>
        <v>775</v>
      </c>
      <c r="BT16">
        <v>15</v>
      </c>
      <c r="BU16">
        <v>15</v>
      </c>
      <c r="BV16">
        <v>0</v>
      </c>
      <c r="BW16" s="2">
        <v>15</v>
      </c>
      <c r="BX16" s="2">
        <v>0</v>
      </c>
      <c r="BY16" s="2">
        <f>15+150</f>
        <v>165</v>
      </c>
      <c r="CA16" s="2">
        <v>20</v>
      </c>
      <c r="CB16" s="2">
        <v>15</v>
      </c>
      <c r="CC16" s="2" t="s">
        <v>798</v>
      </c>
      <c r="CD16" s="2">
        <f>15+150</f>
        <v>165</v>
      </c>
      <c r="CE16" s="2">
        <v>15</v>
      </c>
      <c r="CF16" s="2">
        <v>90</v>
      </c>
      <c r="CG16" s="2">
        <f>15+260+126</f>
        <v>401</v>
      </c>
      <c r="CH16"/>
      <c r="CI16">
        <v>180</v>
      </c>
      <c r="CJ16"/>
      <c r="CK16">
        <v>15</v>
      </c>
      <c r="CL16"/>
      <c r="CM16" s="144">
        <v>309.27272727272731</v>
      </c>
      <c r="CN16" s="144">
        <v>139.74545454545455</v>
      </c>
      <c r="CO16" s="144">
        <v>314.61818181818182</v>
      </c>
      <c r="CP16" s="144">
        <v>96.218181818181819</v>
      </c>
      <c r="CQ16" s="144">
        <v>323.78181818181821</v>
      </c>
      <c r="CR16" s="144">
        <v>15</v>
      </c>
      <c r="CS16">
        <v>15</v>
      </c>
      <c r="CT16">
        <f>15+110+260</f>
        <v>385</v>
      </c>
      <c r="CU16">
        <v>0</v>
      </c>
      <c r="CV16">
        <v>15</v>
      </c>
      <c r="CW16">
        <v>0</v>
      </c>
      <c r="CX16" s="2">
        <f>15+150</f>
        <v>165</v>
      </c>
      <c r="CY16" s="2">
        <f>15+180</f>
        <v>195</v>
      </c>
      <c r="CZ16" s="2">
        <v>15</v>
      </c>
      <c r="DC16" s="2">
        <v>15</v>
      </c>
      <c r="DD16" s="2">
        <f>15+150</f>
        <v>165</v>
      </c>
      <c r="DE16" s="2">
        <f>15+100</f>
        <v>115</v>
      </c>
      <c r="DF16" s="2">
        <v>0</v>
      </c>
      <c r="DG16" s="2">
        <f>15+40+140</f>
        <v>195</v>
      </c>
      <c r="DH16" s="2">
        <f>26+44+15+44</f>
        <v>129</v>
      </c>
      <c r="DI16">
        <v>0</v>
      </c>
      <c r="DJ16">
        <v>130</v>
      </c>
      <c r="DK16">
        <f>15+110</f>
        <v>125</v>
      </c>
      <c r="DL16">
        <v>0</v>
      </c>
      <c r="DM16">
        <v>0</v>
      </c>
      <c r="DN16">
        <v>0</v>
      </c>
      <c r="DO16">
        <v>0</v>
      </c>
      <c r="DP16">
        <v>15</v>
      </c>
      <c r="DQ16">
        <v>0</v>
      </c>
      <c r="DR16">
        <v>0</v>
      </c>
      <c r="DS16">
        <v>15</v>
      </c>
      <c r="DT16">
        <v>0</v>
      </c>
      <c r="DU16">
        <v>0</v>
      </c>
      <c r="DX16" s="29">
        <f t="shared" si="19"/>
        <v>8210.636363636364</v>
      </c>
      <c r="DY16" s="6">
        <f t="shared" si="20"/>
        <v>323.77308437914496</v>
      </c>
      <c r="DZ16" s="27"/>
      <c r="EA16" s="27"/>
      <c r="FD16" s="73" t="s">
        <v>630</v>
      </c>
      <c r="FE16" s="142">
        <f ca="1">SUM((INDIRECT(FE$9&amp;ROW()):(INDIRECT(FE$10&amp;ROW()))))</f>
        <v>0</v>
      </c>
      <c r="FF16" s="142">
        <f ca="1">SUM((INDIRECT(FF$9&amp;ROW()):(INDIRECT(FF$10&amp;ROW()))))</f>
        <v>615</v>
      </c>
      <c r="FG16" s="142">
        <f ca="1">SUM((INDIRECT(FG$9&amp;ROW()):(INDIRECT(FG$10&amp;ROW()))))</f>
        <v>1890</v>
      </c>
      <c r="FH16" s="142">
        <f ca="1">SUM((INDIRECT(FH$9&amp;ROW()):(INDIRECT(FH$10&amp;ROW()))))</f>
        <v>2618</v>
      </c>
      <c r="FI16" s="142">
        <f ca="1">SUM((INDIRECT(FI$9&amp;ROW()):(INDIRECT(FI$10&amp;ROW()))))</f>
        <v>2802.6363636363635</v>
      </c>
      <c r="FJ16" s="142">
        <f ca="1">SUM((INDIRECT(FJ$9&amp;ROW()):(INDIRECT(FJ$10&amp;ROW()))))</f>
        <v>285</v>
      </c>
      <c r="FK16" s="142" t="e">
        <f ca="1">SUM((INDIRECT(FK$9&amp;ROW()):(INDIRECT(FK$10&amp;ROW()))))</f>
        <v>#REF!</v>
      </c>
      <c r="FL16" s="142" t="e">
        <f ca="1">SUM((INDIRECT(FL$9&amp;ROW()):(INDIRECT(FL$10&amp;ROW()))))</f>
        <v>#REF!</v>
      </c>
      <c r="FN16" s="433">
        <f t="shared" ca="1" si="21"/>
        <v>8210.636363636364</v>
      </c>
      <c r="FP16" s="73"/>
    </row>
    <row r="17" spans="1:172" outlineLevel="1">
      <c r="A17" t="s">
        <v>70</v>
      </c>
      <c r="B17" t="s">
        <v>559</v>
      </c>
      <c r="C17" s="72" t="s">
        <v>149</v>
      </c>
      <c r="D17" s="11"/>
      <c r="I17"/>
      <c r="J17"/>
      <c r="K17"/>
      <c r="L17"/>
      <c r="M17" s="2">
        <v>40</v>
      </c>
      <c r="N17" s="2">
        <v>27</v>
      </c>
      <c r="O17" s="2">
        <v>60</v>
      </c>
      <c r="P17" s="2">
        <v>30</v>
      </c>
      <c r="Q17" s="2">
        <v>0</v>
      </c>
      <c r="R17" s="2">
        <v>0</v>
      </c>
      <c r="S17" s="154">
        <v>96</v>
      </c>
      <c r="U17" s="2">
        <v>105</v>
      </c>
      <c r="V17" s="2">
        <v>85</v>
      </c>
      <c r="W17" s="2">
        <v>25</v>
      </c>
      <c r="X17" s="2">
        <v>85</v>
      </c>
      <c r="Y17"/>
      <c r="Z17" s="2">
        <v>45</v>
      </c>
      <c r="AA17"/>
      <c r="AB17" s="2">
        <f>25+90</f>
        <v>115</v>
      </c>
      <c r="AC17">
        <v>30</v>
      </c>
      <c r="AD17" s="2">
        <v>30</v>
      </c>
      <c r="AE17" s="2">
        <v>25</v>
      </c>
      <c r="AF17" s="2">
        <v>165</v>
      </c>
      <c r="AG17" s="2">
        <v>30</v>
      </c>
      <c r="AI17" s="2">
        <v>40</v>
      </c>
      <c r="AJ17" s="2">
        <v>30</v>
      </c>
      <c r="AK17" s="2">
        <v>150</v>
      </c>
      <c r="AL17" s="2">
        <v>35</v>
      </c>
      <c r="AM17" s="2">
        <v>70</v>
      </c>
      <c r="AN17" s="2">
        <v>40</v>
      </c>
      <c r="AO17" s="2">
        <v>50</v>
      </c>
      <c r="AP17" s="2">
        <f>30+25</f>
        <v>55</v>
      </c>
      <c r="AQ17" s="2">
        <f>30+25</f>
        <v>55</v>
      </c>
      <c r="AR17" s="2">
        <f>15+9</f>
        <v>24</v>
      </c>
      <c r="AS17" s="2">
        <v>24</v>
      </c>
      <c r="AT17" s="2">
        <v>100</v>
      </c>
      <c r="AV17" s="2">
        <f>85+40+40</f>
        <v>165</v>
      </c>
      <c r="AW17" s="2">
        <v>90</v>
      </c>
      <c r="AX17" s="2">
        <f>50+40</f>
        <v>90</v>
      </c>
      <c r="AY17">
        <v>40</v>
      </c>
      <c r="AZ17">
        <v>90</v>
      </c>
      <c r="BA17">
        <v>40</v>
      </c>
      <c r="BB17" s="2">
        <v>0</v>
      </c>
      <c r="BC17">
        <v>130</v>
      </c>
      <c r="BD17">
        <v>40</v>
      </c>
      <c r="BE17">
        <v>80</v>
      </c>
      <c r="BF17">
        <v>40</v>
      </c>
      <c r="BG17">
        <v>70</v>
      </c>
      <c r="BH17"/>
      <c r="BI17">
        <v>50</v>
      </c>
      <c r="BJ17">
        <v>40</v>
      </c>
      <c r="BK17">
        <v>25</v>
      </c>
      <c r="BL17">
        <v>75</v>
      </c>
      <c r="BM17">
        <v>80</v>
      </c>
      <c r="BN17"/>
      <c r="BO17">
        <v>50</v>
      </c>
      <c r="BP17" s="2">
        <v>40</v>
      </c>
      <c r="BQ17">
        <v>50</v>
      </c>
      <c r="BR17">
        <v>55</v>
      </c>
      <c r="BS17">
        <v>90</v>
      </c>
      <c r="BT17"/>
      <c r="BU17"/>
      <c r="BV17">
        <v>0</v>
      </c>
      <c r="BW17" s="2">
        <v>9</v>
      </c>
      <c r="BX17" s="2">
        <v>9</v>
      </c>
      <c r="BY17" s="2">
        <v>0</v>
      </c>
      <c r="CA17" s="2">
        <v>15</v>
      </c>
      <c r="CB17" s="2">
        <v>0</v>
      </c>
      <c r="CC17" s="2">
        <v>100</v>
      </c>
      <c r="CD17" s="2">
        <v>0</v>
      </c>
      <c r="CE17" s="2">
        <v>0</v>
      </c>
      <c r="CH17"/>
      <c r="CI17"/>
      <c r="CJ17"/>
      <c r="CK17"/>
      <c r="CL17"/>
      <c r="CM17" s="144">
        <v>0</v>
      </c>
      <c r="CN17" s="144">
        <v>0</v>
      </c>
      <c r="CO17" s="144">
        <v>0</v>
      </c>
      <c r="CP17" s="144">
        <v>129.81818181818181</v>
      </c>
      <c r="CQ17" s="144">
        <v>68.727272727272734</v>
      </c>
      <c r="CR17" s="144"/>
      <c r="CS17">
        <v>0</v>
      </c>
      <c r="CT17">
        <v>0</v>
      </c>
      <c r="CU17">
        <v>0</v>
      </c>
      <c r="CV17">
        <v>0</v>
      </c>
      <c r="CW17">
        <v>0</v>
      </c>
      <c r="CX17" s="2">
        <v>0</v>
      </c>
      <c r="CY17" s="2">
        <v>0</v>
      </c>
      <c r="CZ17" s="2">
        <f>30+150+50</f>
        <v>230</v>
      </c>
      <c r="DD17" s="2">
        <v>10</v>
      </c>
      <c r="DE17" s="2">
        <v>110</v>
      </c>
      <c r="DF17" s="2">
        <v>30</v>
      </c>
      <c r="DI17">
        <v>30</v>
      </c>
      <c r="DJ17">
        <v>0</v>
      </c>
      <c r="DK17">
        <v>0</v>
      </c>
      <c r="DL17">
        <v>0</v>
      </c>
      <c r="DM17">
        <v>30</v>
      </c>
      <c r="DN17">
        <v>30</v>
      </c>
      <c r="DO17">
        <v>0</v>
      </c>
      <c r="DP17">
        <f>5+50</f>
        <v>55</v>
      </c>
      <c r="DQ17">
        <v>0</v>
      </c>
      <c r="DR17" s="2">
        <v>2000</v>
      </c>
      <c r="DS17">
        <v>0</v>
      </c>
      <c r="DT17"/>
      <c r="DU17"/>
      <c r="DX17" s="29">
        <f t="shared" si="19"/>
        <v>5952.545454545454</v>
      </c>
      <c r="DY17" s="6">
        <f t="shared" si="20"/>
        <v>234.72894381985287</v>
      </c>
      <c r="DZ17" s="27"/>
      <c r="EA17" s="27"/>
      <c r="FD17" s="72" t="s">
        <v>149</v>
      </c>
      <c r="FE17" s="142">
        <f ca="1">SUM((INDIRECT(FE$9&amp;ROW()):(INDIRECT(FE$10&amp;ROW()))))</f>
        <v>0</v>
      </c>
      <c r="FF17" s="142">
        <f ca="1">SUM((INDIRECT(FF$9&amp;ROW()):(INDIRECT(FF$10&amp;ROW()))))</f>
        <v>468</v>
      </c>
      <c r="FG17" s="142">
        <f ca="1">SUM((INDIRECT(FG$9&amp;ROW()):(INDIRECT(FG$10&amp;ROW()))))</f>
        <v>1713</v>
      </c>
      <c r="FH17" s="142">
        <f ca="1">SUM((INDIRECT(FH$9&amp;ROW()):(INDIRECT(FH$10&amp;ROW()))))</f>
        <v>1048</v>
      </c>
      <c r="FI17" s="142">
        <f ca="1">SUM((INDIRECT(FI$9&amp;ROW()):(INDIRECT(FI$10&amp;ROW()))))</f>
        <v>608.5454545454545</v>
      </c>
      <c r="FJ17" s="142">
        <f ca="1">SUM((INDIRECT(FJ$9&amp;ROW()):(INDIRECT(FJ$10&amp;ROW()))))</f>
        <v>2115</v>
      </c>
      <c r="FK17" s="142" t="e">
        <f ca="1">SUM((INDIRECT(FK$9&amp;ROW()):(INDIRECT(FK$10&amp;ROW()))))</f>
        <v>#REF!</v>
      </c>
      <c r="FL17" s="142" t="e">
        <f ca="1">SUM((INDIRECT(FL$9&amp;ROW()):(INDIRECT(FL$10&amp;ROW()))))</f>
        <v>#REF!</v>
      </c>
      <c r="FN17" s="431">
        <f t="shared" ca="1" si="21"/>
        <v>5952.545454545454</v>
      </c>
      <c r="FP17" s="72"/>
    </row>
    <row r="18" spans="1:172" outlineLevel="1">
      <c r="A18" t="s">
        <v>70</v>
      </c>
      <c r="B18" t="s">
        <v>559</v>
      </c>
      <c r="C18" s="73" t="s">
        <v>632</v>
      </c>
      <c r="D18" s="11"/>
      <c r="F18" s="2">
        <f>220+120</f>
        <v>340</v>
      </c>
      <c r="I18"/>
      <c r="J18"/>
      <c r="K18"/>
      <c r="M18"/>
      <c r="N18" s="2">
        <v>447</v>
      </c>
      <c r="S18" s="154"/>
      <c r="U18" s="2">
        <v>110</v>
      </c>
      <c r="V18"/>
      <c r="W18"/>
      <c r="X18"/>
      <c r="Y18" s="2">
        <v>100</v>
      </c>
      <c r="Z18">
        <v>50</v>
      </c>
      <c r="AA18"/>
      <c r="AB18"/>
      <c r="AC18"/>
      <c r="AF18"/>
      <c r="AJ18" s="2">
        <v>70</v>
      </c>
      <c r="AK18" s="2">
        <v>200</v>
      </c>
      <c r="AL18" s="280">
        <v>1736</v>
      </c>
      <c r="AM18">
        <v>80</v>
      </c>
      <c r="AS18" s="2">
        <v>35</v>
      </c>
      <c r="AW18"/>
      <c r="AX18" s="2">
        <v>50</v>
      </c>
      <c r="AY18"/>
      <c r="AZ18">
        <v>100</v>
      </c>
      <c r="BA18"/>
      <c r="BC18"/>
      <c r="BD18"/>
      <c r="BE18">
        <v>40</v>
      </c>
      <c r="BF18"/>
      <c r="BG18">
        <v>30</v>
      </c>
      <c r="BH18"/>
      <c r="BI18"/>
      <c r="BJ18"/>
      <c r="BK18"/>
      <c r="BL18"/>
      <c r="BM18"/>
      <c r="BN18"/>
      <c r="BO18" s="280">
        <v>1294</v>
      </c>
      <c r="BP18"/>
      <c r="BQ18"/>
      <c r="BR18"/>
      <c r="BS18"/>
      <c r="BT18"/>
      <c r="BU18"/>
      <c r="BV18"/>
      <c r="BX18" s="2">
        <v>0</v>
      </c>
      <c r="BZ18" s="280">
        <v>800</v>
      </c>
      <c r="CA18" s="2">
        <v>180</v>
      </c>
      <c r="CB18" s="2">
        <v>0</v>
      </c>
      <c r="CD18" s="2">
        <v>0</v>
      </c>
      <c r="CE18" s="2">
        <v>0</v>
      </c>
      <c r="CH18">
        <v>600</v>
      </c>
      <c r="CI18" s="2">
        <v>30</v>
      </c>
      <c r="CJ18"/>
      <c r="CK18"/>
      <c r="CL18"/>
      <c r="CM18" s="144">
        <v>267.27272727272731</v>
      </c>
      <c r="CN18" s="144">
        <v>42</v>
      </c>
      <c r="CO18" s="144">
        <v>0</v>
      </c>
      <c r="CP18" s="144">
        <v>0</v>
      </c>
      <c r="CQ18" s="144">
        <v>0</v>
      </c>
      <c r="CR18" s="144">
        <v>87.054545454545462</v>
      </c>
      <c r="CS18">
        <v>0</v>
      </c>
      <c r="CT18">
        <v>0</v>
      </c>
      <c r="CU18" t="s">
        <v>845</v>
      </c>
      <c r="CV18">
        <v>0</v>
      </c>
      <c r="CW18"/>
      <c r="CY18" s="2">
        <f>20+20</f>
        <v>40</v>
      </c>
      <c r="DB18" s="2">
        <v>50</v>
      </c>
      <c r="DF18" s="2">
        <v>50</v>
      </c>
      <c r="DG18" s="2">
        <v>0</v>
      </c>
      <c r="DI18">
        <v>0</v>
      </c>
      <c r="DJ18">
        <v>0</v>
      </c>
      <c r="DK18">
        <v>60</v>
      </c>
      <c r="DL18">
        <v>0</v>
      </c>
      <c r="DM18">
        <v>0</v>
      </c>
      <c r="DN18">
        <v>0</v>
      </c>
      <c r="DO18"/>
      <c r="DP18"/>
      <c r="DQ18"/>
      <c r="DR18"/>
      <c r="DS18"/>
      <c r="DT18"/>
      <c r="DU18"/>
      <c r="DX18" s="29">
        <f t="shared" si="19"/>
        <v>6888.3272727272724</v>
      </c>
      <c r="DY18" s="6">
        <f t="shared" si="20"/>
        <v>271.62997708452252</v>
      </c>
      <c r="DZ18" s="27"/>
      <c r="EA18" s="27"/>
      <c r="EB18" s="2">
        <v>437.5</v>
      </c>
      <c r="EC18" s="2">
        <v>437.5</v>
      </c>
      <c r="EF18" s="2">
        <v>437.5</v>
      </c>
      <c r="EG18" s="2">
        <v>437.5</v>
      </c>
      <c r="FD18" s="73" t="s">
        <v>632</v>
      </c>
      <c r="FE18" s="142">
        <f ca="1">SUM((INDIRECT(FE$9&amp;ROW()):(INDIRECT(FE$10&amp;ROW()))))</f>
        <v>0</v>
      </c>
      <c r="FF18" s="142">
        <f ca="1">SUM((INDIRECT(FF$9&amp;ROW()):(INDIRECT(FF$10&amp;ROW()))))</f>
        <v>897</v>
      </c>
      <c r="FG18" s="142">
        <f ca="1">SUM((INDIRECT(FG$9&amp;ROW()):(INDIRECT(FG$10&amp;ROW()))))</f>
        <v>2421</v>
      </c>
      <c r="FH18" s="142">
        <f ca="1">SUM((INDIRECT(FH$9&amp;ROW()):(INDIRECT(FH$10&amp;ROW()))))</f>
        <v>2344</v>
      </c>
      <c r="FI18" s="142">
        <f ca="1">SUM((INDIRECT(FI$9&amp;ROW()):(INDIRECT(FI$10&amp;ROW()))))</f>
        <v>1166.3272727272727</v>
      </c>
      <c r="FJ18" s="142">
        <f ca="1">SUM((INDIRECT(FJ$9&amp;ROW()):(INDIRECT(FJ$10&amp;ROW()))))</f>
        <v>60</v>
      </c>
      <c r="FK18" s="142" t="e">
        <f ca="1">SUM((INDIRECT(FK$9&amp;ROW()):(INDIRECT(FK$10&amp;ROW()))))</f>
        <v>#REF!</v>
      </c>
      <c r="FL18" s="142" t="e">
        <f ca="1">SUM((INDIRECT(FL$9&amp;ROW()):(INDIRECT(FL$10&amp;ROW()))))</f>
        <v>#REF!</v>
      </c>
      <c r="FN18" s="432">
        <f t="shared" ca="1" si="21"/>
        <v>6888.3272727272724</v>
      </c>
      <c r="FP18" s="340">
        <f ca="1">SUM(FG17:FG19)/$Q$6</f>
        <v>672.99212598425197</v>
      </c>
    </row>
    <row r="19" spans="1:172" ht="15" outlineLevel="1" thickBot="1">
      <c r="A19" t="s">
        <v>70</v>
      </c>
      <c r="B19" t="s">
        <v>559</v>
      </c>
      <c r="C19" s="74" t="s">
        <v>629</v>
      </c>
      <c r="D19" s="11"/>
      <c r="F19" s="99">
        <v>1090</v>
      </c>
      <c r="G19" s="140">
        <v>1090</v>
      </c>
      <c r="H19" s="140">
        <v>1092</v>
      </c>
      <c r="I19" s="70">
        <v>1092</v>
      </c>
      <c r="J19" s="70">
        <v>1092</v>
      </c>
      <c r="K19" s="70">
        <v>1092</v>
      </c>
      <c r="L19" s="71">
        <v>1092</v>
      </c>
      <c r="M19">
        <v>0</v>
      </c>
      <c r="N19" s="2">
        <v>400</v>
      </c>
      <c r="O19" s="2">
        <v>400</v>
      </c>
      <c r="P19" s="2">
        <v>400</v>
      </c>
      <c r="Q19" s="2">
        <v>400</v>
      </c>
      <c r="R19" s="2">
        <v>400</v>
      </c>
      <c r="S19" s="154">
        <v>400</v>
      </c>
      <c r="T19" s="154">
        <v>400</v>
      </c>
      <c r="U19" s="154">
        <v>400</v>
      </c>
      <c r="V19" s="154">
        <v>400</v>
      </c>
      <c r="W19" s="154">
        <v>400</v>
      </c>
      <c r="X19" s="154">
        <v>387.1</v>
      </c>
      <c r="Y19" s="154">
        <v>387.1</v>
      </c>
      <c r="Z19" s="154">
        <v>387.1</v>
      </c>
      <c r="AA19" s="154">
        <v>387.1</v>
      </c>
      <c r="AB19" s="154">
        <v>387.1</v>
      </c>
      <c r="AC19" s="154">
        <v>387.1</v>
      </c>
      <c r="AD19" s="154">
        <v>387.1</v>
      </c>
      <c r="AE19" s="154">
        <v>387.1</v>
      </c>
      <c r="AF19" s="154">
        <v>387.1</v>
      </c>
      <c r="AG19" s="154">
        <v>387.1</v>
      </c>
      <c r="AH19" s="154">
        <v>387.1</v>
      </c>
      <c r="AI19" s="154">
        <v>387.1</v>
      </c>
      <c r="AJ19" s="154">
        <v>387.1</v>
      </c>
      <c r="AK19" s="154">
        <v>387.1</v>
      </c>
      <c r="AL19" s="154">
        <v>387.1</v>
      </c>
      <c r="AM19" s="154">
        <v>387.1</v>
      </c>
      <c r="AN19" s="154">
        <v>387.1</v>
      </c>
      <c r="AO19" s="154">
        <v>387.1</v>
      </c>
      <c r="AP19" s="154">
        <v>387.1</v>
      </c>
      <c r="AQ19" s="154">
        <v>387.1</v>
      </c>
      <c r="AR19" s="154">
        <v>387.1</v>
      </c>
      <c r="AS19" s="154">
        <v>387.1</v>
      </c>
      <c r="AT19" s="154">
        <v>387.1</v>
      </c>
      <c r="AU19" s="154">
        <v>387.1</v>
      </c>
      <c r="AV19" s="154">
        <v>387.1</v>
      </c>
      <c r="AW19" s="154">
        <v>387.1</v>
      </c>
      <c r="AX19" s="154">
        <v>387.1</v>
      </c>
      <c r="AY19" s="154">
        <v>387.1</v>
      </c>
      <c r="AZ19" s="154">
        <v>387.1</v>
      </c>
      <c r="BA19" s="154">
        <v>387.1</v>
      </c>
      <c r="BB19" s="100">
        <f>12000-SUM($X19:BA19)+960</f>
        <v>1346.9999999999945</v>
      </c>
      <c r="BC19" s="154">
        <v>387.1</v>
      </c>
      <c r="BD19" s="154">
        <v>387.1</v>
      </c>
      <c r="BE19" s="154">
        <v>387.1</v>
      </c>
      <c r="BF19" s="154">
        <v>387.1</v>
      </c>
      <c r="BG19" s="154">
        <v>387.1</v>
      </c>
      <c r="BH19" s="154">
        <v>387.1</v>
      </c>
      <c r="BI19" s="154">
        <v>387.1</v>
      </c>
      <c r="BJ19" s="154">
        <v>387.1</v>
      </c>
      <c r="BK19" s="154">
        <v>387.1</v>
      </c>
      <c r="BL19" s="154">
        <v>387.1</v>
      </c>
      <c r="BM19" s="154">
        <v>387.1</v>
      </c>
      <c r="BN19" s="154">
        <v>387.1</v>
      </c>
      <c r="BO19" s="154">
        <v>387.1</v>
      </c>
      <c r="BP19" s="154">
        <v>387.1</v>
      </c>
      <c r="BQ19" s="154">
        <v>387.1</v>
      </c>
      <c r="BR19" s="154">
        <v>387.1</v>
      </c>
      <c r="BS19" s="154">
        <v>387.1</v>
      </c>
      <c r="BT19" s="154">
        <v>387.1</v>
      </c>
      <c r="BU19" s="154">
        <v>387.1</v>
      </c>
      <c r="BV19" s="154">
        <v>387.1</v>
      </c>
      <c r="BW19" s="154">
        <v>387.1</v>
      </c>
      <c r="BX19" s="154">
        <v>387.1</v>
      </c>
      <c r="BY19" s="154">
        <v>387.1</v>
      </c>
      <c r="BZ19" s="154">
        <v>387.1</v>
      </c>
      <c r="CA19" s="154">
        <v>387.1</v>
      </c>
      <c r="CB19" s="154">
        <v>387.1</v>
      </c>
      <c r="CC19" s="154">
        <v>387.1</v>
      </c>
      <c r="CD19" s="154">
        <v>387.1</v>
      </c>
      <c r="CE19" s="154">
        <v>387.1</v>
      </c>
      <c r="CF19" s="154">
        <v>387.1</v>
      </c>
      <c r="CG19" s="462">
        <f>397+1296</f>
        <v>1693</v>
      </c>
      <c r="CH19" s="154">
        <v>428.57</v>
      </c>
      <c r="CI19" s="154">
        <v>428.57</v>
      </c>
      <c r="CJ19" s="154">
        <v>428.57</v>
      </c>
      <c r="CK19" s="154">
        <v>428.57</v>
      </c>
      <c r="CL19" s="154">
        <v>428.57</v>
      </c>
      <c r="CM19" s="154">
        <v>428.57</v>
      </c>
      <c r="CN19" s="154">
        <v>428.57</v>
      </c>
      <c r="CO19" s="154">
        <v>428.57</v>
      </c>
      <c r="CP19" s="154">
        <v>428.57</v>
      </c>
      <c r="CQ19" s="154">
        <v>428.57</v>
      </c>
      <c r="CR19" s="154">
        <v>428.57</v>
      </c>
      <c r="CS19" s="154">
        <v>428.57</v>
      </c>
      <c r="CT19" s="154">
        <v>428.57</v>
      </c>
      <c r="CU19" s="154">
        <v>428.57</v>
      </c>
      <c r="CV19" s="154">
        <v>428.57</v>
      </c>
      <c r="CW19" s="154">
        <v>428.57</v>
      </c>
      <c r="CX19" s="154">
        <v>428.57</v>
      </c>
      <c r="CY19" s="154">
        <v>428.57</v>
      </c>
      <c r="CZ19" s="154">
        <v>428.57</v>
      </c>
      <c r="DA19" s="154">
        <v>428.57</v>
      </c>
      <c r="DB19" s="154">
        <v>428.57</v>
      </c>
      <c r="DC19" s="154">
        <v>428.57</v>
      </c>
      <c r="DD19" s="154">
        <v>428.57</v>
      </c>
      <c r="DE19" s="154">
        <v>428.57</v>
      </c>
      <c r="DF19" s="154">
        <v>428.57</v>
      </c>
      <c r="DG19" s="154">
        <v>428.57</v>
      </c>
      <c r="DH19" s="154">
        <v>428.57</v>
      </c>
      <c r="DI19" s="213">
        <f>12000-SUM($CH$19:DH19)</f>
        <v>428.61000000000422</v>
      </c>
      <c r="DJ19" s="426">
        <v>400</v>
      </c>
      <c r="DK19" s="426">
        <v>400</v>
      </c>
      <c r="DL19" s="426">
        <v>400</v>
      </c>
      <c r="DM19" s="426">
        <v>400</v>
      </c>
      <c r="DN19" s="426">
        <v>400</v>
      </c>
      <c r="DO19" s="426">
        <v>400</v>
      </c>
      <c r="DP19" s="426">
        <v>400</v>
      </c>
      <c r="DQ19" s="426">
        <v>400</v>
      </c>
      <c r="DR19" s="426">
        <v>400</v>
      </c>
      <c r="DS19" s="4">
        <v>1208</v>
      </c>
      <c r="DT19" s="426"/>
      <c r="DU19" s="426"/>
      <c r="DW19" s="186"/>
      <c r="DX19" s="29">
        <f t="shared" si="19"/>
        <v>54713.999999999927</v>
      </c>
      <c r="DY19" s="6">
        <f t="shared" si="20"/>
        <v>2157.5575575575544</v>
      </c>
      <c r="DZ19" s="27"/>
      <c r="EA19" s="27"/>
      <c r="FD19" s="74" t="s">
        <v>629</v>
      </c>
      <c r="FE19" s="142">
        <f ca="1">SUM((INDIRECT(FE$9&amp;ROW()):(INDIRECT(FE$10&amp;ROW()))))</f>
        <v>0</v>
      </c>
      <c r="FF19" s="142">
        <f ca="1">SUM((INDIRECT(FF$9&amp;ROW()):(INDIRECT(FF$10&amp;ROW()))))</f>
        <v>11640</v>
      </c>
      <c r="FG19" s="142">
        <f ca="1">SUM((INDIRECT(FG$9&amp;ROW()):(INDIRECT(FG$10&amp;ROW()))))</f>
        <v>12960</v>
      </c>
      <c r="FH19" s="142">
        <f ca="1">SUM((INDIRECT(FH$9&amp;ROW()):(INDIRECT(FH$10&amp;ROW()))))</f>
        <v>13306.000000000005</v>
      </c>
      <c r="FI19" s="142">
        <f ca="1">SUM((INDIRECT(FI$9&amp;ROW()):(INDIRECT(FI$10&amp;ROW()))))</f>
        <v>12000</v>
      </c>
      <c r="FJ19" s="142">
        <f ca="1">SUM((INDIRECT(FJ$9&amp;ROW()):(INDIRECT(FJ$10&amp;ROW()))))</f>
        <v>4808</v>
      </c>
      <c r="FK19" s="142" t="e">
        <f ca="1">SUM((INDIRECT(FK$9&amp;ROW()):(INDIRECT(FK$10&amp;ROW()))))</f>
        <v>#REF!</v>
      </c>
      <c r="FL19" s="142" t="e">
        <f ca="1">SUM((INDIRECT(FL$9&amp;ROW()):(INDIRECT(FL$10&amp;ROW()))))</f>
        <v>#REF!</v>
      </c>
      <c r="FN19" s="433">
        <f t="shared" ca="1" si="21"/>
        <v>54714.000000000007</v>
      </c>
      <c r="FP19" s="74"/>
    </row>
    <row r="20" spans="1:172" outlineLevel="1">
      <c r="A20" t="s">
        <v>70</v>
      </c>
      <c r="B20" t="s">
        <v>23</v>
      </c>
      <c r="C20" s="72" t="s">
        <v>23</v>
      </c>
      <c r="D20" s="11"/>
      <c r="E20"/>
      <c r="M20"/>
      <c r="N20"/>
      <c r="Q20"/>
      <c r="R20" s="2">
        <f>370+110</f>
        <v>480</v>
      </c>
      <c r="S20" s="154">
        <f>370+96</f>
        <v>466</v>
      </c>
      <c r="T20" s="2">
        <v>370</v>
      </c>
      <c r="U20"/>
      <c r="V20"/>
      <c r="W20"/>
      <c r="X20"/>
      <c r="Y20"/>
      <c r="Z20"/>
      <c r="AA20"/>
      <c r="AB20"/>
      <c r="AC20"/>
      <c r="AD20" s="2">
        <f>260+480</f>
        <v>740</v>
      </c>
      <c r="AL20"/>
      <c r="AM20"/>
      <c r="AW20"/>
      <c r="AX20"/>
      <c r="AY20"/>
      <c r="AZ20"/>
      <c r="BA20"/>
      <c r="BB20"/>
      <c r="BC20"/>
      <c r="BD20"/>
      <c r="BE20"/>
      <c r="BF20"/>
      <c r="BG20"/>
      <c r="BH20"/>
      <c r="BI20"/>
      <c r="BJ20"/>
      <c r="BK20"/>
      <c r="BL20"/>
      <c r="BM20"/>
      <c r="BN20"/>
      <c r="BO20"/>
      <c r="BP20"/>
      <c r="BQ20"/>
      <c r="BR20"/>
      <c r="BS20"/>
      <c r="BT20"/>
      <c r="BU20"/>
      <c r="BV20">
        <v>200</v>
      </c>
      <c r="CH20"/>
      <c r="CI20"/>
      <c r="CJ20"/>
      <c r="CK20"/>
      <c r="CL20"/>
      <c r="CM20" s="144">
        <v>458.18181818181819</v>
      </c>
      <c r="CN20" s="144">
        <v>0</v>
      </c>
      <c r="CO20" s="144">
        <v>0</v>
      </c>
      <c r="CP20" s="144">
        <v>0</v>
      </c>
      <c r="CQ20" s="144">
        <v>267.27272727272731</v>
      </c>
      <c r="CR20" s="144">
        <v>0</v>
      </c>
      <c r="CS20"/>
      <c r="CT20"/>
      <c r="CU20"/>
      <c r="CV20"/>
      <c r="CW20"/>
      <c r="DG20" s="2">
        <v>150</v>
      </c>
      <c r="DH20" s="2">
        <v>22</v>
      </c>
      <c r="DI20" s="2">
        <v>150</v>
      </c>
      <c r="DJ20"/>
      <c r="DK20"/>
      <c r="DL20"/>
      <c r="DM20"/>
      <c r="DN20"/>
      <c r="DO20"/>
      <c r="DP20"/>
      <c r="DQ20"/>
      <c r="DR20"/>
      <c r="DS20"/>
      <c r="DT20"/>
      <c r="DU20"/>
      <c r="DW20" s="179"/>
      <c r="DX20" s="29">
        <f t="shared" si="19"/>
        <v>3303.4545454545455</v>
      </c>
      <c r="DY20" s="6">
        <f t="shared" si="20"/>
        <v>130.26635450877876</v>
      </c>
      <c r="DZ20" s="27"/>
      <c r="EA20" s="27"/>
      <c r="FD20" s="72" t="s">
        <v>23</v>
      </c>
      <c r="FE20" s="142">
        <f ca="1">SUM((INDIRECT(FE$9&amp;ROW()):(INDIRECT(FE$10&amp;ROW()))))</f>
        <v>0</v>
      </c>
      <c r="FF20" s="142">
        <f ca="1">SUM((INDIRECT(FF$9&amp;ROW()):(INDIRECT(FF$10&amp;ROW()))))</f>
        <v>1316</v>
      </c>
      <c r="FG20" s="142">
        <f ca="1">SUM((INDIRECT(FG$9&amp;ROW()):(INDIRECT(FG$10&amp;ROW()))))</f>
        <v>740</v>
      </c>
      <c r="FH20" s="142">
        <f ca="1">SUM((INDIRECT(FH$9&amp;ROW()):(INDIRECT(FH$10&amp;ROW()))))</f>
        <v>200</v>
      </c>
      <c r="FI20" s="142">
        <f ca="1">SUM((INDIRECT(FI$9&amp;ROW()):(INDIRECT(FI$10&amp;ROW()))))</f>
        <v>1047.4545454545455</v>
      </c>
      <c r="FJ20" s="142">
        <f ca="1">SUM((INDIRECT(FJ$9&amp;ROW()):(INDIRECT(FJ$10&amp;ROW()))))</f>
        <v>0</v>
      </c>
      <c r="FK20" s="142" t="e">
        <f ca="1">SUM((INDIRECT(FK$9&amp;ROW()):(INDIRECT(FK$10&amp;ROW()))))</f>
        <v>#REF!</v>
      </c>
      <c r="FL20" s="142" t="e">
        <f ca="1">SUM((INDIRECT(FL$9&amp;ROW()):(INDIRECT(FL$10&amp;ROW()))))</f>
        <v>#REF!</v>
      </c>
      <c r="FN20" s="431">
        <f t="shared" ca="1" si="21"/>
        <v>3303.4545454545455</v>
      </c>
      <c r="FP20" s="360"/>
    </row>
    <row r="21" spans="1:172" outlineLevel="1">
      <c r="A21" t="s">
        <v>70</v>
      </c>
      <c r="B21" t="s">
        <v>23</v>
      </c>
      <c r="C21" s="73" t="s">
        <v>151</v>
      </c>
      <c r="D21" s="11"/>
      <c r="E21"/>
      <c r="F21" s="2">
        <v>300</v>
      </c>
      <c r="I21"/>
      <c r="J21">
        <f>400+200</f>
        <v>600</v>
      </c>
      <c r="K21"/>
      <c r="L21"/>
      <c r="M21"/>
      <c r="N21"/>
      <c r="S21" s="154"/>
      <c r="U21"/>
      <c r="V21"/>
      <c r="W21"/>
      <c r="X21"/>
      <c r="Y21"/>
      <c r="Z21"/>
      <c r="AA21"/>
      <c r="AB21"/>
      <c r="AC21"/>
      <c r="AL21"/>
      <c r="AM21"/>
      <c r="AW21"/>
      <c r="AX21"/>
      <c r="AY21"/>
      <c r="AZ21"/>
      <c r="BA21"/>
      <c r="BB21"/>
      <c r="BC21"/>
      <c r="BD21"/>
      <c r="BE21"/>
      <c r="BF21"/>
      <c r="BG21"/>
      <c r="BH21"/>
      <c r="BI21"/>
      <c r="BJ21"/>
      <c r="BK21"/>
      <c r="BL21"/>
      <c r="BM21"/>
      <c r="BN21"/>
      <c r="BO21"/>
      <c r="BP21"/>
      <c r="BQ21"/>
      <c r="BR21"/>
      <c r="BS21"/>
      <c r="BT21"/>
      <c r="BU21"/>
      <c r="BV21"/>
      <c r="CC21" s="2">
        <v>400</v>
      </c>
      <c r="CH21"/>
      <c r="CI21" s="2">
        <v>500</v>
      </c>
      <c r="CJ21"/>
      <c r="CK21"/>
      <c r="CL21"/>
      <c r="CM21" s="144">
        <v>0</v>
      </c>
      <c r="CN21" s="144">
        <v>0</v>
      </c>
      <c r="CO21" s="144">
        <v>534.54545454545462</v>
      </c>
      <c r="CP21" s="144">
        <v>305.4545454545455</v>
      </c>
      <c r="CQ21" s="144">
        <v>610.90909090909099</v>
      </c>
      <c r="CR21" s="144">
        <v>0</v>
      </c>
      <c r="CS21"/>
      <c r="CT21"/>
      <c r="CU21" s="144">
        <v>150</v>
      </c>
      <c r="CV21"/>
      <c r="CW21"/>
      <c r="DI21"/>
      <c r="DJ21"/>
      <c r="DK21"/>
      <c r="DL21"/>
      <c r="DM21"/>
      <c r="DN21"/>
      <c r="DO21"/>
      <c r="DP21"/>
      <c r="DQ21"/>
      <c r="DR21"/>
      <c r="DS21"/>
      <c r="DT21"/>
      <c r="DU21"/>
      <c r="DW21" s="179"/>
      <c r="DX21" s="29">
        <f t="shared" si="19"/>
        <v>3400.909090909091</v>
      </c>
      <c r="DY21" s="6">
        <f>DX21/TAUXmoyen</f>
        <v>134.10931592749773</v>
      </c>
      <c r="DZ21" s="27"/>
      <c r="EA21" s="27"/>
      <c r="FD21" s="73" t="s">
        <v>151</v>
      </c>
      <c r="FE21" s="142">
        <f ca="1">SUM((INDIRECT(FE$9&amp;ROW()):(INDIRECT(FE$10&amp;ROW()))))</f>
        <v>0</v>
      </c>
      <c r="FF21" s="142">
        <f ca="1">SUM((INDIRECT(FF$9&amp;ROW()):(INDIRECT(FF$10&amp;ROW()))))</f>
        <v>900</v>
      </c>
      <c r="FG21" s="142">
        <f ca="1">SUM((INDIRECT(FG$9&amp;ROW()):(INDIRECT(FG$10&amp;ROW()))))</f>
        <v>0</v>
      </c>
      <c r="FH21" s="142">
        <f ca="1">SUM((INDIRECT(FH$9&amp;ROW()):(INDIRECT(FH$10&amp;ROW()))))</f>
        <v>400</v>
      </c>
      <c r="FI21" s="142">
        <f ca="1">SUM((INDIRECT(FI$9&amp;ROW()):(INDIRECT(FI$10&amp;ROW()))))</f>
        <v>2100.909090909091</v>
      </c>
      <c r="FJ21" s="142">
        <f ca="1">SUM((INDIRECT(FJ$9&amp;ROW()):(INDIRECT(FJ$10&amp;ROW()))))</f>
        <v>0</v>
      </c>
      <c r="FK21" s="142" t="e">
        <f ca="1">SUM((INDIRECT(FK$9&amp;ROW()):(INDIRECT(FK$10&amp;ROW()))))</f>
        <v>#REF!</v>
      </c>
      <c r="FL21" s="142" t="e">
        <f ca="1">SUM((INDIRECT(FL$9&amp;ROW()):(INDIRECT(FL$10&amp;ROW()))))</f>
        <v>#REF!</v>
      </c>
      <c r="FN21" s="432">
        <f t="shared" ca="1" si="21"/>
        <v>3400.909090909091</v>
      </c>
      <c r="FP21" s="340">
        <f ca="1">SUM(FG20:FG22)/$Q$6</f>
        <v>70.472440944881896</v>
      </c>
    </row>
    <row r="22" spans="1:172" ht="15" outlineLevel="1" thickBot="1">
      <c r="A22" t="s">
        <v>70</v>
      </c>
      <c r="B22" t="s">
        <v>23</v>
      </c>
      <c r="C22" s="74" t="s">
        <v>8</v>
      </c>
      <c r="D22" s="11"/>
      <c r="E22"/>
      <c r="M22"/>
      <c r="R22" s="2">
        <v>800</v>
      </c>
      <c r="S22" s="154">
        <v>300</v>
      </c>
      <c r="U22"/>
      <c r="V22"/>
      <c r="W22"/>
      <c r="X22"/>
      <c r="Y22"/>
      <c r="Z22">
        <v>500</v>
      </c>
      <c r="AA22"/>
      <c r="AB22"/>
      <c r="AC22"/>
      <c r="AL22"/>
      <c r="AM22"/>
      <c r="AS22" s="2">
        <v>550</v>
      </c>
      <c r="AW22"/>
      <c r="AX22"/>
      <c r="AY22"/>
      <c r="AZ22"/>
      <c r="BA22"/>
      <c r="BB22"/>
      <c r="BC22"/>
      <c r="BD22"/>
      <c r="BE22"/>
      <c r="BF22"/>
      <c r="BG22"/>
      <c r="BH22"/>
      <c r="BI22"/>
      <c r="BJ22"/>
      <c r="BK22"/>
      <c r="BL22"/>
      <c r="BM22"/>
      <c r="BN22"/>
      <c r="BO22"/>
      <c r="BP22"/>
      <c r="BQ22"/>
      <c r="BR22"/>
      <c r="BS22"/>
      <c r="BT22"/>
      <c r="BU22"/>
      <c r="BV22"/>
      <c r="BW22" s="2">
        <v>560</v>
      </c>
      <c r="CH22"/>
      <c r="CI22"/>
      <c r="CJ22"/>
      <c r="CK22"/>
      <c r="CL22"/>
      <c r="CM22" s="144">
        <v>0</v>
      </c>
      <c r="CN22" s="144">
        <v>1527.2727272727273</v>
      </c>
      <c r="CO22" s="144">
        <v>1756.3636363636365</v>
      </c>
      <c r="CP22" s="144">
        <v>1527.2727272727273</v>
      </c>
      <c r="CQ22" s="144">
        <v>1657.0909090909092</v>
      </c>
      <c r="CR22" s="144">
        <v>0</v>
      </c>
      <c r="CS22"/>
      <c r="CT22"/>
      <c r="CU22"/>
      <c r="CV22"/>
      <c r="CW22"/>
      <c r="DG22" s="2">
        <v>600</v>
      </c>
      <c r="DH22" s="2">
        <v>750</v>
      </c>
      <c r="DI22"/>
      <c r="DJ22"/>
      <c r="DK22"/>
      <c r="DL22"/>
      <c r="DM22"/>
      <c r="DN22"/>
      <c r="DO22"/>
      <c r="DP22"/>
      <c r="DQ22"/>
      <c r="DR22"/>
      <c r="DS22"/>
      <c r="DT22"/>
      <c r="DU22"/>
      <c r="DW22" s="179"/>
      <c r="DX22" s="29">
        <f t="shared" si="19"/>
        <v>10528</v>
      </c>
      <c r="DY22" s="6">
        <f t="shared" si="20"/>
        <v>415.15454848788181</v>
      </c>
      <c r="DZ22" s="27"/>
      <c r="EA22" s="27"/>
      <c r="FD22" s="74" t="s">
        <v>8</v>
      </c>
      <c r="FE22" s="142">
        <f ca="1">SUM((INDIRECT(FE$9&amp;ROW()):(INDIRECT(FE$10&amp;ROW()))))</f>
        <v>0</v>
      </c>
      <c r="FF22" s="142">
        <f ca="1">SUM((INDIRECT(FF$9&amp;ROW()):(INDIRECT(FF$10&amp;ROW()))))</f>
        <v>1100</v>
      </c>
      <c r="FG22" s="142">
        <f ca="1">SUM((INDIRECT(FG$9&amp;ROW()):(INDIRECT(FG$10&amp;ROW()))))</f>
        <v>1050</v>
      </c>
      <c r="FH22" s="142">
        <f ca="1">SUM((INDIRECT(FH$9&amp;ROW()):(INDIRECT(FH$10&amp;ROW()))))</f>
        <v>560</v>
      </c>
      <c r="FI22" s="142">
        <f ca="1">SUM((INDIRECT(FI$9&amp;ROW()):(INDIRECT(FI$10&amp;ROW()))))</f>
        <v>7818</v>
      </c>
      <c r="FJ22" s="142">
        <f ca="1">SUM((INDIRECT(FJ$9&amp;ROW()):(INDIRECT(FJ$10&amp;ROW()))))</f>
        <v>0</v>
      </c>
      <c r="FK22" s="142" t="e">
        <f ca="1">SUM((INDIRECT(FK$9&amp;ROW()):(INDIRECT(FK$10&amp;ROW()))))</f>
        <v>#REF!</v>
      </c>
      <c r="FL22" s="142" t="e">
        <f ca="1">SUM((INDIRECT(FL$9&amp;ROW()):(INDIRECT(FL$10&amp;ROW()))))</f>
        <v>#REF!</v>
      </c>
      <c r="FN22" s="433">
        <f t="shared" ca="1" si="21"/>
        <v>10528</v>
      </c>
      <c r="FP22" s="74"/>
    </row>
    <row r="23" spans="1:172" outlineLevel="1">
      <c r="A23" t="s">
        <v>70</v>
      </c>
      <c r="B23" t="s">
        <v>25</v>
      </c>
      <c r="C23" s="72" t="s">
        <v>150</v>
      </c>
      <c r="D23" s="11"/>
      <c r="E23"/>
      <c r="F23" s="2">
        <f>1270+300</f>
        <v>1570</v>
      </c>
      <c r="I23"/>
      <c r="J23"/>
      <c r="K23"/>
      <c r="L23"/>
      <c r="M23"/>
      <c r="N23"/>
      <c r="R23" s="2">
        <v>400</v>
      </c>
      <c r="S23" s="154"/>
      <c r="T23" s="2">
        <f>400+80</f>
        <v>480</v>
      </c>
      <c r="U23"/>
      <c r="V23"/>
      <c r="W23"/>
      <c r="X23"/>
      <c r="Y23"/>
      <c r="Z23">
        <v>100</v>
      </c>
      <c r="AA23"/>
      <c r="AB23"/>
      <c r="AC23"/>
      <c r="AD23" s="2">
        <v>1050</v>
      </c>
      <c r="AL23"/>
      <c r="AM23"/>
      <c r="AS23" s="2">
        <v>50</v>
      </c>
      <c r="AW23"/>
      <c r="AX23"/>
      <c r="AY23"/>
      <c r="AZ23"/>
      <c r="BA23"/>
      <c r="BB23"/>
      <c r="BC23"/>
      <c r="BD23"/>
      <c r="BE23"/>
      <c r="BF23"/>
      <c r="BG23"/>
      <c r="BH23">
        <v>2150</v>
      </c>
      <c r="BI23"/>
      <c r="BJ23"/>
      <c r="BK23"/>
      <c r="BL23"/>
      <c r="BM23"/>
      <c r="BN23"/>
      <c r="BO23"/>
      <c r="BP23"/>
      <c r="BQ23"/>
      <c r="BR23"/>
      <c r="BS23"/>
      <c r="BT23"/>
      <c r="BU23"/>
      <c r="BV23"/>
      <c r="BW23" s="2">
        <f>50+9+9</f>
        <v>68</v>
      </c>
      <c r="CH23"/>
      <c r="CI23"/>
      <c r="CJ23"/>
      <c r="CK23"/>
      <c r="CL23"/>
      <c r="CM23" s="144">
        <f>526.909090909091+300</f>
        <v>826.90909090909099</v>
      </c>
      <c r="CN23" s="144">
        <v>588</v>
      </c>
      <c r="CO23" s="144">
        <v>0</v>
      </c>
      <c r="CP23" s="144">
        <v>0</v>
      </c>
      <c r="CQ23" s="144">
        <v>0</v>
      </c>
      <c r="CR23" s="144">
        <v>325.30909090909091</v>
      </c>
      <c r="CS23"/>
      <c r="CT23"/>
      <c r="CU23"/>
      <c r="CV23"/>
      <c r="CW23"/>
      <c r="CX23" s="2">
        <v>1000</v>
      </c>
      <c r="DG23" s="2">
        <v>250</v>
      </c>
      <c r="DI23" s="2">
        <f>170+300</f>
        <v>470</v>
      </c>
      <c r="DJ23"/>
      <c r="DK23"/>
      <c r="DL23"/>
      <c r="DM23"/>
      <c r="DN23"/>
      <c r="DO23"/>
      <c r="DP23"/>
      <c r="DQ23"/>
      <c r="DR23">
        <v>100</v>
      </c>
      <c r="DS23"/>
      <c r="DT23">
        <v>250</v>
      </c>
      <c r="DU23"/>
      <c r="DX23" s="29">
        <f t="shared" si="19"/>
        <v>9678.2181818181816</v>
      </c>
      <c r="DY23" s="6">
        <f t="shared" si="20"/>
        <v>381.64478528114893</v>
      </c>
      <c r="DZ23" s="27"/>
      <c r="EA23" s="27"/>
      <c r="FD23" s="72" t="s">
        <v>150</v>
      </c>
      <c r="FE23" s="142">
        <f ca="1">SUM((INDIRECT(FE$9&amp;ROW()):(INDIRECT(FE$10&amp;ROW()))))</f>
        <v>0</v>
      </c>
      <c r="FF23" s="142">
        <f ca="1">SUM((INDIRECT(FF$9&amp;ROW()):(INDIRECT(FF$10&amp;ROW()))))</f>
        <v>2450</v>
      </c>
      <c r="FG23" s="142">
        <f ca="1">SUM((INDIRECT(FG$9&amp;ROW()):(INDIRECT(FG$10&amp;ROW()))))</f>
        <v>1200</v>
      </c>
      <c r="FH23" s="142">
        <f ca="1">SUM((INDIRECT(FH$9&amp;ROW()):(INDIRECT(FH$10&amp;ROW()))))</f>
        <v>2218</v>
      </c>
      <c r="FI23" s="142">
        <f ca="1">SUM((INDIRECT(FI$9&amp;ROW()):(INDIRECT(FI$10&amp;ROW()))))</f>
        <v>3460.2181818181816</v>
      </c>
      <c r="FJ23" s="142">
        <f ca="1">SUM((INDIRECT(FJ$9&amp;ROW()):(INDIRECT(FJ$10&amp;ROW()))))</f>
        <v>350</v>
      </c>
      <c r="FK23" s="142" t="e">
        <f ca="1">SUM((INDIRECT(FK$9&amp;ROW()):(INDIRECT(FK$10&amp;ROW()))))</f>
        <v>#REF!</v>
      </c>
      <c r="FL23" s="142" t="e">
        <f ca="1">SUM((INDIRECT(FL$9&amp;ROW()):(INDIRECT(FL$10&amp;ROW()))))</f>
        <v>#REF!</v>
      </c>
      <c r="FN23" s="431">
        <f t="shared" ca="1" si="21"/>
        <v>9678.2181818181816</v>
      </c>
      <c r="FP23" s="354">
        <f ca="1">SUM(FG23:FG24)/$Q$6</f>
        <v>57.480314960629926</v>
      </c>
    </row>
    <row r="24" spans="1:172" ht="15" outlineLevel="1" thickBot="1">
      <c r="A24" t="s">
        <v>70</v>
      </c>
      <c r="B24" t="s">
        <v>25</v>
      </c>
      <c r="C24" s="74" t="s">
        <v>144</v>
      </c>
      <c r="D24" s="11"/>
      <c r="E24"/>
      <c r="I24"/>
      <c r="J24"/>
      <c r="K24"/>
      <c r="L24"/>
      <c r="M24"/>
      <c r="N24"/>
      <c r="U24"/>
      <c r="V24"/>
      <c r="W24"/>
      <c r="X24"/>
      <c r="Y24"/>
      <c r="Z24">
        <v>130</v>
      </c>
      <c r="AA24">
        <v>130</v>
      </c>
      <c r="AB24"/>
      <c r="AC24"/>
      <c r="AL24"/>
      <c r="AM24"/>
      <c r="AW24"/>
      <c r="AX24"/>
      <c r="AY24"/>
      <c r="AZ24"/>
      <c r="BA24"/>
      <c r="BB24"/>
      <c r="BC24"/>
      <c r="BD24"/>
      <c r="BE24"/>
      <c r="BF24"/>
      <c r="BG24"/>
      <c r="BH24"/>
      <c r="BI24"/>
      <c r="BJ24"/>
      <c r="BK24"/>
      <c r="BL24"/>
      <c r="BM24"/>
      <c r="BN24"/>
      <c r="BO24"/>
      <c r="BP24"/>
      <c r="BQ24"/>
      <c r="BR24"/>
      <c r="BS24"/>
      <c r="BT24"/>
      <c r="BV24"/>
      <c r="CH24"/>
      <c r="CI24"/>
      <c r="CJ24"/>
      <c r="CK24"/>
      <c r="CL24"/>
      <c r="CM24" s="144">
        <v>8834</v>
      </c>
      <c r="CN24" s="144">
        <v>0</v>
      </c>
      <c r="CO24" s="144">
        <v>0</v>
      </c>
      <c r="CP24" s="144">
        <v>218.4</v>
      </c>
      <c r="CQ24" s="144">
        <v>2500</v>
      </c>
      <c r="CR24" s="144">
        <v>0</v>
      </c>
      <c r="CS24"/>
      <c r="CT24"/>
      <c r="CU24"/>
      <c r="CV24"/>
      <c r="CW24"/>
      <c r="DI24" s="9">
        <v>20160</v>
      </c>
      <c r="DJ24"/>
      <c r="DK24"/>
      <c r="DL24"/>
      <c r="DM24"/>
      <c r="DN24"/>
      <c r="DO24"/>
      <c r="DP24"/>
      <c r="DQ24"/>
      <c r="DR24"/>
      <c r="DS24"/>
      <c r="DT24"/>
      <c r="DU24"/>
      <c r="DW24" s="179"/>
      <c r="DX24" s="29">
        <f t="shared" si="19"/>
        <v>31972.400000000001</v>
      </c>
      <c r="DY24" s="6">
        <f t="shared" si="20"/>
        <v>1260.7795674462341</v>
      </c>
      <c r="DZ24" s="27"/>
      <c r="EA24" s="27"/>
      <c r="FD24" s="74" t="s">
        <v>144</v>
      </c>
      <c r="FE24" s="286">
        <f ca="1">SUM((INDIRECT(FE$9&amp;ROW()):(INDIRECT(FE$10&amp;ROW()))))</f>
        <v>0</v>
      </c>
      <c r="FF24" s="142">
        <f ca="1">SUM((INDIRECT(FF$9&amp;ROW()):(INDIRECT(FF$10&amp;ROW()))))</f>
        <v>0</v>
      </c>
      <c r="FG24" s="142">
        <f ca="1">SUM((INDIRECT(FG$9&amp;ROW()):(INDIRECT(FG$10&amp;ROW()))))</f>
        <v>260</v>
      </c>
      <c r="FH24" s="142">
        <f ca="1">SUM((INDIRECT(FH$9&amp;ROW()):(INDIRECT(FH$10&amp;ROW()))))</f>
        <v>0</v>
      </c>
      <c r="FI24" s="142">
        <f ca="1">SUM((INDIRECT(FI$9&amp;ROW()):(INDIRECT(FI$10&amp;ROW()))))</f>
        <v>31712.400000000001</v>
      </c>
      <c r="FJ24" s="142">
        <f ca="1">SUM((INDIRECT(FJ$9&amp;ROW()):(INDIRECT(FJ$10&amp;ROW()))))</f>
        <v>0</v>
      </c>
      <c r="FK24" s="142" t="e">
        <f ca="1">SUM((INDIRECT(FK$9&amp;ROW()):(INDIRECT(FK$10&amp;ROW()))))</f>
        <v>#REF!</v>
      </c>
      <c r="FL24" s="142" t="e">
        <f ca="1">SUM((INDIRECT(FL$9&amp;ROW()):(INDIRECT(FL$10&amp;ROW()))))</f>
        <v>#REF!</v>
      </c>
      <c r="FN24" s="433">
        <f t="shared" ca="1" si="21"/>
        <v>31972.400000000001</v>
      </c>
      <c r="FP24" s="74"/>
    </row>
    <row r="25" spans="1:172" outlineLevel="1">
      <c r="A25" t="s">
        <v>70</v>
      </c>
      <c r="B25" t="s">
        <v>24</v>
      </c>
      <c r="C25" s="72" t="s">
        <v>145</v>
      </c>
      <c r="D25" s="11"/>
      <c r="E25"/>
      <c r="F25" s="2">
        <v>60</v>
      </c>
      <c r="G25" s="2">
        <v>250</v>
      </c>
      <c r="H25"/>
      <c r="I25"/>
      <c r="J25"/>
      <c r="K25"/>
      <c r="L25"/>
      <c r="M25"/>
      <c r="N25"/>
      <c r="U25"/>
      <c r="V25"/>
      <c r="W25"/>
      <c r="X25"/>
      <c r="Y25"/>
      <c r="Z25"/>
      <c r="AA25"/>
      <c r="AB25"/>
      <c r="AC25"/>
      <c r="AL25"/>
      <c r="AM25"/>
      <c r="AW25"/>
      <c r="AX25"/>
      <c r="AY25"/>
      <c r="AZ25"/>
      <c r="BA25"/>
      <c r="BB25"/>
      <c r="BC25"/>
      <c r="BD25"/>
      <c r="BE25"/>
      <c r="BF25"/>
      <c r="BG25"/>
      <c r="BH25"/>
      <c r="BI25"/>
      <c r="BJ25"/>
      <c r="BK25"/>
      <c r="BL25"/>
      <c r="BM25"/>
      <c r="BN25"/>
      <c r="BO25"/>
      <c r="BP25"/>
      <c r="BQ25"/>
      <c r="BR25"/>
      <c r="BS25"/>
      <c r="BT25"/>
      <c r="BU25"/>
      <c r="BV25"/>
      <c r="CH25"/>
      <c r="CI25"/>
      <c r="CJ25"/>
      <c r="CK25"/>
      <c r="CL25"/>
      <c r="CM25" s="144">
        <v>0</v>
      </c>
      <c r="CN25" s="144">
        <v>0</v>
      </c>
      <c r="CO25" s="144">
        <v>0</v>
      </c>
      <c r="CP25" s="144">
        <v>0</v>
      </c>
      <c r="CQ25" s="144">
        <v>0</v>
      </c>
      <c r="CR25" s="144">
        <v>0</v>
      </c>
      <c r="CS25"/>
      <c r="CT25"/>
      <c r="CU25"/>
      <c r="CV25"/>
      <c r="CW25"/>
      <c r="DI25"/>
      <c r="DJ25"/>
      <c r="DK25"/>
      <c r="DL25"/>
      <c r="DM25"/>
      <c r="DN25"/>
      <c r="DO25"/>
      <c r="DP25"/>
      <c r="DQ25"/>
      <c r="DR25"/>
      <c r="DS25"/>
      <c r="DT25"/>
      <c r="DU25"/>
      <c r="DX25" s="29">
        <f t="shared" si="19"/>
        <v>310</v>
      </c>
      <c r="DY25" s="6">
        <f t="shared" si="20"/>
        <v>12.224345557678891</v>
      </c>
      <c r="DZ25" s="27"/>
      <c r="EA25" s="27"/>
      <c r="FD25" s="72" t="s">
        <v>145</v>
      </c>
      <c r="FE25" s="142">
        <f ca="1">SUM((INDIRECT(FE$9&amp;ROW()):(INDIRECT(FE$10&amp;ROW()))))</f>
        <v>0</v>
      </c>
      <c r="FF25" s="142">
        <f ca="1">SUM((INDIRECT(FF$9&amp;ROW()):(INDIRECT(FF$10&amp;ROW()))))</f>
        <v>310</v>
      </c>
      <c r="FG25" s="142">
        <f ca="1">SUM((INDIRECT(FG$9&amp;ROW()):(INDIRECT(FG$10&amp;ROW()))))</f>
        <v>0</v>
      </c>
      <c r="FH25" s="142">
        <f ca="1">SUM((INDIRECT(FH$9&amp;ROW()):(INDIRECT(FH$10&amp;ROW()))))</f>
        <v>0</v>
      </c>
      <c r="FI25" s="142">
        <f ca="1">SUM((INDIRECT(FI$9&amp;ROW()):(INDIRECT(FI$10&amp;ROW()))))</f>
        <v>0</v>
      </c>
      <c r="FJ25" s="142">
        <f ca="1">SUM((INDIRECT(FJ$9&amp;ROW()):(INDIRECT(FJ$10&amp;ROW()))))</f>
        <v>0</v>
      </c>
      <c r="FK25" s="142" t="e">
        <f ca="1">SUM((INDIRECT(FK$9&amp;ROW()):(INDIRECT(FK$10&amp;ROW()))))</f>
        <v>#REF!</v>
      </c>
      <c r="FL25" s="142" t="e">
        <f ca="1">SUM((INDIRECT(FL$9&amp;ROW()):(INDIRECT(FL$10&amp;ROW()))))</f>
        <v>#REF!</v>
      </c>
      <c r="FN25" s="431">
        <f t="shared" ca="1" si="21"/>
        <v>310</v>
      </c>
      <c r="FP25" s="72"/>
    </row>
    <row r="26" spans="1:172" outlineLevel="1">
      <c r="A26" t="s">
        <v>70</v>
      </c>
      <c r="B26" t="s">
        <v>24</v>
      </c>
      <c r="C26" s="73" t="s">
        <v>206</v>
      </c>
      <c r="D26" s="11"/>
      <c r="E26"/>
      <c r="H26" s="2">
        <v>180</v>
      </c>
      <c r="I26"/>
      <c r="J26"/>
      <c r="K26"/>
      <c r="L26"/>
      <c r="M26"/>
      <c r="N26"/>
      <c r="U26"/>
      <c r="V26"/>
      <c r="W26"/>
      <c r="X26">
        <v>220</v>
      </c>
      <c r="Y26"/>
      <c r="Z26"/>
      <c r="AA26"/>
      <c r="AB26">
        <v>270</v>
      </c>
      <c r="AC26" s="2">
        <v>500</v>
      </c>
      <c r="AE26" s="2">
        <v>400</v>
      </c>
      <c r="AF26" s="2">
        <v>220</v>
      </c>
      <c r="AJ26" s="2">
        <v>500</v>
      </c>
      <c r="AL26"/>
      <c r="AM26"/>
      <c r="AW26"/>
      <c r="AX26"/>
      <c r="AY26"/>
      <c r="AZ26"/>
      <c r="BA26"/>
      <c r="BB26"/>
      <c r="BC26"/>
      <c r="BD26"/>
      <c r="BE26"/>
      <c r="BF26"/>
      <c r="BG26"/>
      <c r="BH26"/>
      <c r="BI26"/>
      <c r="BJ26"/>
      <c r="BK26"/>
      <c r="BL26"/>
      <c r="BM26"/>
      <c r="BN26"/>
      <c r="BO26"/>
      <c r="BP26"/>
      <c r="BQ26"/>
      <c r="BR26"/>
      <c r="BS26"/>
      <c r="BT26"/>
      <c r="BU26"/>
      <c r="BV26"/>
      <c r="CH26"/>
      <c r="CI26"/>
      <c r="CJ26"/>
      <c r="CK26"/>
      <c r="CL26"/>
      <c r="CM26" s="144">
        <v>0</v>
      </c>
      <c r="CN26" s="144">
        <v>0</v>
      </c>
      <c r="CO26" s="144">
        <v>267.27272727272731</v>
      </c>
      <c r="CP26" s="144">
        <v>0</v>
      </c>
      <c r="CQ26" s="144">
        <v>0</v>
      </c>
      <c r="CR26" s="144">
        <v>0</v>
      </c>
      <c r="CS26"/>
      <c r="CT26"/>
      <c r="CU26"/>
      <c r="CV26"/>
      <c r="CW26"/>
      <c r="CY26" s="2">
        <v>800</v>
      </c>
      <c r="DI26"/>
      <c r="DJ26"/>
      <c r="DK26"/>
      <c r="DL26">
        <f>240+240</f>
        <v>480</v>
      </c>
      <c r="DM26"/>
      <c r="DN26"/>
      <c r="DO26"/>
      <c r="DP26"/>
      <c r="DQ26">
        <v>1000</v>
      </c>
      <c r="DR26"/>
      <c r="DS26"/>
      <c r="DT26"/>
      <c r="DU26"/>
      <c r="DW26" s="179"/>
      <c r="DX26" s="29">
        <f t="shared" si="19"/>
        <v>4837.2727272727279</v>
      </c>
      <c r="DY26" s="6">
        <f t="shared" si="20"/>
        <v>190.74997862876654</v>
      </c>
      <c r="DZ26" s="27"/>
      <c r="EA26" s="27"/>
      <c r="FD26" s="73" t="s">
        <v>206</v>
      </c>
      <c r="FE26" s="142">
        <f ca="1">SUM((INDIRECT(FE$9&amp;ROW()):(INDIRECT(FE$10&amp;ROW()))))</f>
        <v>0</v>
      </c>
      <c r="FF26" s="142">
        <f ca="1">SUM((INDIRECT(FF$9&amp;ROW()):(INDIRECT(FF$10&amp;ROW()))))</f>
        <v>180</v>
      </c>
      <c r="FG26" s="142">
        <f ca="1">SUM((INDIRECT(FG$9&amp;ROW()):(INDIRECT(FG$10&amp;ROW()))))</f>
        <v>2110</v>
      </c>
      <c r="FH26" s="142">
        <f ca="1">SUM((INDIRECT(FH$9&amp;ROW()):(INDIRECT(FH$10&amp;ROW()))))</f>
        <v>0</v>
      </c>
      <c r="FI26" s="142">
        <f ca="1">SUM((INDIRECT(FI$9&amp;ROW()):(INDIRECT(FI$10&amp;ROW()))))</f>
        <v>1067.2727272727273</v>
      </c>
      <c r="FJ26" s="142">
        <f ca="1">SUM((INDIRECT(FJ$9&amp;ROW()):(INDIRECT(FJ$10&amp;ROW()))))</f>
        <v>1480</v>
      </c>
      <c r="FK26" s="142" t="e">
        <f ca="1">SUM((INDIRECT(FK$9&amp;ROW()):(INDIRECT(FK$10&amp;ROW()))))</f>
        <v>#REF!</v>
      </c>
      <c r="FL26" s="142" t="e">
        <f ca="1">SUM((INDIRECT(FL$9&amp;ROW()):(INDIRECT(FL$10&amp;ROW()))))</f>
        <v>#REF!</v>
      </c>
      <c r="FN26" s="432">
        <f t="shared" ca="1" si="21"/>
        <v>4837.272727272727</v>
      </c>
      <c r="FP26" s="340">
        <f ca="1">SUM(FG25:FG27)/$Q$6</f>
        <v>457.08661417322838</v>
      </c>
    </row>
    <row r="27" spans="1:172" ht="15" outlineLevel="1" thickBot="1">
      <c r="A27" t="s">
        <v>70</v>
      </c>
      <c r="B27" t="s">
        <v>24</v>
      </c>
      <c r="C27" s="74" t="s">
        <v>136</v>
      </c>
      <c r="D27" s="11"/>
      <c r="E27"/>
      <c r="I27"/>
      <c r="J27"/>
      <c r="K27"/>
      <c r="L27"/>
      <c r="M27"/>
      <c r="N27"/>
      <c r="U27"/>
      <c r="V27"/>
      <c r="W27" s="2">
        <v>250</v>
      </c>
      <c r="X27"/>
      <c r="Y27">
        <f>170+220</f>
        <v>390</v>
      </c>
      <c r="Z27"/>
      <c r="AA27">
        <v>1000</v>
      </c>
      <c r="AB27"/>
      <c r="AC27"/>
      <c r="AE27" s="2">
        <v>450</v>
      </c>
      <c r="AL27"/>
      <c r="AM27"/>
      <c r="AT27" s="2">
        <v>210</v>
      </c>
      <c r="AW27"/>
      <c r="AX27"/>
      <c r="AY27"/>
      <c r="AZ27"/>
      <c r="BA27"/>
      <c r="BB27">
        <f>750+6700</f>
        <v>7450</v>
      </c>
      <c r="BD27"/>
      <c r="BE27"/>
      <c r="BF27"/>
      <c r="BG27"/>
      <c r="BH27">
        <v>1000</v>
      </c>
      <c r="BI27"/>
      <c r="BJ27">
        <v>1000</v>
      </c>
      <c r="BK27"/>
      <c r="BL27"/>
      <c r="BM27"/>
      <c r="BN27"/>
      <c r="BO27" s="280">
        <v>667</v>
      </c>
      <c r="BP27"/>
      <c r="BQ27"/>
      <c r="BR27"/>
      <c r="BS27"/>
      <c r="BT27"/>
      <c r="BU27"/>
      <c r="BV27"/>
      <c r="BY27" s="2">
        <v>1500</v>
      </c>
      <c r="CH27"/>
      <c r="CI27"/>
      <c r="CJ27"/>
      <c r="CK27"/>
      <c r="CL27">
        <v>500</v>
      </c>
      <c r="CM27" s="144">
        <v>0</v>
      </c>
      <c r="CN27" s="144">
        <v>0</v>
      </c>
      <c r="CO27" s="144">
        <v>0</v>
      </c>
      <c r="CP27" s="144">
        <v>0</v>
      </c>
      <c r="CQ27" s="144">
        <v>0</v>
      </c>
      <c r="CR27" s="144">
        <v>0</v>
      </c>
      <c r="CS27"/>
      <c r="CT27"/>
      <c r="CU27"/>
      <c r="CV27"/>
      <c r="CW27"/>
      <c r="CX27" s="2">
        <v>250</v>
      </c>
      <c r="CZ27" s="2">
        <v>1400</v>
      </c>
      <c r="DC27" s="2">
        <v>240</v>
      </c>
      <c r="DD27" s="2">
        <v>2250</v>
      </c>
      <c r="DH27" s="2">
        <v>1000</v>
      </c>
      <c r="DI27"/>
      <c r="DJ27"/>
      <c r="DK27"/>
      <c r="DL27"/>
      <c r="DM27"/>
      <c r="DN27"/>
      <c r="DO27"/>
      <c r="DP27">
        <f>80+20+240+60+90</f>
        <v>490</v>
      </c>
      <c r="DQ27">
        <f>200+500+150+200</f>
        <v>1050</v>
      </c>
      <c r="DR27">
        <v>400</v>
      </c>
      <c r="DS27"/>
      <c r="DT27"/>
      <c r="DU27"/>
      <c r="DV27" s="193"/>
      <c r="DW27" s="55"/>
      <c r="DX27" s="29">
        <f t="shared" si="19"/>
        <v>21497</v>
      </c>
      <c r="DY27" s="6">
        <f>DX27/TAUXmoyen</f>
        <v>847.69921436588106</v>
      </c>
      <c r="DZ27" s="27"/>
      <c r="EA27" s="27"/>
      <c r="FD27" s="74" t="s">
        <v>136</v>
      </c>
      <c r="FE27" s="142">
        <f ca="1">SUM((INDIRECT(FE$9&amp;ROW()):(INDIRECT(FE$10&amp;ROW()))))</f>
        <v>0</v>
      </c>
      <c r="FF27" s="142">
        <f ca="1">SUM((INDIRECT(FF$9&amp;ROW()):(INDIRECT(FF$10&amp;ROW()))))</f>
        <v>250</v>
      </c>
      <c r="FG27" s="142">
        <f ca="1">SUM((INDIRECT(FG$9&amp;ROW()):(INDIRECT(FG$10&amp;ROW()))))</f>
        <v>9500</v>
      </c>
      <c r="FH27" s="142">
        <f ca="1">SUM((INDIRECT(FH$9&amp;ROW()):(INDIRECT(FH$10&amp;ROW()))))</f>
        <v>4167</v>
      </c>
      <c r="FI27" s="142">
        <f ca="1">SUM((INDIRECT(FI$9&amp;ROW()):(INDIRECT(FI$10&amp;ROW()))))</f>
        <v>5640</v>
      </c>
      <c r="FJ27" s="142">
        <f ca="1">SUM((INDIRECT(FJ$9&amp;ROW()):(INDIRECT(FJ$10&amp;ROW()))))</f>
        <v>1940</v>
      </c>
      <c r="FK27" s="142" t="e">
        <f ca="1">SUM((INDIRECT(FK$9&amp;ROW()):(INDIRECT(FK$10&amp;ROW()))))</f>
        <v>#REF!</v>
      </c>
      <c r="FL27" s="142" t="e">
        <f ca="1">SUM((INDIRECT(FL$9&amp;ROW()):(INDIRECT(FL$10&amp;ROW()))))</f>
        <v>#REF!</v>
      </c>
      <c r="FN27" s="433">
        <f t="shared" ca="1" si="21"/>
        <v>21497</v>
      </c>
      <c r="FP27" s="74"/>
    </row>
    <row r="28" spans="1:172" ht="15" outlineLevel="1" thickBot="1">
      <c r="A28" t="s">
        <v>70</v>
      </c>
      <c r="B28" t="s">
        <v>558</v>
      </c>
      <c r="C28" s="74" t="s">
        <v>564</v>
      </c>
      <c r="D28" s="2"/>
      <c r="E28"/>
      <c r="I28"/>
      <c r="J28"/>
      <c r="K28"/>
      <c r="L28"/>
      <c r="M28"/>
      <c r="N28"/>
      <c r="U28"/>
      <c r="V28"/>
      <c r="W28"/>
      <c r="X28"/>
      <c r="Y28"/>
      <c r="Z28"/>
      <c r="AA28"/>
      <c r="AB28"/>
      <c r="AC28"/>
      <c r="AL28"/>
      <c r="AM28"/>
      <c r="AW28"/>
      <c r="AX28"/>
      <c r="AY28"/>
      <c r="AZ28"/>
      <c r="BA28"/>
      <c r="BB28"/>
      <c r="BC28"/>
      <c r="BD28"/>
      <c r="BE28"/>
      <c r="BF28"/>
      <c r="BG28"/>
      <c r="BH28"/>
      <c r="BI28"/>
      <c r="BJ28"/>
      <c r="BK28"/>
      <c r="BL28"/>
      <c r="BM28"/>
      <c r="BN28"/>
      <c r="BO28"/>
      <c r="BP28"/>
      <c r="BQ28"/>
      <c r="BR28"/>
      <c r="BS28"/>
      <c r="BT28"/>
      <c r="BV28"/>
      <c r="BW28"/>
      <c r="BX28"/>
      <c r="BY28"/>
      <c r="BZ28"/>
      <c r="CA28"/>
      <c r="CB28"/>
      <c r="CC28"/>
      <c r="CD28"/>
      <c r="CE28"/>
      <c r="CF28"/>
      <c r="CG28"/>
      <c r="CI28"/>
      <c r="CJ28"/>
      <c r="CK28"/>
      <c r="CL28"/>
      <c r="CM28" s="144">
        <v>0</v>
      </c>
      <c r="CN28" s="144">
        <v>0</v>
      </c>
      <c r="CO28" s="144">
        <v>0</v>
      </c>
      <c r="CP28" s="144">
        <v>0</v>
      </c>
      <c r="CQ28" s="144">
        <v>0</v>
      </c>
      <c r="CR28" s="144">
        <v>0</v>
      </c>
      <c r="CS28"/>
      <c r="CT28"/>
      <c r="CU28"/>
      <c r="CV28"/>
      <c r="CW28"/>
      <c r="DI28"/>
      <c r="DJ28"/>
      <c r="DK28"/>
      <c r="DL28"/>
      <c r="DM28"/>
      <c r="DN28"/>
      <c r="DO28"/>
      <c r="DP28"/>
      <c r="DQ28"/>
      <c r="DR28"/>
      <c r="DS28"/>
      <c r="DT28"/>
      <c r="DU28"/>
      <c r="DV28" s="193"/>
      <c r="DW28" s="55"/>
      <c r="DX28" s="29">
        <f t="shared" si="19"/>
        <v>0</v>
      </c>
      <c r="DY28" s="6">
        <f>DX28/TAUXmoyen</f>
        <v>0</v>
      </c>
      <c r="DZ28" s="27"/>
      <c r="FD28" s="74" t="s">
        <v>564</v>
      </c>
      <c r="FE28" s="142">
        <f ca="1">SUM((INDIRECT(FE$9&amp;ROW()):(INDIRECT(FE$10&amp;ROW()))))</f>
        <v>0</v>
      </c>
      <c r="FF28" s="142">
        <f ca="1">SUM((INDIRECT(FF$9&amp;ROW()):(INDIRECT(FF$10&amp;ROW()))))</f>
        <v>0</v>
      </c>
      <c r="FG28" s="142">
        <f ca="1">SUM((INDIRECT(FG$9&amp;ROW()):(INDIRECT(FG$10&amp;ROW()))))</f>
        <v>0</v>
      </c>
      <c r="FH28" s="142">
        <f ca="1">SUM((INDIRECT(FH$9&amp;ROW()):(INDIRECT(FH$10&amp;ROW()))))</f>
        <v>0</v>
      </c>
      <c r="FI28" s="142">
        <f ca="1">SUM((INDIRECT(FI$9&amp;ROW()):(INDIRECT(FI$10&amp;ROW()))))</f>
        <v>0</v>
      </c>
      <c r="FJ28" s="142">
        <f ca="1">SUM((INDIRECT(FJ$9&amp;ROW()):(INDIRECT(FJ$10&amp;ROW()))))</f>
        <v>0</v>
      </c>
      <c r="FK28" s="142" t="e">
        <f ca="1">SUM((INDIRECT(FK$9&amp;ROW()):(INDIRECT(FK$10&amp;ROW()))))</f>
        <v>#REF!</v>
      </c>
      <c r="FL28" s="142" t="e">
        <f ca="1">SUM((INDIRECT(FL$9&amp;ROW()):(INDIRECT(FL$10&amp;ROW()))))</f>
        <v>#REF!</v>
      </c>
      <c r="FN28" s="431">
        <f t="shared" ca="1" si="21"/>
        <v>0</v>
      </c>
      <c r="FP28" s="354">
        <f ca="1">SUM(FN28:FN29)/$Q$6</f>
        <v>396.85039370078744</v>
      </c>
    </row>
    <row r="29" spans="1:172" ht="15" outlineLevel="1" thickBot="1">
      <c r="A29" t="s">
        <v>70</v>
      </c>
      <c r="B29" t="s">
        <v>558</v>
      </c>
      <c r="C29" s="74" t="s">
        <v>549</v>
      </c>
      <c r="D29" s="2"/>
      <c r="E29"/>
      <c r="I29"/>
      <c r="J29"/>
      <c r="K29"/>
      <c r="L29"/>
      <c r="M29"/>
      <c r="N29"/>
      <c r="U29"/>
      <c r="V29"/>
      <c r="W29"/>
      <c r="X29"/>
      <c r="Y29"/>
      <c r="Z29"/>
      <c r="AA29"/>
      <c r="AB29"/>
      <c r="AC29"/>
      <c r="AL29"/>
      <c r="AM29"/>
      <c r="AW29"/>
      <c r="AX29"/>
      <c r="AY29"/>
      <c r="AZ29"/>
      <c r="BA29"/>
      <c r="BB29"/>
      <c r="BC29"/>
      <c r="BD29"/>
      <c r="BE29"/>
      <c r="BF29"/>
      <c r="BG29"/>
      <c r="BH29"/>
      <c r="BI29"/>
      <c r="BJ29"/>
      <c r="BK29"/>
      <c r="BL29"/>
      <c r="BM29"/>
      <c r="BN29"/>
      <c r="BO29"/>
      <c r="BP29"/>
      <c r="BQ29"/>
      <c r="BR29"/>
      <c r="BS29"/>
      <c r="BT29"/>
      <c r="BU29" s="9">
        <v>10080</v>
      </c>
      <c r="BV29"/>
      <c r="BW29"/>
      <c r="BX29"/>
      <c r="BY29"/>
      <c r="BZ29"/>
      <c r="CA29"/>
      <c r="CB29"/>
      <c r="CC29"/>
      <c r="CD29"/>
      <c r="CE29"/>
      <c r="CF29"/>
      <c r="CG29"/>
      <c r="CH29"/>
      <c r="CI29"/>
      <c r="CJ29"/>
      <c r="CK29"/>
      <c r="CL29"/>
      <c r="CM29" s="144">
        <v>0</v>
      </c>
      <c r="CN29" s="144">
        <v>0</v>
      </c>
      <c r="CO29" s="144">
        <v>0</v>
      </c>
      <c r="CP29" s="144">
        <v>0</v>
      </c>
      <c r="CQ29" s="144">
        <v>0</v>
      </c>
      <c r="CR29" s="144">
        <v>0</v>
      </c>
      <c r="CS29"/>
      <c r="CT29"/>
      <c r="CU29"/>
      <c r="CV29"/>
      <c r="CW29"/>
      <c r="DI29"/>
      <c r="DJ29"/>
      <c r="DK29"/>
      <c r="DL29"/>
      <c r="DM29"/>
      <c r="DN29"/>
      <c r="DO29"/>
      <c r="DP29"/>
      <c r="DQ29"/>
      <c r="DR29"/>
      <c r="DS29"/>
      <c r="DT29"/>
      <c r="DU29"/>
      <c r="DV29" s="193"/>
      <c r="DW29" s="55"/>
      <c r="DX29" s="29">
        <f t="shared" si="19"/>
        <v>10080</v>
      </c>
      <c r="DY29" s="6">
        <f>DX29/TAUXmoyen</f>
        <v>397.48839748839748</v>
      </c>
      <c r="DZ29" s="27"/>
      <c r="FD29" s="74" t="s">
        <v>549</v>
      </c>
      <c r="FE29" s="142">
        <f ca="1">SUM((INDIRECT(FE$9&amp;ROW()):(INDIRECT(FE$10&amp;ROW()))))</f>
        <v>0</v>
      </c>
      <c r="FF29" s="142">
        <f ca="1">SUM((INDIRECT(FF$9&amp;ROW()):(INDIRECT(FF$10&amp;ROW()))))</f>
        <v>0</v>
      </c>
      <c r="FG29" s="142">
        <f ca="1">SUM((INDIRECT(FG$9&amp;ROW()):(INDIRECT(FG$10&amp;ROW()))))</f>
        <v>0</v>
      </c>
      <c r="FH29" s="142">
        <f ca="1">SUM((INDIRECT(FH$9&amp;ROW()):(INDIRECT(FH$10&amp;ROW()))))</f>
        <v>10080</v>
      </c>
      <c r="FI29" s="142">
        <f ca="1">SUM((INDIRECT(FI$9&amp;ROW()):(INDIRECT(FI$10&amp;ROW()))))</f>
        <v>0</v>
      </c>
      <c r="FJ29" s="142">
        <f ca="1">SUM((INDIRECT(FJ$9&amp;ROW()):(INDIRECT(FJ$10&amp;ROW()))))</f>
        <v>0</v>
      </c>
      <c r="FK29" s="142" t="e">
        <f ca="1">SUM((INDIRECT(FK$9&amp;ROW()):(INDIRECT(FK$10&amp;ROW()))))</f>
        <v>#REF!</v>
      </c>
      <c r="FL29" s="142" t="e">
        <f ca="1">SUM((INDIRECT(FL$9&amp;ROW()):(INDIRECT(FL$10&amp;ROW()))))</f>
        <v>#REF!</v>
      </c>
      <c r="FN29" s="433">
        <f t="shared" ca="1" si="21"/>
        <v>10080</v>
      </c>
      <c r="FP29" s="74"/>
    </row>
    <row r="30" spans="1:172" outlineLevel="1">
      <c r="C30" s="2"/>
      <c r="D30" s="2"/>
      <c r="E30"/>
      <c r="I30"/>
      <c r="J30"/>
      <c r="K30"/>
      <c r="L30"/>
      <c r="M30"/>
      <c r="N30"/>
      <c r="U30"/>
      <c r="V30"/>
      <c r="W30"/>
      <c r="X30"/>
      <c r="Y30"/>
      <c r="Z30"/>
      <c r="AA30"/>
      <c r="AB30"/>
      <c r="AC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s="193"/>
      <c r="DW30" s="55"/>
      <c r="DX30" s="6">
        <f>SUM(DX12:DX29)</f>
        <v>236669.85454545447</v>
      </c>
      <c r="DY30" s="6">
        <f t="shared" si="20"/>
        <v>9332.6905969330182</v>
      </c>
      <c r="DZ30" s="27"/>
      <c r="FN30" s="233">
        <f t="shared" si="21"/>
        <v>0</v>
      </c>
      <c r="FP30" s="2"/>
    </row>
    <row r="31" spans="1:172" ht="15.6" outlineLevel="1">
      <c r="C31" s="9" t="s">
        <v>14</v>
      </c>
      <c r="E31" s="29">
        <f t="shared" ref="E31:AJ31" si="22">SUM(E12:E29)</f>
        <v>0</v>
      </c>
      <c r="F31" s="29">
        <f t="shared" si="22"/>
        <v>4112</v>
      </c>
      <c r="G31" s="29">
        <f t="shared" si="22"/>
        <v>2053</v>
      </c>
      <c r="H31" s="29">
        <f t="shared" si="22"/>
        <v>2001</v>
      </c>
      <c r="I31" s="29">
        <f t="shared" si="22"/>
        <v>1330</v>
      </c>
      <c r="J31" s="29">
        <f t="shared" si="22"/>
        <v>2292</v>
      </c>
      <c r="K31" s="29">
        <f t="shared" si="22"/>
        <v>1640</v>
      </c>
      <c r="L31" s="29">
        <f t="shared" si="22"/>
        <v>1422</v>
      </c>
      <c r="M31" s="29">
        <f t="shared" si="22"/>
        <v>1285</v>
      </c>
      <c r="N31" s="29">
        <f t="shared" si="22"/>
        <v>1037</v>
      </c>
      <c r="O31" s="29">
        <f t="shared" si="22"/>
        <v>880</v>
      </c>
      <c r="P31" s="29">
        <f t="shared" si="22"/>
        <v>738</v>
      </c>
      <c r="Q31" s="29">
        <f t="shared" si="22"/>
        <v>494</v>
      </c>
      <c r="R31" s="29">
        <f t="shared" si="22"/>
        <v>2830</v>
      </c>
      <c r="S31" s="29">
        <f t="shared" si="22"/>
        <v>1645</v>
      </c>
      <c r="T31" s="29">
        <f t="shared" si="22"/>
        <v>1500</v>
      </c>
      <c r="U31" s="29">
        <f t="shared" si="22"/>
        <v>1355</v>
      </c>
      <c r="V31" s="29">
        <f t="shared" si="22"/>
        <v>1008</v>
      </c>
      <c r="W31" s="29">
        <f t="shared" si="22"/>
        <v>1365</v>
      </c>
      <c r="X31" s="29">
        <f t="shared" si="22"/>
        <v>1210.0999999999999</v>
      </c>
      <c r="Y31" s="29">
        <f t="shared" si="22"/>
        <v>1412.1</v>
      </c>
      <c r="Z31" s="29">
        <f t="shared" si="22"/>
        <v>1492.1</v>
      </c>
      <c r="AA31" s="29">
        <f t="shared" si="22"/>
        <v>2032.1</v>
      </c>
      <c r="AB31" s="29">
        <f t="shared" si="22"/>
        <v>1262.0999999999999</v>
      </c>
      <c r="AC31" s="29">
        <f t="shared" si="22"/>
        <v>1563.1</v>
      </c>
      <c r="AD31" s="29">
        <f t="shared" si="22"/>
        <v>2596.1</v>
      </c>
      <c r="AE31" s="29">
        <f t="shared" si="22"/>
        <v>1407.1</v>
      </c>
      <c r="AF31" s="29">
        <f t="shared" si="22"/>
        <v>1237.0999999999999</v>
      </c>
      <c r="AG31" s="29">
        <f t="shared" si="22"/>
        <v>1488.1</v>
      </c>
      <c r="AH31" s="29">
        <f t="shared" si="22"/>
        <v>1265.0999999999999</v>
      </c>
      <c r="AI31" s="29">
        <f t="shared" si="22"/>
        <v>2122.1</v>
      </c>
      <c r="AJ31" s="29">
        <f t="shared" si="22"/>
        <v>1482.1</v>
      </c>
      <c r="AK31" s="29">
        <f t="shared" ref="AK31:BA31" si="23">SUM(AK12:AK29)</f>
        <v>1277.0999999999999</v>
      </c>
      <c r="AL31" s="29">
        <f t="shared" si="23"/>
        <v>2858.1</v>
      </c>
      <c r="AM31" s="29">
        <f t="shared" si="23"/>
        <v>867.1</v>
      </c>
      <c r="AN31" s="29">
        <f t="shared" si="23"/>
        <v>1302.0999999999999</v>
      </c>
      <c r="AO31" s="29">
        <f t="shared" si="23"/>
        <v>932.1</v>
      </c>
      <c r="AP31" s="29">
        <f t="shared" si="23"/>
        <v>905.1</v>
      </c>
      <c r="AQ31" s="29">
        <f t="shared" si="23"/>
        <v>1031.0999999999999</v>
      </c>
      <c r="AR31" s="29">
        <f t="shared" si="23"/>
        <v>701.1</v>
      </c>
      <c r="AS31" s="29">
        <f t="shared" si="23"/>
        <v>1330.1</v>
      </c>
      <c r="AT31" s="29">
        <f t="shared" ref="AT31:AY31" si="24">SUM(AT12:AT29)</f>
        <v>1612.1</v>
      </c>
      <c r="AU31" s="29">
        <f t="shared" si="24"/>
        <v>1336.1</v>
      </c>
      <c r="AV31" s="29">
        <f t="shared" si="24"/>
        <v>1047.0999999999999</v>
      </c>
      <c r="AW31" s="29">
        <f t="shared" si="24"/>
        <v>1089.0999999999999</v>
      </c>
      <c r="AX31" s="29">
        <f t="shared" si="24"/>
        <v>1137.0999999999999</v>
      </c>
      <c r="AY31" s="29">
        <f t="shared" si="24"/>
        <v>1042.0999999999999</v>
      </c>
      <c r="AZ31" s="29">
        <f t="shared" si="23"/>
        <v>855.1</v>
      </c>
      <c r="BA31" s="29">
        <f t="shared" si="23"/>
        <v>1032.0999999999999</v>
      </c>
      <c r="BB31" s="29">
        <f t="shared" ref="BB31:BZ31" si="25">SUM(BB12:BB29)</f>
        <v>9696.9999999999945</v>
      </c>
      <c r="BC31" s="29">
        <f t="shared" si="25"/>
        <v>1082.0999999999999</v>
      </c>
      <c r="BD31" s="29">
        <f t="shared" si="25"/>
        <v>772.1</v>
      </c>
      <c r="BE31" s="29">
        <f t="shared" si="25"/>
        <v>781.1</v>
      </c>
      <c r="BF31" s="29">
        <f t="shared" si="25"/>
        <v>1082.0999999999999</v>
      </c>
      <c r="BG31" s="29">
        <f t="shared" si="25"/>
        <v>1212.0999999999999</v>
      </c>
      <c r="BH31" s="29">
        <f t="shared" si="25"/>
        <v>3807.1</v>
      </c>
      <c r="BI31" s="29">
        <f t="shared" si="25"/>
        <v>998.1</v>
      </c>
      <c r="BJ31" s="29">
        <f t="shared" si="25"/>
        <v>2942.1</v>
      </c>
      <c r="BK31" s="29">
        <f t="shared" si="25"/>
        <v>862.1</v>
      </c>
      <c r="BL31" s="29">
        <f t="shared" si="25"/>
        <v>987.1</v>
      </c>
      <c r="BM31" s="29">
        <f t="shared" si="25"/>
        <v>1002.1</v>
      </c>
      <c r="BN31" s="29">
        <f t="shared" si="25"/>
        <v>882.1</v>
      </c>
      <c r="BO31" s="29">
        <f t="shared" si="25"/>
        <v>2666.1</v>
      </c>
      <c r="BP31" s="29">
        <f t="shared" si="25"/>
        <v>1187.0999999999999</v>
      </c>
      <c r="BQ31" s="29">
        <f t="shared" si="25"/>
        <v>1098.0999999999999</v>
      </c>
      <c r="BR31" s="29">
        <f t="shared" si="25"/>
        <v>992.1</v>
      </c>
      <c r="BS31" s="29">
        <f t="shared" si="25"/>
        <v>1777.1</v>
      </c>
      <c r="BT31" s="29">
        <f t="shared" si="25"/>
        <v>996.1</v>
      </c>
      <c r="BU31" s="29">
        <f t="shared" si="25"/>
        <v>12238.1</v>
      </c>
      <c r="BV31" s="29">
        <f t="shared" si="25"/>
        <v>1937.1</v>
      </c>
      <c r="BW31" s="29">
        <f t="shared" si="25"/>
        <v>1529.1</v>
      </c>
      <c r="BX31" s="29">
        <f t="shared" si="25"/>
        <v>506.1</v>
      </c>
      <c r="BY31" s="29">
        <f t="shared" si="25"/>
        <v>2224.1</v>
      </c>
      <c r="BZ31" s="29">
        <f t="shared" si="25"/>
        <v>1382.1</v>
      </c>
      <c r="CA31" s="29">
        <f t="shared" ref="CA31:CX31" si="26">SUM(CA12:CA29)</f>
        <v>1262.0999999999999</v>
      </c>
      <c r="CB31" s="29">
        <f t="shared" si="26"/>
        <v>627.1</v>
      </c>
      <c r="CC31" s="29">
        <f t="shared" si="26"/>
        <v>1429.1</v>
      </c>
      <c r="CD31" s="29">
        <f t="shared" si="26"/>
        <v>777.1</v>
      </c>
      <c r="CE31" s="29">
        <f t="shared" si="26"/>
        <v>931.1</v>
      </c>
      <c r="CF31" s="29">
        <f t="shared" si="26"/>
        <v>682.1</v>
      </c>
      <c r="CG31" s="29">
        <f t="shared" si="26"/>
        <v>2684</v>
      </c>
      <c r="CH31" s="29">
        <f t="shared" si="26"/>
        <v>1366.57</v>
      </c>
      <c r="CI31" s="29">
        <f t="shared" si="26"/>
        <v>1264.57</v>
      </c>
      <c r="CJ31" s="29">
        <f t="shared" si="26"/>
        <v>634.56999999999994</v>
      </c>
      <c r="CK31" s="29">
        <f t="shared" si="26"/>
        <v>1551.57</v>
      </c>
      <c r="CL31" s="29">
        <f t="shared" si="26"/>
        <v>1573.57</v>
      </c>
      <c r="CM31" s="29">
        <f t="shared" si="26"/>
        <v>11811.479090909092</v>
      </c>
      <c r="CN31" s="29">
        <f t="shared" si="26"/>
        <v>3473.9518181818185</v>
      </c>
      <c r="CO31" s="29">
        <f t="shared" si="26"/>
        <v>4389.5518181818179</v>
      </c>
      <c r="CP31" s="29">
        <f t="shared" si="26"/>
        <v>3255.5518181818184</v>
      </c>
      <c r="CQ31" s="29">
        <f t="shared" si="26"/>
        <v>6211.4427272727271</v>
      </c>
      <c r="CR31" s="29">
        <f t="shared" si="26"/>
        <v>1376.2972727272729</v>
      </c>
      <c r="CS31" s="29">
        <f t="shared" si="26"/>
        <v>963.56999999999994</v>
      </c>
      <c r="CT31" s="29">
        <f t="shared" si="26"/>
        <v>1133.57</v>
      </c>
      <c r="CU31" s="29">
        <f t="shared" si="26"/>
        <v>1433.57</v>
      </c>
      <c r="CV31" s="29">
        <f t="shared" si="26"/>
        <v>798.56999999999994</v>
      </c>
      <c r="CW31" s="29">
        <f t="shared" si="26"/>
        <v>778.56999999999994</v>
      </c>
      <c r="CX31" s="29">
        <f t="shared" si="26"/>
        <v>3388.57</v>
      </c>
      <c r="CY31" s="29">
        <f t="shared" ref="CY31:DU31" si="27">SUM(CY12:CY29)</f>
        <v>1803.57</v>
      </c>
      <c r="CZ31" s="29">
        <f t="shared" si="27"/>
        <v>2448.5699999999997</v>
      </c>
      <c r="DA31" s="29">
        <f t="shared" si="27"/>
        <v>1335.57</v>
      </c>
      <c r="DB31" s="29">
        <f t="shared" si="27"/>
        <v>737.56999999999994</v>
      </c>
      <c r="DC31" s="29">
        <f t="shared" si="27"/>
        <v>1263.57</v>
      </c>
      <c r="DD31" s="29">
        <f t="shared" si="27"/>
        <v>3025.5699999999997</v>
      </c>
      <c r="DE31" s="29">
        <f t="shared" si="27"/>
        <v>948.56999999999994</v>
      </c>
      <c r="DF31" s="29">
        <f t="shared" si="27"/>
        <v>1083.57</v>
      </c>
      <c r="DG31" s="29">
        <f t="shared" si="27"/>
        <v>2033.57</v>
      </c>
      <c r="DH31" s="29">
        <f t="shared" si="27"/>
        <v>3011.5699999999997</v>
      </c>
      <c r="DI31" s="29">
        <f t="shared" si="27"/>
        <v>21548.610000000004</v>
      </c>
      <c r="DJ31" s="29">
        <f t="shared" si="27"/>
        <v>1825</v>
      </c>
      <c r="DK31" s="29">
        <f t="shared" si="27"/>
        <v>959</v>
      </c>
      <c r="DL31" s="29">
        <f t="shared" si="27"/>
        <v>990</v>
      </c>
      <c r="DM31" s="29">
        <f t="shared" si="27"/>
        <v>720</v>
      </c>
      <c r="DN31" s="29">
        <f t="shared" si="27"/>
        <v>1515</v>
      </c>
      <c r="DO31" s="29">
        <f t="shared" si="27"/>
        <v>1150</v>
      </c>
      <c r="DP31" s="29">
        <f t="shared" si="27"/>
        <v>2005</v>
      </c>
      <c r="DQ31" s="29">
        <f t="shared" si="27"/>
        <v>3410</v>
      </c>
      <c r="DR31" s="29">
        <f>SUM(DR12:DR29)</f>
        <v>3630</v>
      </c>
      <c r="DS31" s="29">
        <f>SUM(DS12:DS29)</f>
        <v>1793</v>
      </c>
      <c r="DT31" s="29">
        <f>SUM(DT12:DT29)</f>
        <v>1083</v>
      </c>
      <c r="DU31" s="29">
        <f t="shared" si="27"/>
        <v>0</v>
      </c>
      <c r="DV31" s="194">
        <f>SUM(DV12:DV28)</f>
        <v>0</v>
      </c>
      <c r="DW31" s="180">
        <f>SUM(DW12:DW28)</f>
        <v>0</v>
      </c>
      <c r="DX31" s="29">
        <f>SUM(E31:DW31)</f>
        <v>236669.85454545487</v>
      </c>
      <c r="DY31" s="6">
        <f t="shared" si="20"/>
        <v>9332.6905969330346</v>
      </c>
      <c r="DZ31" s="27"/>
      <c r="FD31" s="4" t="str">
        <f>+A32</f>
        <v>DONG</v>
      </c>
      <c r="FE31" s="161">
        <f ca="1">SUM((INDIRECT(FE$9&amp;ROW()):(INDIRECT(FE$10&amp;ROW()))))</f>
        <v>0</v>
      </c>
      <c r="FF31" s="161">
        <f ca="1">SUM((INDIRECT(FF$9&amp;ROW()):(INDIRECT(FF$10&amp;ROW()))))</f>
        <v>28987</v>
      </c>
      <c r="FG31" s="161">
        <f ca="1">SUM((INDIRECT(FG$9&amp;ROW()):(INDIRECT(FG$10&amp;ROW()))))</f>
        <v>50620.999999999971</v>
      </c>
      <c r="FH31" s="161">
        <f ca="1">SUM((INDIRECT(FH$9&amp;ROW()):(INDIRECT(FH$10&amp;ROW()))))</f>
        <v>53335.999999999978</v>
      </c>
      <c r="FI31" s="161">
        <f ca="1">SUM((INDIRECT(FI$9&amp;ROW()):(INDIRECT(FI$10&amp;ROW()))))</f>
        <v>84645.854545454538</v>
      </c>
      <c r="FJ31" s="161">
        <f ca="1">SUM((INDIRECT(FJ$9&amp;ROW()):(INDIRECT(FJ$10&amp;ROW()))))</f>
        <v>19080</v>
      </c>
      <c r="FK31" s="161" t="e">
        <f ca="1">SUM((INDIRECT(FK$9&amp;ROW()):(INDIRECT(FK$10&amp;ROW()))))</f>
        <v>#REF!</v>
      </c>
      <c r="FL31" s="161" t="e">
        <f ca="1">SUM((INDIRECT(FL$9&amp;ROW()):(INDIRECT(FL$10&amp;ROW()))))</f>
        <v>#REF!</v>
      </c>
      <c r="FN31" s="400">
        <f t="shared" ca="1" si="21"/>
        <v>236669.85454545449</v>
      </c>
      <c r="FP31" s="359">
        <f ca="1">SUM(FP12:FP30)</f>
        <v>2389.8031496062995</v>
      </c>
    </row>
    <row r="32" spans="1:172">
      <c r="A32" s="44" t="s">
        <v>94</v>
      </c>
      <c r="C32" s="466" t="s">
        <v>965</v>
      </c>
      <c r="E32" s="233">
        <f t="shared" ref="E32:BP32" si="28">E31-E28-E19-E27</f>
        <v>0</v>
      </c>
      <c r="F32" s="233">
        <f t="shared" si="28"/>
        <v>3022</v>
      </c>
      <c r="G32" s="233">
        <f t="shared" si="28"/>
        <v>963</v>
      </c>
      <c r="H32" s="233">
        <f t="shared" si="28"/>
        <v>909</v>
      </c>
      <c r="I32" s="233">
        <f t="shared" si="28"/>
        <v>238</v>
      </c>
      <c r="J32" s="233">
        <f t="shared" si="28"/>
        <v>1200</v>
      </c>
      <c r="K32" s="233">
        <f t="shared" si="28"/>
        <v>548</v>
      </c>
      <c r="L32" s="233">
        <f t="shared" si="28"/>
        <v>330</v>
      </c>
      <c r="M32" s="233">
        <f t="shared" si="28"/>
        <v>1285</v>
      </c>
      <c r="N32" s="233">
        <f t="shared" si="28"/>
        <v>637</v>
      </c>
      <c r="O32" s="233">
        <f t="shared" si="28"/>
        <v>480</v>
      </c>
      <c r="P32" s="233">
        <f t="shared" si="28"/>
        <v>338</v>
      </c>
      <c r="Q32" s="233">
        <f t="shared" si="28"/>
        <v>94</v>
      </c>
      <c r="R32" s="233">
        <f t="shared" si="28"/>
        <v>2430</v>
      </c>
      <c r="S32" s="233">
        <f t="shared" si="28"/>
        <v>1245</v>
      </c>
      <c r="T32" s="233">
        <f t="shared" si="28"/>
        <v>1100</v>
      </c>
      <c r="U32" s="233">
        <f t="shared" si="28"/>
        <v>955</v>
      </c>
      <c r="V32" s="233">
        <f t="shared" si="28"/>
        <v>608</v>
      </c>
      <c r="W32" s="233">
        <f t="shared" si="28"/>
        <v>715</v>
      </c>
      <c r="X32" s="233">
        <f t="shared" si="28"/>
        <v>822.99999999999989</v>
      </c>
      <c r="Y32" s="233">
        <f t="shared" si="28"/>
        <v>635</v>
      </c>
      <c r="Z32" s="233">
        <f t="shared" si="28"/>
        <v>1105</v>
      </c>
      <c r="AA32" s="233">
        <f t="shared" si="28"/>
        <v>645</v>
      </c>
      <c r="AB32" s="233">
        <f t="shared" si="28"/>
        <v>874.99999999999989</v>
      </c>
      <c r="AC32" s="233">
        <f t="shared" si="28"/>
        <v>1176</v>
      </c>
      <c r="AD32" s="233">
        <f t="shared" si="28"/>
        <v>2209</v>
      </c>
      <c r="AE32" s="233">
        <f t="shared" si="28"/>
        <v>569.99999999999989</v>
      </c>
      <c r="AF32" s="233">
        <f t="shared" si="28"/>
        <v>849.99999999999989</v>
      </c>
      <c r="AG32" s="233">
        <f t="shared" si="28"/>
        <v>1101</v>
      </c>
      <c r="AH32" s="233">
        <f t="shared" si="28"/>
        <v>877.99999999999989</v>
      </c>
      <c r="AI32" s="233">
        <f t="shared" si="28"/>
        <v>1735</v>
      </c>
      <c r="AJ32" s="233">
        <f t="shared" si="28"/>
        <v>1095</v>
      </c>
      <c r="AK32" s="233">
        <f t="shared" si="28"/>
        <v>889.99999999999989</v>
      </c>
      <c r="AL32" s="233">
        <f t="shared" si="28"/>
        <v>2471</v>
      </c>
      <c r="AM32" s="233">
        <f t="shared" si="28"/>
        <v>480</v>
      </c>
      <c r="AN32" s="233">
        <f t="shared" si="28"/>
        <v>914.99999999999989</v>
      </c>
      <c r="AO32" s="233">
        <f t="shared" si="28"/>
        <v>545</v>
      </c>
      <c r="AP32" s="233">
        <f t="shared" si="28"/>
        <v>518</v>
      </c>
      <c r="AQ32" s="233">
        <f t="shared" si="28"/>
        <v>643.99999999999989</v>
      </c>
      <c r="AR32" s="233">
        <f t="shared" si="28"/>
        <v>314</v>
      </c>
      <c r="AS32" s="233">
        <f t="shared" si="28"/>
        <v>942.99999999999989</v>
      </c>
      <c r="AT32" s="233">
        <f t="shared" si="28"/>
        <v>1015</v>
      </c>
      <c r="AU32" s="233">
        <f t="shared" si="28"/>
        <v>948.99999999999989</v>
      </c>
      <c r="AV32" s="233">
        <f t="shared" si="28"/>
        <v>659.99999999999989</v>
      </c>
      <c r="AW32" s="233">
        <f t="shared" si="28"/>
        <v>701.99999999999989</v>
      </c>
      <c r="AX32" s="233">
        <f t="shared" si="28"/>
        <v>749.99999999999989</v>
      </c>
      <c r="AY32" s="233">
        <f t="shared" si="28"/>
        <v>654.99999999999989</v>
      </c>
      <c r="AZ32" s="233">
        <f t="shared" si="28"/>
        <v>468</v>
      </c>
      <c r="BA32" s="233">
        <f t="shared" si="28"/>
        <v>644.99999999999989</v>
      </c>
      <c r="BB32" s="233">
        <f t="shared" si="28"/>
        <v>900</v>
      </c>
      <c r="BC32" s="233">
        <f t="shared" si="28"/>
        <v>694.99999999999989</v>
      </c>
      <c r="BD32" s="233">
        <f t="shared" si="28"/>
        <v>385</v>
      </c>
      <c r="BE32" s="233">
        <f t="shared" si="28"/>
        <v>394</v>
      </c>
      <c r="BF32" s="233">
        <f t="shared" si="28"/>
        <v>694.99999999999989</v>
      </c>
      <c r="BG32" s="233">
        <f t="shared" si="28"/>
        <v>824.99999999999989</v>
      </c>
      <c r="BH32" s="233">
        <f t="shared" si="28"/>
        <v>2420</v>
      </c>
      <c r="BI32" s="233">
        <f t="shared" si="28"/>
        <v>611</v>
      </c>
      <c r="BJ32" s="233">
        <f t="shared" si="28"/>
        <v>1555</v>
      </c>
      <c r="BK32" s="233">
        <f t="shared" si="28"/>
        <v>475</v>
      </c>
      <c r="BL32" s="233">
        <f t="shared" si="28"/>
        <v>600</v>
      </c>
      <c r="BM32" s="233">
        <f t="shared" si="28"/>
        <v>615</v>
      </c>
      <c r="BN32" s="233">
        <f t="shared" si="28"/>
        <v>495</v>
      </c>
      <c r="BO32" s="233">
        <f t="shared" si="28"/>
        <v>1612</v>
      </c>
      <c r="BP32" s="233">
        <f t="shared" si="28"/>
        <v>799.99999999999989</v>
      </c>
      <c r="BQ32" s="233">
        <f t="shared" ref="BQ32:DC32" si="29">BQ31-BQ28-BQ19-BQ27</f>
        <v>710.99999999999989</v>
      </c>
      <c r="BR32" s="233">
        <f t="shared" si="29"/>
        <v>605</v>
      </c>
      <c r="BS32" s="233">
        <f t="shared" si="29"/>
        <v>1390</v>
      </c>
      <c r="BT32" s="233">
        <f t="shared" si="29"/>
        <v>609</v>
      </c>
      <c r="BU32" s="233">
        <f t="shared" si="29"/>
        <v>11851</v>
      </c>
      <c r="BV32" s="233">
        <f t="shared" si="29"/>
        <v>1550</v>
      </c>
      <c r="BW32" s="233">
        <f t="shared" si="29"/>
        <v>1142</v>
      </c>
      <c r="BX32" s="233">
        <f t="shared" si="29"/>
        <v>119</v>
      </c>
      <c r="BY32" s="233">
        <f t="shared" si="29"/>
        <v>337</v>
      </c>
      <c r="BZ32" s="233">
        <f t="shared" si="29"/>
        <v>994.99999999999989</v>
      </c>
      <c r="CA32" s="233">
        <f t="shared" si="29"/>
        <v>874.99999999999989</v>
      </c>
      <c r="CB32" s="233">
        <f t="shared" si="29"/>
        <v>240</v>
      </c>
      <c r="CC32" s="233">
        <f t="shared" si="29"/>
        <v>1042</v>
      </c>
      <c r="CD32" s="233">
        <f t="shared" si="29"/>
        <v>390</v>
      </c>
      <c r="CE32" s="233">
        <f t="shared" si="29"/>
        <v>544</v>
      </c>
      <c r="CF32" s="233">
        <f t="shared" si="29"/>
        <v>295</v>
      </c>
      <c r="CG32" s="233">
        <f t="shared" si="29"/>
        <v>991</v>
      </c>
      <c r="CH32" s="233">
        <f t="shared" si="29"/>
        <v>938</v>
      </c>
      <c r="CI32" s="233">
        <f t="shared" si="29"/>
        <v>836</v>
      </c>
      <c r="CJ32" s="233">
        <f t="shared" si="29"/>
        <v>205.99999999999994</v>
      </c>
      <c r="CK32" s="233">
        <f t="shared" si="29"/>
        <v>1123</v>
      </c>
      <c r="CL32" s="233">
        <f t="shared" si="29"/>
        <v>645</v>
      </c>
      <c r="CM32" s="233">
        <f t="shared" si="29"/>
        <v>11382.909090909092</v>
      </c>
      <c r="CN32" s="233">
        <f t="shared" si="29"/>
        <v>3045.3818181818183</v>
      </c>
      <c r="CO32" s="233">
        <f t="shared" si="29"/>
        <v>3960.9818181818177</v>
      </c>
      <c r="CP32" s="233">
        <f t="shared" si="29"/>
        <v>2826.9818181818182</v>
      </c>
      <c r="CQ32" s="233">
        <f t="shared" si="29"/>
        <v>5782.8727272727274</v>
      </c>
      <c r="CR32" s="233">
        <f t="shared" si="29"/>
        <v>947.72727272727298</v>
      </c>
      <c r="CS32" s="233">
        <f t="shared" si="29"/>
        <v>535</v>
      </c>
      <c r="CT32" s="233">
        <f t="shared" si="29"/>
        <v>705</v>
      </c>
      <c r="CU32" s="233">
        <f t="shared" si="29"/>
        <v>1005</v>
      </c>
      <c r="CV32" s="233">
        <f t="shared" si="29"/>
        <v>369.99999999999994</v>
      </c>
      <c r="CW32" s="233">
        <f t="shared" si="29"/>
        <v>349.99999999999994</v>
      </c>
      <c r="CX32" s="233">
        <f t="shared" si="29"/>
        <v>2710</v>
      </c>
      <c r="CY32" s="233">
        <f t="shared" si="29"/>
        <v>1375</v>
      </c>
      <c r="CZ32" s="233">
        <f t="shared" si="29"/>
        <v>619.99999999999977</v>
      </c>
      <c r="DA32" s="233">
        <f t="shared" si="29"/>
        <v>907</v>
      </c>
      <c r="DB32" s="233">
        <f t="shared" si="29"/>
        <v>308.99999999999994</v>
      </c>
      <c r="DC32" s="233">
        <f t="shared" si="29"/>
        <v>595</v>
      </c>
      <c r="DD32" s="233">
        <f>DD31-DD28-DD19-DD27</f>
        <v>346.99999999999955</v>
      </c>
      <c r="DE32" s="233">
        <f t="shared" ref="DE32:DU32" si="30">DE31-DE28-DE19-DE27</f>
        <v>520</v>
      </c>
      <c r="DF32" s="233">
        <f t="shared" si="30"/>
        <v>655</v>
      </c>
      <c r="DG32" s="233">
        <f t="shared" si="30"/>
        <v>1605</v>
      </c>
      <c r="DH32" s="233">
        <f t="shared" si="30"/>
        <v>1582.9999999999995</v>
      </c>
      <c r="DI32" s="233">
        <f t="shared" si="30"/>
        <v>21120</v>
      </c>
      <c r="DJ32" s="233">
        <f t="shared" si="30"/>
        <v>1425</v>
      </c>
      <c r="DK32" s="233">
        <f t="shared" si="30"/>
        <v>559</v>
      </c>
      <c r="DL32" s="233">
        <f t="shared" si="30"/>
        <v>590</v>
      </c>
      <c r="DM32" s="233">
        <f t="shared" si="30"/>
        <v>320</v>
      </c>
      <c r="DN32" s="233">
        <f t="shared" si="30"/>
        <v>1115</v>
      </c>
      <c r="DO32" s="233">
        <f t="shared" si="30"/>
        <v>750</v>
      </c>
      <c r="DP32" s="233">
        <f t="shared" si="30"/>
        <v>1115</v>
      </c>
      <c r="DQ32" s="233">
        <f t="shared" si="30"/>
        <v>1960</v>
      </c>
      <c r="DR32" s="233">
        <f>DR31-DR28-DR19-DR27</f>
        <v>2830</v>
      </c>
      <c r="DS32" s="233">
        <f>DS31-DS28-DS19-DS27</f>
        <v>585</v>
      </c>
      <c r="DT32" s="233">
        <f>DT31-DT28-DT19-DT27</f>
        <v>1083</v>
      </c>
      <c r="DU32" s="233">
        <f t="shared" si="30"/>
        <v>0</v>
      </c>
      <c r="DV32" s="195">
        <f>DV31-DV18</f>
        <v>0</v>
      </c>
      <c r="DW32" s="181">
        <f>DW31-DW18</f>
        <v>0</v>
      </c>
      <c r="DX32" s="465">
        <f>SUM(E32:DW32)</f>
        <v>160458.85454545455</v>
      </c>
      <c r="DY32" s="464">
        <f>DX32/TAUXmoyen</f>
        <v>6327.4338250095825</v>
      </c>
      <c r="DZ32" s="27"/>
      <c r="FD32">
        <v>0</v>
      </c>
      <c r="FE32" s="142">
        <f t="shared" ref="FE32:FJ32" ca="1" si="31">+FE31/TAUXmoyen</f>
        <v>0</v>
      </c>
      <c r="FF32" s="142">
        <f t="shared" ca="1" si="31"/>
        <v>1143.0551763885096</v>
      </c>
      <c r="FG32" s="142">
        <f t="shared" ca="1" si="31"/>
        <v>1996.1567628234284</v>
      </c>
      <c r="FH32" s="142">
        <f t="shared" ca="1" si="31"/>
        <v>2103.2183698850358</v>
      </c>
      <c r="FI32" s="142">
        <f ca="1">+FI31/TAUXmoyen</f>
        <v>3337.8715354472924</v>
      </c>
      <c r="FJ32" s="142">
        <f t="shared" ca="1" si="31"/>
        <v>752.38875238875232</v>
      </c>
      <c r="FK32" s="142" t="e">
        <f ca="1">+FK31/TAUXmoyen</f>
        <v>#REF!</v>
      </c>
      <c r="FL32" s="142" t="e">
        <f ca="1">+FL31/TAUXmoyen</f>
        <v>#REF!</v>
      </c>
      <c r="FN32" s="28">
        <f ca="1">SUM(FF32:FJ32)</f>
        <v>9332.6905969330164</v>
      </c>
    </row>
    <row r="33" spans="1:170">
      <c r="A33" s="44"/>
      <c r="C33" s="4" t="s">
        <v>964</v>
      </c>
      <c r="E33" s="29"/>
      <c r="F33" s="233">
        <f t="shared" ref="F33:BQ33" si="32">+SUM(F12:F18)</f>
        <v>1092</v>
      </c>
      <c r="G33" s="233">
        <f t="shared" si="32"/>
        <v>713</v>
      </c>
      <c r="H33" s="233">
        <f t="shared" si="32"/>
        <v>729</v>
      </c>
      <c r="I33" s="233">
        <f t="shared" si="32"/>
        <v>238</v>
      </c>
      <c r="J33" s="233">
        <f t="shared" si="32"/>
        <v>600</v>
      </c>
      <c r="K33" s="233">
        <f t="shared" si="32"/>
        <v>548</v>
      </c>
      <c r="L33" s="233">
        <f t="shared" si="32"/>
        <v>330</v>
      </c>
      <c r="M33" s="233">
        <f t="shared" si="32"/>
        <v>1285</v>
      </c>
      <c r="N33" s="233">
        <f t="shared" si="32"/>
        <v>637</v>
      </c>
      <c r="O33" s="233">
        <f t="shared" si="32"/>
        <v>480</v>
      </c>
      <c r="P33" s="233">
        <f t="shared" si="32"/>
        <v>338</v>
      </c>
      <c r="Q33" s="233">
        <f t="shared" si="32"/>
        <v>94</v>
      </c>
      <c r="R33" s="233">
        <f t="shared" si="32"/>
        <v>750</v>
      </c>
      <c r="S33" s="233">
        <f t="shared" si="32"/>
        <v>479</v>
      </c>
      <c r="T33" s="233">
        <f t="shared" si="32"/>
        <v>250</v>
      </c>
      <c r="U33" s="233">
        <f t="shared" si="32"/>
        <v>955</v>
      </c>
      <c r="V33" s="233">
        <f t="shared" si="32"/>
        <v>608</v>
      </c>
      <c r="W33" s="233">
        <f t="shared" si="32"/>
        <v>715</v>
      </c>
      <c r="X33" s="233">
        <f t="shared" si="32"/>
        <v>603</v>
      </c>
      <c r="Y33" s="233">
        <f t="shared" si="32"/>
        <v>635</v>
      </c>
      <c r="Z33" s="233">
        <f t="shared" si="32"/>
        <v>375</v>
      </c>
      <c r="AA33" s="233">
        <f t="shared" si="32"/>
        <v>515</v>
      </c>
      <c r="AB33" s="233">
        <f t="shared" si="32"/>
        <v>605</v>
      </c>
      <c r="AC33" s="233">
        <f t="shared" si="32"/>
        <v>676</v>
      </c>
      <c r="AD33" s="233">
        <f t="shared" si="32"/>
        <v>419</v>
      </c>
      <c r="AE33" s="233">
        <f t="shared" si="32"/>
        <v>170</v>
      </c>
      <c r="AF33" s="233">
        <f t="shared" si="32"/>
        <v>630</v>
      </c>
      <c r="AG33" s="233">
        <f t="shared" si="32"/>
        <v>1101</v>
      </c>
      <c r="AH33" s="233">
        <f t="shared" si="32"/>
        <v>878</v>
      </c>
      <c r="AI33" s="233">
        <f t="shared" si="32"/>
        <v>1735</v>
      </c>
      <c r="AJ33" s="233">
        <f t="shared" si="32"/>
        <v>595</v>
      </c>
      <c r="AK33" s="233">
        <f t="shared" si="32"/>
        <v>890</v>
      </c>
      <c r="AL33" s="233">
        <f t="shared" si="32"/>
        <v>2471</v>
      </c>
      <c r="AM33" s="233">
        <f t="shared" si="32"/>
        <v>480</v>
      </c>
      <c r="AN33" s="233">
        <f t="shared" si="32"/>
        <v>915</v>
      </c>
      <c r="AO33" s="233">
        <f t="shared" si="32"/>
        <v>545</v>
      </c>
      <c r="AP33" s="233">
        <f t="shared" si="32"/>
        <v>518</v>
      </c>
      <c r="AQ33" s="233">
        <f t="shared" si="32"/>
        <v>644</v>
      </c>
      <c r="AR33" s="233">
        <f t="shared" si="32"/>
        <v>314</v>
      </c>
      <c r="AS33" s="233">
        <f t="shared" si="32"/>
        <v>343</v>
      </c>
      <c r="AT33" s="233">
        <f t="shared" si="32"/>
        <v>1015</v>
      </c>
      <c r="AU33" s="233">
        <f t="shared" si="32"/>
        <v>949</v>
      </c>
      <c r="AV33" s="233">
        <f t="shared" si="32"/>
        <v>660</v>
      </c>
      <c r="AW33" s="233">
        <f t="shared" si="32"/>
        <v>702</v>
      </c>
      <c r="AX33" s="233">
        <f t="shared" si="32"/>
        <v>750</v>
      </c>
      <c r="AY33" s="233">
        <f t="shared" si="32"/>
        <v>655</v>
      </c>
      <c r="AZ33" s="233">
        <f t="shared" si="32"/>
        <v>468</v>
      </c>
      <c r="BA33" s="233">
        <f t="shared" si="32"/>
        <v>645</v>
      </c>
      <c r="BB33" s="233">
        <f t="shared" si="32"/>
        <v>900</v>
      </c>
      <c r="BC33" s="233">
        <f t="shared" si="32"/>
        <v>695</v>
      </c>
      <c r="BD33" s="233">
        <f t="shared" si="32"/>
        <v>385</v>
      </c>
      <c r="BE33" s="233">
        <f t="shared" si="32"/>
        <v>394</v>
      </c>
      <c r="BF33" s="233">
        <f t="shared" si="32"/>
        <v>695</v>
      </c>
      <c r="BG33" s="233">
        <f t="shared" si="32"/>
        <v>825</v>
      </c>
      <c r="BH33" s="233">
        <f t="shared" si="32"/>
        <v>270</v>
      </c>
      <c r="BI33" s="233">
        <f t="shared" si="32"/>
        <v>611</v>
      </c>
      <c r="BJ33" s="233">
        <f t="shared" si="32"/>
        <v>1555</v>
      </c>
      <c r="BK33" s="233">
        <f t="shared" si="32"/>
        <v>475</v>
      </c>
      <c r="BL33" s="233">
        <f t="shared" si="32"/>
        <v>600</v>
      </c>
      <c r="BM33" s="233">
        <f t="shared" si="32"/>
        <v>615</v>
      </c>
      <c r="BN33" s="233">
        <f t="shared" si="32"/>
        <v>495</v>
      </c>
      <c r="BO33" s="233">
        <f t="shared" si="32"/>
        <v>1612</v>
      </c>
      <c r="BP33" s="233">
        <f t="shared" si="32"/>
        <v>800</v>
      </c>
      <c r="BQ33" s="233">
        <f t="shared" si="32"/>
        <v>711</v>
      </c>
      <c r="BR33" s="233">
        <f t="shared" ref="BR33:DC33" si="33">+SUM(BR12:BR18)</f>
        <v>605</v>
      </c>
      <c r="BS33" s="233">
        <f t="shared" si="33"/>
        <v>1390</v>
      </c>
      <c r="BT33" s="233">
        <f t="shared" si="33"/>
        <v>609</v>
      </c>
      <c r="BU33" s="233">
        <f t="shared" si="33"/>
        <v>1771</v>
      </c>
      <c r="BV33" s="233">
        <f t="shared" si="33"/>
        <v>1350</v>
      </c>
      <c r="BW33" s="233">
        <f t="shared" si="33"/>
        <v>514</v>
      </c>
      <c r="BX33" s="233">
        <f t="shared" si="33"/>
        <v>119</v>
      </c>
      <c r="BY33" s="233">
        <f t="shared" si="33"/>
        <v>337</v>
      </c>
      <c r="BZ33" s="233">
        <f t="shared" si="33"/>
        <v>995</v>
      </c>
      <c r="CA33" s="233">
        <f t="shared" si="33"/>
        <v>875</v>
      </c>
      <c r="CB33" s="233">
        <f t="shared" si="33"/>
        <v>240</v>
      </c>
      <c r="CC33" s="233">
        <f t="shared" si="33"/>
        <v>642</v>
      </c>
      <c r="CD33" s="233">
        <f t="shared" si="33"/>
        <v>390</v>
      </c>
      <c r="CE33" s="233">
        <f t="shared" si="33"/>
        <v>544</v>
      </c>
      <c r="CF33" s="233">
        <f t="shared" si="33"/>
        <v>295</v>
      </c>
      <c r="CG33" s="233">
        <f t="shared" si="33"/>
        <v>991</v>
      </c>
      <c r="CH33" s="233">
        <f t="shared" si="33"/>
        <v>938</v>
      </c>
      <c r="CI33" s="233">
        <f t="shared" si="33"/>
        <v>336</v>
      </c>
      <c r="CJ33" s="233">
        <f t="shared" si="33"/>
        <v>206</v>
      </c>
      <c r="CK33" s="233">
        <f t="shared" si="33"/>
        <v>1123</v>
      </c>
      <c r="CL33" s="233">
        <f t="shared" si="33"/>
        <v>645</v>
      </c>
      <c r="CM33" s="233">
        <f t="shared" si="33"/>
        <v>1263.818181818182</v>
      </c>
      <c r="CN33" s="233">
        <f t="shared" si="33"/>
        <v>930.10909090909104</v>
      </c>
      <c r="CO33" s="233">
        <f t="shared" si="33"/>
        <v>1402.8000000000002</v>
      </c>
      <c r="CP33" s="233">
        <f t="shared" si="33"/>
        <v>775.85454545454559</v>
      </c>
      <c r="CQ33" s="233">
        <f t="shared" si="33"/>
        <v>747.60000000000014</v>
      </c>
      <c r="CR33" s="233">
        <f t="shared" si="33"/>
        <v>622.41818181818212</v>
      </c>
      <c r="CS33" s="233">
        <f t="shared" si="33"/>
        <v>535</v>
      </c>
      <c r="CT33" s="233">
        <f t="shared" si="33"/>
        <v>705</v>
      </c>
      <c r="CU33" s="233">
        <f t="shared" si="33"/>
        <v>855</v>
      </c>
      <c r="CV33" s="233">
        <f t="shared" si="33"/>
        <v>370</v>
      </c>
      <c r="CW33" s="233">
        <f t="shared" si="33"/>
        <v>350</v>
      </c>
      <c r="CX33" s="233">
        <f t="shared" si="33"/>
        <v>1710</v>
      </c>
      <c r="CY33" s="233">
        <f t="shared" si="33"/>
        <v>575</v>
      </c>
      <c r="CZ33" s="233">
        <f t="shared" si="33"/>
        <v>620</v>
      </c>
      <c r="DA33" s="233">
        <f t="shared" si="33"/>
        <v>907</v>
      </c>
      <c r="DB33" s="233">
        <f t="shared" si="33"/>
        <v>309</v>
      </c>
      <c r="DC33" s="233">
        <f t="shared" si="33"/>
        <v>595</v>
      </c>
      <c r="DD33" s="233">
        <f>+SUM(DD12:DD18)</f>
        <v>347</v>
      </c>
      <c r="DE33" s="233">
        <f t="shared" ref="DE33:DU33" si="34">+SUM(DE12:DE18)</f>
        <v>520</v>
      </c>
      <c r="DF33" s="233">
        <f t="shared" si="34"/>
        <v>655</v>
      </c>
      <c r="DG33" s="233">
        <f t="shared" si="34"/>
        <v>605</v>
      </c>
      <c r="DH33" s="233">
        <f t="shared" si="34"/>
        <v>811</v>
      </c>
      <c r="DI33" s="233">
        <f t="shared" si="34"/>
        <v>340</v>
      </c>
      <c r="DJ33" s="233">
        <f t="shared" si="34"/>
        <v>1425</v>
      </c>
      <c r="DK33" s="233">
        <f t="shared" si="34"/>
        <v>559</v>
      </c>
      <c r="DL33" s="233">
        <f t="shared" si="34"/>
        <v>110</v>
      </c>
      <c r="DM33" s="233">
        <f t="shared" si="34"/>
        <v>320</v>
      </c>
      <c r="DN33" s="233">
        <f t="shared" si="34"/>
        <v>1115</v>
      </c>
      <c r="DO33" s="233">
        <f t="shared" si="34"/>
        <v>750</v>
      </c>
      <c r="DP33" s="233">
        <f t="shared" si="34"/>
        <v>1115</v>
      </c>
      <c r="DQ33" s="233">
        <f t="shared" si="34"/>
        <v>960</v>
      </c>
      <c r="DR33" s="233">
        <f>+SUM(DR12:DR18)</f>
        <v>2730</v>
      </c>
      <c r="DS33" s="233">
        <f>+SUM(DS12:DS18)</f>
        <v>585</v>
      </c>
      <c r="DT33" s="233">
        <f>+SUM(DT12:DT18)</f>
        <v>833</v>
      </c>
      <c r="DU33" s="233">
        <f t="shared" si="34"/>
        <v>0</v>
      </c>
      <c r="DV33" s="194"/>
      <c r="DW33" s="180"/>
      <c r="DX33" s="465">
        <f>SUM(E33:DW33)</f>
        <v>86348.6</v>
      </c>
      <c r="DY33" s="464">
        <f>DX33/TAUXmoyen</f>
        <v>3405.0165316831985</v>
      </c>
      <c r="DZ33" s="27"/>
      <c r="FD33" s="9">
        <v>0</v>
      </c>
      <c r="FE33" s="118" t="str">
        <f>+FE$11</f>
        <v>France</v>
      </c>
      <c r="FF33" s="118" t="str">
        <f>FF$11&amp;" "&amp;FF8&amp;" jrs"</f>
        <v>NOV 18 jrs</v>
      </c>
      <c r="FG33" s="118" t="str">
        <f>FG$11&amp;" "&amp;FG8&amp;" jrs"</f>
        <v>DEC 31 jrs</v>
      </c>
      <c r="FH33" s="118" t="str">
        <f>FH$11&amp;" "&amp;FH8&amp;" jrs"</f>
        <v>JAN 31 jrs</v>
      </c>
      <c r="FI33" s="118" t="str">
        <f>FI$11&amp;" "&amp;FI8&amp;" jrs"</f>
        <v>FEV 28 jrs</v>
      </c>
      <c r="FJ33" s="118" t="str">
        <f>FJ$11&amp;" "&amp;FJ8&amp;" jrs"</f>
        <v>MAR 12 jrs</v>
      </c>
      <c r="FK33" s="118" t="str">
        <f>+FK$11</f>
        <v>SEPT</v>
      </c>
      <c r="FL33" s="118" t="str">
        <f>+FL$11</f>
        <v>OCT</v>
      </c>
    </row>
    <row r="34" spans="1:170" outlineLevel="1">
      <c r="A34" t="s">
        <v>70</v>
      </c>
      <c r="C34" s="2" t="s">
        <v>328</v>
      </c>
      <c r="E34" s="142">
        <f>SUMIF($B$12:$B$27,$C34,E$12:E$27)</f>
        <v>0</v>
      </c>
      <c r="F34" s="142">
        <f t="shared" ref="F34:U35" si="35">SUMIF($B$12:$B$29,$C34,F$12:F$29)</f>
        <v>752</v>
      </c>
      <c r="G34" s="142">
        <f t="shared" si="35"/>
        <v>713</v>
      </c>
      <c r="H34" s="142">
        <f t="shared" si="35"/>
        <v>729</v>
      </c>
      <c r="I34" s="142">
        <f t="shared" si="35"/>
        <v>238</v>
      </c>
      <c r="J34" s="142">
        <f t="shared" si="35"/>
        <v>600</v>
      </c>
      <c r="K34" s="142">
        <f t="shared" si="35"/>
        <v>548</v>
      </c>
      <c r="L34" s="142">
        <f t="shared" si="35"/>
        <v>330</v>
      </c>
      <c r="M34" s="142">
        <f t="shared" si="35"/>
        <v>1245</v>
      </c>
      <c r="N34" s="142">
        <f t="shared" si="35"/>
        <v>163</v>
      </c>
      <c r="O34" s="142">
        <f t="shared" si="35"/>
        <v>420</v>
      </c>
      <c r="P34" s="142">
        <f t="shared" si="35"/>
        <v>308</v>
      </c>
      <c r="Q34" s="142">
        <f t="shared" si="35"/>
        <v>94</v>
      </c>
      <c r="R34" s="142">
        <f t="shared" si="35"/>
        <v>750</v>
      </c>
      <c r="S34" s="142">
        <f t="shared" si="35"/>
        <v>383</v>
      </c>
      <c r="T34" s="142">
        <f t="shared" si="35"/>
        <v>250</v>
      </c>
      <c r="U34" s="142">
        <f t="shared" si="35"/>
        <v>740</v>
      </c>
      <c r="V34" s="142">
        <f t="shared" ref="G34:W38" si="36">SUMIF($B$12:$B$29,$C34,V$12:V$29)</f>
        <v>523</v>
      </c>
      <c r="W34" s="142">
        <f t="shared" si="36"/>
        <v>690</v>
      </c>
      <c r="X34" s="142">
        <f t="shared" ref="X34:Y39" si="37">SUMIF($B$12:$B$29,$C34,X$12:X$29)</f>
        <v>518</v>
      </c>
      <c r="Y34" s="142">
        <f t="shared" si="37"/>
        <v>535</v>
      </c>
      <c r="Z34" s="142">
        <f t="shared" ref="Z34:AI35" si="38">SUMIF($B$12:$B$29,$C34,Z$12:Z$29)</f>
        <v>280</v>
      </c>
      <c r="AA34" s="142">
        <f t="shared" si="38"/>
        <v>515</v>
      </c>
      <c r="AB34" s="142">
        <f t="shared" si="38"/>
        <v>490</v>
      </c>
      <c r="AC34" s="142">
        <f t="shared" si="38"/>
        <v>646</v>
      </c>
      <c r="AD34" s="142">
        <f t="shared" si="38"/>
        <v>389</v>
      </c>
      <c r="AE34" s="142">
        <f t="shared" si="38"/>
        <v>145</v>
      </c>
      <c r="AF34" s="142">
        <f t="shared" si="38"/>
        <v>465</v>
      </c>
      <c r="AG34" s="142">
        <f t="shared" si="38"/>
        <v>1071</v>
      </c>
      <c r="AH34" s="142">
        <f t="shared" si="38"/>
        <v>878</v>
      </c>
      <c r="AI34" s="142">
        <f t="shared" si="38"/>
        <v>1695</v>
      </c>
      <c r="AJ34" s="142">
        <f t="shared" ref="AJ34:AS35" si="39">SUMIF($B$12:$B$29,$C34,AJ$12:AJ$29)</f>
        <v>495</v>
      </c>
      <c r="AK34" s="142">
        <f t="shared" si="39"/>
        <v>540</v>
      </c>
      <c r="AL34" s="142">
        <f t="shared" si="39"/>
        <v>700</v>
      </c>
      <c r="AM34" s="142">
        <f t="shared" si="39"/>
        <v>330</v>
      </c>
      <c r="AN34" s="142">
        <f t="shared" si="39"/>
        <v>875</v>
      </c>
      <c r="AO34" s="142">
        <f t="shared" si="39"/>
        <v>495</v>
      </c>
      <c r="AP34" s="142">
        <f t="shared" si="39"/>
        <v>463</v>
      </c>
      <c r="AQ34" s="142">
        <f t="shared" si="39"/>
        <v>589</v>
      </c>
      <c r="AR34" s="142">
        <f t="shared" si="39"/>
        <v>290</v>
      </c>
      <c r="AS34" s="142">
        <f t="shared" si="39"/>
        <v>284</v>
      </c>
      <c r="AT34" s="142">
        <f t="shared" ref="AT34:AV39" si="40">SUMIF($B$12:$B$29,$C34,AT$12:AT$29)</f>
        <v>915</v>
      </c>
      <c r="AU34" s="142">
        <f t="shared" si="40"/>
        <v>949</v>
      </c>
      <c r="AV34" s="142">
        <f t="shared" si="40"/>
        <v>495</v>
      </c>
      <c r="AW34" s="142">
        <f t="shared" ref="AW34:BC35" si="41">SUMIF($B$12:$B$29,$C34,AW$12:AW$29)</f>
        <v>612</v>
      </c>
      <c r="AX34" s="142">
        <f t="shared" si="41"/>
        <v>610</v>
      </c>
      <c r="AY34" s="142">
        <f t="shared" si="41"/>
        <v>615</v>
      </c>
      <c r="AZ34" s="142">
        <f t="shared" si="41"/>
        <v>278</v>
      </c>
      <c r="BA34" s="142">
        <f t="shared" si="41"/>
        <v>605</v>
      </c>
      <c r="BB34" s="142">
        <f t="shared" si="41"/>
        <v>900</v>
      </c>
      <c r="BC34" s="142">
        <f t="shared" si="41"/>
        <v>565</v>
      </c>
      <c r="BD34" s="142">
        <f t="shared" ref="BD34:BS35" si="42">SUMIF($B$12:$B$29,$C34,BD$12:BD$29)</f>
        <v>345</v>
      </c>
      <c r="BE34" s="142">
        <f t="shared" si="42"/>
        <v>274</v>
      </c>
      <c r="BF34" s="142">
        <f t="shared" si="42"/>
        <v>655</v>
      </c>
      <c r="BG34" s="142">
        <f t="shared" si="42"/>
        <v>725</v>
      </c>
      <c r="BH34" s="142">
        <f t="shared" si="42"/>
        <v>270</v>
      </c>
      <c r="BI34" s="142">
        <f t="shared" si="42"/>
        <v>561</v>
      </c>
      <c r="BJ34" s="142">
        <f t="shared" si="42"/>
        <v>1515</v>
      </c>
      <c r="BK34" s="142">
        <f t="shared" si="42"/>
        <v>450</v>
      </c>
      <c r="BL34" s="142">
        <f t="shared" si="42"/>
        <v>525</v>
      </c>
      <c r="BM34" s="142">
        <f t="shared" si="42"/>
        <v>535</v>
      </c>
      <c r="BN34" s="142">
        <f t="shared" si="42"/>
        <v>495</v>
      </c>
      <c r="BO34" s="142">
        <f t="shared" si="42"/>
        <v>268</v>
      </c>
      <c r="BP34" s="142">
        <f t="shared" si="42"/>
        <v>760</v>
      </c>
      <c r="BQ34" s="142">
        <f t="shared" si="42"/>
        <v>661</v>
      </c>
      <c r="BR34" s="142">
        <f t="shared" si="42"/>
        <v>550</v>
      </c>
      <c r="BS34" s="142">
        <f t="shared" si="42"/>
        <v>1300</v>
      </c>
      <c r="BT34" s="142">
        <f t="shared" ref="BL34:DU35" si="43">SUMIF($B$12:$B$29,$C34,BT$12:BT$29)</f>
        <v>609</v>
      </c>
      <c r="BU34" s="142">
        <f t="shared" si="43"/>
        <v>1771</v>
      </c>
      <c r="BV34" s="142">
        <f t="shared" si="43"/>
        <v>1350</v>
      </c>
      <c r="BW34" s="142">
        <f t="shared" si="43"/>
        <v>505</v>
      </c>
      <c r="BX34" s="142">
        <f t="shared" si="43"/>
        <v>110</v>
      </c>
      <c r="BY34" s="142">
        <f t="shared" si="43"/>
        <v>337</v>
      </c>
      <c r="BZ34" s="142">
        <f t="shared" si="43"/>
        <v>195</v>
      </c>
      <c r="CA34" s="142">
        <f t="shared" si="43"/>
        <v>680</v>
      </c>
      <c r="CB34" s="142">
        <f t="shared" si="43"/>
        <v>240</v>
      </c>
      <c r="CC34" s="142">
        <f t="shared" si="43"/>
        <v>542</v>
      </c>
      <c r="CD34" s="142">
        <f t="shared" si="43"/>
        <v>390</v>
      </c>
      <c r="CE34" s="142">
        <f t="shared" si="43"/>
        <v>544</v>
      </c>
      <c r="CF34" s="142">
        <f t="shared" si="43"/>
        <v>295</v>
      </c>
      <c r="CG34" s="142">
        <f t="shared" si="43"/>
        <v>991</v>
      </c>
      <c r="CH34" s="142">
        <f t="shared" si="43"/>
        <v>338</v>
      </c>
      <c r="CI34" s="142">
        <f t="shared" si="43"/>
        <v>306</v>
      </c>
      <c r="CJ34" s="142">
        <f t="shared" si="43"/>
        <v>206</v>
      </c>
      <c r="CK34" s="142">
        <f t="shared" si="43"/>
        <v>1123</v>
      </c>
      <c r="CL34" s="142">
        <f t="shared" si="43"/>
        <v>645</v>
      </c>
      <c r="CM34" s="142">
        <f t="shared" si="43"/>
        <v>996.54545454545473</v>
      </c>
      <c r="CN34" s="142">
        <f t="shared" si="43"/>
        <v>888.10909090909104</v>
      </c>
      <c r="CO34" s="142">
        <f t="shared" si="43"/>
        <v>1402.8000000000002</v>
      </c>
      <c r="CP34" s="142">
        <f t="shared" si="43"/>
        <v>646.03636363636372</v>
      </c>
      <c r="CQ34" s="142">
        <f t="shared" si="43"/>
        <v>678.87272727272739</v>
      </c>
      <c r="CR34" s="142">
        <f t="shared" si="43"/>
        <v>535.3636363636366</v>
      </c>
      <c r="CS34" s="142">
        <f t="shared" si="43"/>
        <v>535</v>
      </c>
      <c r="CT34" s="142">
        <f t="shared" si="43"/>
        <v>705</v>
      </c>
      <c r="CU34" s="142">
        <f t="shared" si="43"/>
        <v>855</v>
      </c>
      <c r="CV34" s="142">
        <f t="shared" si="43"/>
        <v>370</v>
      </c>
      <c r="CW34" s="142">
        <f t="shared" si="43"/>
        <v>350</v>
      </c>
      <c r="CX34" s="142">
        <f ca="1">SUMIF($B$12:$B$29,$C34,CX$13:CX$29)</f>
        <v>1690</v>
      </c>
      <c r="CY34" s="142">
        <f t="shared" si="43"/>
        <v>535</v>
      </c>
      <c r="CZ34" s="142">
        <f t="shared" si="43"/>
        <v>390</v>
      </c>
      <c r="DA34" s="142">
        <f t="shared" si="43"/>
        <v>907</v>
      </c>
      <c r="DB34" s="142">
        <f t="shared" si="43"/>
        <v>259</v>
      </c>
      <c r="DC34" s="142">
        <f t="shared" si="43"/>
        <v>595</v>
      </c>
      <c r="DD34" s="142">
        <f t="shared" si="43"/>
        <v>337</v>
      </c>
      <c r="DE34" s="142">
        <f t="shared" si="43"/>
        <v>410</v>
      </c>
      <c r="DF34" s="142">
        <f t="shared" si="43"/>
        <v>575</v>
      </c>
      <c r="DG34" s="142">
        <f t="shared" si="43"/>
        <v>605</v>
      </c>
      <c r="DH34" s="142">
        <f t="shared" si="43"/>
        <v>811</v>
      </c>
      <c r="DI34" s="142">
        <f t="shared" si="43"/>
        <v>310</v>
      </c>
      <c r="DJ34" s="142">
        <f t="shared" si="43"/>
        <v>1425</v>
      </c>
      <c r="DK34" s="142">
        <f t="shared" si="43"/>
        <v>499</v>
      </c>
      <c r="DL34" s="142">
        <f t="shared" si="43"/>
        <v>110</v>
      </c>
      <c r="DM34" s="142">
        <f t="shared" si="43"/>
        <v>290</v>
      </c>
      <c r="DN34" s="142">
        <f t="shared" si="43"/>
        <v>1085</v>
      </c>
      <c r="DO34" s="142">
        <f t="shared" si="43"/>
        <v>750</v>
      </c>
      <c r="DP34" s="142">
        <f t="shared" si="43"/>
        <v>1060</v>
      </c>
      <c r="DQ34" s="142">
        <f t="shared" si="43"/>
        <v>960</v>
      </c>
      <c r="DR34" s="142">
        <f t="shared" si="43"/>
        <v>730</v>
      </c>
      <c r="DS34" s="142">
        <f t="shared" si="43"/>
        <v>585</v>
      </c>
      <c r="DT34" s="142">
        <f t="shared" si="43"/>
        <v>833</v>
      </c>
      <c r="DU34" s="142">
        <f t="shared" si="43"/>
        <v>0</v>
      </c>
      <c r="DV34" s="282"/>
      <c r="DW34" s="283"/>
      <c r="DX34" s="29">
        <f t="shared" ref="DX34:DX40" ca="1" si="44">SUM(E34:DW34)</f>
        <v>73487.727272727279</v>
      </c>
      <c r="DY34" s="6">
        <f t="shared" ref="DY34:DY39" ca="1" si="45">DX34/TAUXmoyen</f>
        <v>2897.868943323489</v>
      </c>
      <c r="FD34" t="s">
        <v>328</v>
      </c>
      <c r="FE34" s="142">
        <f ca="1">SUM((INDIRECT(FE$9&amp;ROW()):(INDIRECT(FE$10&amp;ROW()))))</f>
        <v>0</v>
      </c>
      <c r="FF34" s="142">
        <f ca="1">SUM((INDIRECT(FF$9&amp;ROW()):(INDIRECT(FF$10&amp;ROW()))))</f>
        <v>9476</v>
      </c>
      <c r="FG34" s="142">
        <f ca="1">SUM((INDIRECT(FG$9&amp;ROW()):(INDIRECT(FG$10&amp;ROW()))))</f>
        <v>18667</v>
      </c>
      <c r="FH34" s="142">
        <f ca="1">SUM((INDIRECT(FH$9&amp;ROW()):(INDIRECT(FH$10&amp;ROW()))))</f>
        <v>19013</v>
      </c>
      <c r="FI34" s="142">
        <f ca="1">SUM((INDIRECT(FI$9&amp;ROW()):(INDIRECT(FI$10&amp;ROW()))))</f>
        <v>18004.727272727272</v>
      </c>
      <c r="FJ34" s="142">
        <f ca="1">SUM((INDIRECT(FJ$9&amp;ROW()):(INDIRECT(FJ$10&amp;ROW()))))</f>
        <v>8327</v>
      </c>
      <c r="FN34" s="419">
        <f t="shared" ref="FN34:FN40" ca="1" si="46">SUM(FF34:FJ34)</f>
        <v>73487.727272727265</v>
      </c>
    </row>
    <row r="35" spans="1:170" outlineLevel="1">
      <c r="A35" t="s">
        <v>70</v>
      </c>
      <c r="C35" s="2" t="s">
        <v>559</v>
      </c>
      <c r="E35" s="142">
        <f>SUMIF($B$12:$B$27,$C35,E$12:E$27)</f>
        <v>0</v>
      </c>
      <c r="F35" s="142">
        <f t="shared" si="35"/>
        <v>1430</v>
      </c>
      <c r="G35" s="142">
        <f t="shared" si="36"/>
        <v>1090</v>
      </c>
      <c r="H35" s="142">
        <f t="shared" si="36"/>
        <v>1092</v>
      </c>
      <c r="I35" s="142">
        <f t="shared" si="36"/>
        <v>1092</v>
      </c>
      <c r="J35" s="142">
        <f t="shared" si="36"/>
        <v>1092</v>
      </c>
      <c r="K35" s="142">
        <f t="shared" si="36"/>
        <v>1092</v>
      </c>
      <c r="L35" s="142">
        <f t="shared" si="36"/>
        <v>1092</v>
      </c>
      <c r="M35" s="142">
        <f t="shared" si="36"/>
        <v>40</v>
      </c>
      <c r="N35" s="142">
        <f t="shared" si="36"/>
        <v>874</v>
      </c>
      <c r="O35" s="142">
        <f t="shared" si="36"/>
        <v>460</v>
      </c>
      <c r="P35" s="142">
        <f t="shared" si="36"/>
        <v>430</v>
      </c>
      <c r="Q35" s="142">
        <f t="shared" si="36"/>
        <v>400</v>
      </c>
      <c r="R35" s="142">
        <f t="shared" si="36"/>
        <v>400</v>
      </c>
      <c r="S35" s="142">
        <f t="shared" si="36"/>
        <v>496</v>
      </c>
      <c r="T35" s="142">
        <f t="shared" si="36"/>
        <v>400</v>
      </c>
      <c r="U35" s="142">
        <f t="shared" si="36"/>
        <v>615</v>
      </c>
      <c r="V35" s="142">
        <f t="shared" si="36"/>
        <v>485</v>
      </c>
      <c r="W35" s="142">
        <f t="shared" si="36"/>
        <v>425</v>
      </c>
      <c r="X35" s="142">
        <f t="shared" si="37"/>
        <v>472.1</v>
      </c>
      <c r="Y35" s="142">
        <f t="shared" si="37"/>
        <v>487.1</v>
      </c>
      <c r="Z35" s="142">
        <f t="shared" si="38"/>
        <v>482.1</v>
      </c>
      <c r="AA35" s="142">
        <f t="shared" si="38"/>
        <v>387.1</v>
      </c>
      <c r="AB35" s="142">
        <f t="shared" si="38"/>
        <v>502.1</v>
      </c>
      <c r="AC35" s="142">
        <f t="shared" si="38"/>
        <v>417.1</v>
      </c>
      <c r="AD35" s="142">
        <f t="shared" si="38"/>
        <v>417.1</v>
      </c>
      <c r="AE35" s="142">
        <f t="shared" si="38"/>
        <v>412.1</v>
      </c>
      <c r="AF35" s="142">
        <f t="shared" si="38"/>
        <v>552.1</v>
      </c>
      <c r="AG35" s="142">
        <f t="shared" si="38"/>
        <v>417.1</v>
      </c>
      <c r="AH35" s="142">
        <f t="shared" si="38"/>
        <v>387.1</v>
      </c>
      <c r="AI35" s="142">
        <f t="shared" si="38"/>
        <v>427.1</v>
      </c>
      <c r="AJ35" s="142">
        <f t="shared" si="39"/>
        <v>487.1</v>
      </c>
      <c r="AK35" s="142">
        <f t="shared" si="39"/>
        <v>737.1</v>
      </c>
      <c r="AL35" s="142">
        <f t="shared" si="39"/>
        <v>2158.1</v>
      </c>
      <c r="AM35" s="142">
        <f t="shared" si="39"/>
        <v>537.1</v>
      </c>
      <c r="AN35" s="142">
        <f t="shared" si="39"/>
        <v>427.1</v>
      </c>
      <c r="AO35" s="142">
        <f t="shared" si="39"/>
        <v>437.1</v>
      </c>
      <c r="AP35" s="142">
        <f t="shared" si="39"/>
        <v>442.1</v>
      </c>
      <c r="AQ35" s="142">
        <f t="shared" si="39"/>
        <v>442.1</v>
      </c>
      <c r="AR35" s="142">
        <f t="shared" si="39"/>
        <v>411.1</v>
      </c>
      <c r="AS35" s="142">
        <f t="shared" si="39"/>
        <v>446.1</v>
      </c>
      <c r="AT35" s="142">
        <f t="shared" si="40"/>
        <v>487.1</v>
      </c>
      <c r="AU35" s="142">
        <f t="shared" si="40"/>
        <v>387.1</v>
      </c>
      <c r="AV35" s="142">
        <f t="shared" si="40"/>
        <v>552.1</v>
      </c>
      <c r="AW35" s="142">
        <f t="shared" si="41"/>
        <v>477.1</v>
      </c>
      <c r="AX35" s="142">
        <f t="shared" si="41"/>
        <v>527.1</v>
      </c>
      <c r="AY35" s="142">
        <f t="shared" si="41"/>
        <v>427.1</v>
      </c>
      <c r="AZ35" s="142">
        <f t="shared" si="41"/>
        <v>577.1</v>
      </c>
      <c r="BA35" s="142">
        <f t="shared" si="41"/>
        <v>427.1</v>
      </c>
      <c r="BB35" s="142">
        <f t="shared" si="41"/>
        <v>1346.9999999999945</v>
      </c>
      <c r="BC35" s="142">
        <f t="shared" si="41"/>
        <v>517.1</v>
      </c>
      <c r="BD35" s="142">
        <f t="shared" si="42"/>
        <v>427.1</v>
      </c>
      <c r="BE35" s="142">
        <f t="shared" si="42"/>
        <v>507.1</v>
      </c>
      <c r="BF35" s="142">
        <f t="shared" si="42"/>
        <v>427.1</v>
      </c>
      <c r="BG35" s="142">
        <f t="shared" si="42"/>
        <v>487.1</v>
      </c>
      <c r="BH35" s="142">
        <f t="shared" si="42"/>
        <v>387.1</v>
      </c>
      <c r="BI35" s="142">
        <f t="shared" si="42"/>
        <v>437.1</v>
      </c>
      <c r="BJ35" s="142">
        <f t="shared" si="42"/>
        <v>427.1</v>
      </c>
      <c r="BK35" s="142">
        <f t="shared" si="42"/>
        <v>412.1</v>
      </c>
      <c r="BL35" s="142">
        <f t="shared" si="43"/>
        <v>462.1</v>
      </c>
      <c r="BM35" s="142">
        <f t="shared" si="43"/>
        <v>467.1</v>
      </c>
      <c r="BN35" s="142">
        <f t="shared" si="43"/>
        <v>387.1</v>
      </c>
      <c r="BO35" s="142">
        <f t="shared" si="43"/>
        <v>1731.1</v>
      </c>
      <c r="BP35" s="142">
        <f t="shared" si="43"/>
        <v>427.1</v>
      </c>
      <c r="BQ35" s="142">
        <f t="shared" si="43"/>
        <v>437.1</v>
      </c>
      <c r="BR35" s="142">
        <f t="shared" si="43"/>
        <v>442.1</v>
      </c>
      <c r="BS35" s="142">
        <f t="shared" si="43"/>
        <v>477.1</v>
      </c>
      <c r="BT35" s="142">
        <f t="shared" si="43"/>
        <v>387.1</v>
      </c>
      <c r="BU35" s="142">
        <f t="shared" si="43"/>
        <v>387.1</v>
      </c>
      <c r="BV35" s="142">
        <f t="shared" si="43"/>
        <v>387.1</v>
      </c>
      <c r="BW35" s="142">
        <f t="shared" si="43"/>
        <v>396.1</v>
      </c>
      <c r="BX35" s="142">
        <f t="shared" si="43"/>
        <v>396.1</v>
      </c>
      <c r="BY35" s="142">
        <f t="shared" si="43"/>
        <v>387.1</v>
      </c>
      <c r="BZ35" s="142">
        <f t="shared" si="43"/>
        <v>1187.0999999999999</v>
      </c>
      <c r="CA35" s="142">
        <f t="shared" si="43"/>
        <v>582.1</v>
      </c>
      <c r="CB35" s="142">
        <f t="shared" si="43"/>
        <v>387.1</v>
      </c>
      <c r="CC35" s="142">
        <f t="shared" si="43"/>
        <v>487.1</v>
      </c>
      <c r="CD35" s="142">
        <f t="shared" si="43"/>
        <v>387.1</v>
      </c>
      <c r="CE35" s="142">
        <f t="shared" si="43"/>
        <v>387.1</v>
      </c>
      <c r="CF35" s="142">
        <f t="shared" si="43"/>
        <v>387.1</v>
      </c>
      <c r="CG35" s="142">
        <f t="shared" si="43"/>
        <v>1693</v>
      </c>
      <c r="CH35" s="142">
        <f t="shared" si="43"/>
        <v>1028.57</v>
      </c>
      <c r="CI35" s="142">
        <f t="shared" si="43"/>
        <v>458.57</v>
      </c>
      <c r="CJ35" s="142">
        <f t="shared" si="43"/>
        <v>428.57</v>
      </c>
      <c r="CK35" s="142">
        <f t="shared" si="43"/>
        <v>428.57</v>
      </c>
      <c r="CL35" s="142">
        <f t="shared" si="43"/>
        <v>428.57</v>
      </c>
      <c r="CM35" s="142">
        <f t="shared" si="43"/>
        <v>695.8427272727273</v>
      </c>
      <c r="CN35" s="142">
        <f t="shared" si="43"/>
        <v>470.57</v>
      </c>
      <c r="CO35" s="142">
        <f t="shared" si="43"/>
        <v>428.57</v>
      </c>
      <c r="CP35" s="142">
        <f t="shared" si="43"/>
        <v>558.38818181818181</v>
      </c>
      <c r="CQ35" s="142">
        <f t="shared" si="43"/>
        <v>497.29727272727274</v>
      </c>
      <c r="CR35" s="142">
        <f t="shared" si="43"/>
        <v>515.62454545454545</v>
      </c>
      <c r="CS35" s="142">
        <f t="shared" si="43"/>
        <v>428.57</v>
      </c>
      <c r="CT35" s="142">
        <f t="shared" si="43"/>
        <v>428.57</v>
      </c>
      <c r="CU35" s="142">
        <f t="shared" si="43"/>
        <v>428.57</v>
      </c>
      <c r="CV35" s="142">
        <f t="shared" si="43"/>
        <v>428.57</v>
      </c>
      <c r="CW35" s="142">
        <f t="shared" si="43"/>
        <v>428.57</v>
      </c>
      <c r="CX35" s="142">
        <f ca="1">SUMIF($B$12:$B$29,$C35,CX$13:CX$29)</f>
        <v>428.57</v>
      </c>
      <c r="CY35" s="142">
        <f t="shared" si="43"/>
        <v>468.57</v>
      </c>
      <c r="CZ35" s="142">
        <f t="shared" si="43"/>
        <v>658.56999999999994</v>
      </c>
      <c r="DA35" s="142">
        <f t="shared" si="43"/>
        <v>428.57</v>
      </c>
      <c r="DB35" s="142">
        <f t="shared" si="43"/>
        <v>478.57</v>
      </c>
      <c r="DC35" s="142">
        <f t="shared" si="43"/>
        <v>428.57</v>
      </c>
      <c r="DD35" s="142">
        <f t="shared" si="43"/>
        <v>438.57</v>
      </c>
      <c r="DE35" s="142">
        <f t="shared" si="43"/>
        <v>538.56999999999994</v>
      </c>
      <c r="DF35" s="142">
        <f t="shared" si="43"/>
        <v>508.57</v>
      </c>
      <c r="DG35" s="142">
        <f t="shared" si="43"/>
        <v>428.57</v>
      </c>
      <c r="DH35" s="142">
        <f t="shared" si="43"/>
        <v>428.57</v>
      </c>
      <c r="DI35" s="142">
        <f t="shared" si="43"/>
        <v>458.61000000000422</v>
      </c>
      <c r="DJ35" s="142">
        <f t="shared" si="43"/>
        <v>400</v>
      </c>
      <c r="DK35" s="142">
        <f t="shared" si="43"/>
        <v>460</v>
      </c>
      <c r="DL35" s="142">
        <f t="shared" si="43"/>
        <v>400</v>
      </c>
      <c r="DM35" s="142">
        <f t="shared" si="43"/>
        <v>430</v>
      </c>
      <c r="DN35" s="142">
        <f t="shared" si="43"/>
        <v>430</v>
      </c>
      <c r="DO35" s="142">
        <f t="shared" si="43"/>
        <v>400</v>
      </c>
      <c r="DP35" s="142">
        <f t="shared" si="43"/>
        <v>455</v>
      </c>
      <c r="DQ35" s="142">
        <f t="shared" si="43"/>
        <v>400</v>
      </c>
      <c r="DR35" s="142">
        <f t="shared" si="43"/>
        <v>2400</v>
      </c>
      <c r="DS35" s="142">
        <f t="shared" si="43"/>
        <v>1208</v>
      </c>
      <c r="DT35" s="142">
        <f t="shared" si="43"/>
        <v>0</v>
      </c>
      <c r="DU35" s="142">
        <f t="shared" si="43"/>
        <v>0</v>
      </c>
      <c r="DV35" s="282">
        <f t="shared" ref="DV35:DW39" si="47">SUMIF($B$12:$B$27,$C35,DV$12:DV$27)</f>
        <v>0</v>
      </c>
      <c r="DW35" s="283">
        <f t="shared" si="47"/>
        <v>0</v>
      </c>
      <c r="DX35" s="29">
        <f t="shared" ca="1" si="44"/>
        <v>67554.872727272639</v>
      </c>
      <c r="DY35" s="6">
        <f t="shared" ca="1" si="45"/>
        <v>2663.9164784619293</v>
      </c>
      <c r="FD35" t="s">
        <v>559</v>
      </c>
      <c r="FE35" s="142">
        <f ca="1">SUM((INDIRECT(FE$9&amp;ROW()):(INDIRECT(FE$10&amp;ROW()))))</f>
        <v>0</v>
      </c>
      <c r="FF35" s="142">
        <f ca="1">SUM((INDIRECT(FF$9&amp;ROW()):(INDIRECT(FF$10&amp;ROW()))))</f>
        <v>13005</v>
      </c>
      <c r="FG35" s="142">
        <f ca="1">SUM((INDIRECT(FG$9&amp;ROW()):(INDIRECT(FG$10&amp;ROW()))))</f>
        <v>17094</v>
      </c>
      <c r="FH35" s="142">
        <f ca="1">SUM((INDIRECT(FH$9&amp;ROW()):(INDIRECT(FH$10&amp;ROW()))))</f>
        <v>16698.000000000007</v>
      </c>
      <c r="FI35" s="142">
        <f ca="1">SUM((INDIRECT(FI$9&amp;ROW()):(INDIRECT(FI$10&amp;ROW()))))</f>
        <v>13774.872727272726</v>
      </c>
      <c r="FJ35" s="142">
        <f ca="1">SUM((INDIRECT(FJ$9&amp;ROW()):(INDIRECT(FJ$10&amp;ROW()))))</f>
        <v>6983</v>
      </c>
      <c r="FK35" s="142" t="e">
        <f ca="1">SUM((INDIRECT(FK$9&amp;ROW()):(INDIRECT(FK$10&amp;ROW()))))</f>
        <v>#REF!</v>
      </c>
      <c r="FL35" s="142" t="e">
        <f ca="1">SUM((INDIRECT(FL$9&amp;ROW()):(INDIRECT(FL$10&amp;ROW()))))</f>
        <v>#REF!</v>
      </c>
      <c r="FN35" s="419">
        <f t="shared" ca="1" si="46"/>
        <v>67554.872727272741</v>
      </c>
    </row>
    <row r="36" spans="1:170" outlineLevel="1">
      <c r="A36" t="s">
        <v>70</v>
      </c>
      <c r="C36" s="2" t="s">
        <v>23</v>
      </c>
      <c r="E36" s="142">
        <f>SUMIF($B$12:$B$27,$C36,E$12:E$27)</f>
        <v>0</v>
      </c>
      <c r="F36" s="333">
        <f t="shared" ref="F36:U36" si="48">SUMIF($B$12:$B$29,$C36,F$12:F$29)</f>
        <v>300</v>
      </c>
      <c r="G36" s="334">
        <f t="shared" si="48"/>
        <v>0</v>
      </c>
      <c r="H36" s="334">
        <f t="shared" si="48"/>
        <v>0</v>
      </c>
      <c r="I36" s="334">
        <f t="shared" si="48"/>
        <v>0</v>
      </c>
      <c r="J36" s="334">
        <f t="shared" si="48"/>
        <v>600</v>
      </c>
      <c r="K36" s="334">
        <f t="shared" si="48"/>
        <v>0</v>
      </c>
      <c r="L36" s="335">
        <f t="shared" si="48"/>
        <v>0</v>
      </c>
      <c r="M36" s="142">
        <f t="shared" si="48"/>
        <v>0</v>
      </c>
      <c r="N36" s="142">
        <f t="shared" si="48"/>
        <v>0</v>
      </c>
      <c r="O36" s="142">
        <f t="shared" si="48"/>
        <v>0</v>
      </c>
      <c r="P36" s="142">
        <f t="shared" si="48"/>
        <v>0</v>
      </c>
      <c r="Q36" s="142">
        <f t="shared" si="48"/>
        <v>0</v>
      </c>
      <c r="R36" s="142">
        <f t="shared" si="48"/>
        <v>1280</v>
      </c>
      <c r="S36" s="142">
        <f t="shared" si="48"/>
        <v>766</v>
      </c>
      <c r="T36" s="142">
        <f t="shared" si="48"/>
        <v>370</v>
      </c>
      <c r="U36" s="142">
        <f t="shared" si="48"/>
        <v>0</v>
      </c>
      <c r="V36" s="142">
        <f t="shared" si="36"/>
        <v>0</v>
      </c>
      <c r="W36" s="142">
        <f t="shared" si="36"/>
        <v>0</v>
      </c>
      <c r="X36" s="142">
        <f t="shared" si="37"/>
        <v>0</v>
      </c>
      <c r="Y36" s="142">
        <f t="shared" si="37"/>
        <v>0</v>
      </c>
      <c r="Z36" s="142">
        <f t="shared" ref="Z36:AI39" si="49">SUMIF($B$12:$B$29,$C36,Z$12:Z$29)</f>
        <v>500</v>
      </c>
      <c r="AA36" s="142">
        <f t="shared" si="49"/>
        <v>0</v>
      </c>
      <c r="AB36" s="142">
        <f t="shared" si="49"/>
        <v>0</v>
      </c>
      <c r="AC36" s="142">
        <f t="shared" si="49"/>
        <v>0</v>
      </c>
      <c r="AD36" s="142">
        <f t="shared" si="49"/>
        <v>740</v>
      </c>
      <c r="AE36" s="142">
        <f t="shared" si="49"/>
        <v>0</v>
      </c>
      <c r="AF36" s="142">
        <f t="shared" si="49"/>
        <v>0</v>
      </c>
      <c r="AG36" s="142">
        <f t="shared" si="49"/>
        <v>0</v>
      </c>
      <c r="AH36" s="142">
        <f t="shared" si="49"/>
        <v>0</v>
      </c>
      <c r="AI36" s="142">
        <f t="shared" si="49"/>
        <v>0</v>
      </c>
      <c r="AJ36" s="142">
        <f t="shared" ref="AJ36:AS39" si="50">SUMIF($B$12:$B$29,$C36,AJ$12:AJ$29)</f>
        <v>0</v>
      </c>
      <c r="AK36" s="142">
        <f t="shared" si="50"/>
        <v>0</v>
      </c>
      <c r="AL36" s="142">
        <f t="shared" si="50"/>
        <v>0</v>
      </c>
      <c r="AM36" s="142">
        <f t="shared" si="50"/>
        <v>0</v>
      </c>
      <c r="AN36" s="142">
        <f t="shared" si="50"/>
        <v>0</v>
      </c>
      <c r="AO36" s="142">
        <f t="shared" si="50"/>
        <v>0</v>
      </c>
      <c r="AP36" s="142">
        <f t="shared" si="50"/>
        <v>0</v>
      </c>
      <c r="AQ36" s="142">
        <f t="shared" si="50"/>
        <v>0</v>
      </c>
      <c r="AR36" s="142">
        <f t="shared" si="50"/>
        <v>0</v>
      </c>
      <c r="AS36" s="142">
        <f t="shared" si="50"/>
        <v>550</v>
      </c>
      <c r="AT36" s="142">
        <f t="shared" si="40"/>
        <v>0</v>
      </c>
      <c r="AU36" s="142">
        <f t="shared" si="40"/>
        <v>0</v>
      </c>
      <c r="AV36" s="142">
        <f t="shared" si="40"/>
        <v>0</v>
      </c>
      <c r="AW36" s="142">
        <f t="shared" ref="AW36:BH39" si="51">SUMIF($B$12:$B$29,$C36,AW$12:AW$29)</f>
        <v>0</v>
      </c>
      <c r="AX36" s="142">
        <f t="shared" si="51"/>
        <v>0</v>
      </c>
      <c r="AY36" s="142">
        <f t="shared" si="51"/>
        <v>0</v>
      </c>
      <c r="AZ36" s="142">
        <f t="shared" si="51"/>
        <v>0</v>
      </c>
      <c r="BA36" s="142">
        <f t="shared" si="51"/>
        <v>0</v>
      </c>
      <c r="BB36" s="142">
        <f t="shared" si="51"/>
        <v>0</v>
      </c>
      <c r="BC36" s="142">
        <f t="shared" si="51"/>
        <v>0</v>
      </c>
      <c r="BD36" s="142">
        <f t="shared" si="51"/>
        <v>0</v>
      </c>
      <c r="BE36" s="142">
        <f t="shared" si="51"/>
        <v>0</v>
      </c>
      <c r="BF36" s="142">
        <f t="shared" si="51"/>
        <v>0</v>
      </c>
      <c r="BG36" s="142">
        <f t="shared" si="51"/>
        <v>0</v>
      </c>
      <c r="BH36" s="142">
        <f t="shared" si="51"/>
        <v>0</v>
      </c>
      <c r="BI36" s="142">
        <f t="shared" ref="BI36:BX36" si="52">SUMIF($B$12:$B$27,$C36,BI$12:BI$27)</f>
        <v>0</v>
      </c>
      <c r="BJ36" s="142">
        <f t="shared" si="52"/>
        <v>0</v>
      </c>
      <c r="BK36" s="142">
        <f t="shared" si="52"/>
        <v>0</v>
      </c>
      <c r="BL36" s="142">
        <f t="shared" si="52"/>
        <v>0</v>
      </c>
      <c r="BM36" s="142">
        <f t="shared" si="52"/>
        <v>0</v>
      </c>
      <c r="BN36" s="142">
        <f t="shared" si="52"/>
        <v>0</v>
      </c>
      <c r="BO36" s="142">
        <f t="shared" si="52"/>
        <v>0</v>
      </c>
      <c r="BP36" s="142">
        <f t="shared" si="52"/>
        <v>0</v>
      </c>
      <c r="BQ36" s="142">
        <f t="shared" si="52"/>
        <v>0</v>
      </c>
      <c r="BR36" s="142">
        <f t="shared" si="52"/>
        <v>0</v>
      </c>
      <c r="BS36" s="142">
        <f t="shared" si="52"/>
        <v>0</v>
      </c>
      <c r="BT36" s="142">
        <f t="shared" si="52"/>
        <v>0</v>
      </c>
      <c r="BU36" s="142">
        <f t="shared" si="52"/>
        <v>0</v>
      </c>
      <c r="BV36" s="142">
        <f t="shared" si="52"/>
        <v>200</v>
      </c>
      <c r="BW36" s="142">
        <f t="shared" si="52"/>
        <v>560</v>
      </c>
      <c r="BX36" s="142">
        <f t="shared" si="52"/>
        <v>0</v>
      </c>
      <c r="BY36" s="142">
        <f t="shared" ref="BL36:DU38" si="53">SUMIF($B$12:$B$27,$C36,BY$12:BY$27)</f>
        <v>0</v>
      </c>
      <c r="BZ36" s="142">
        <f t="shared" si="53"/>
        <v>0</v>
      </c>
      <c r="CA36" s="142">
        <f t="shared" si="53"/>
        <v>0</v>
      </c>
      <c r="CB36" s="142">
        <f t="shared" si="53"/>
        <v>0</v>
      </c>
      <c r="CC36" s="142">
        <f t="shared" si="53"/>
        <v>400</v>
      </c>
      <c r="CD36" s="142">
        <f t="shared" si="53"/>
        <v>0</v>
      </c>
      <c r="CE36" s="142">
        <f t="shared" si="53"/>
        <v>0</v>
      </c>
      <c r="CF36" s="142">
        <f t="shared" si="53"/>
        <v>0</v>
      </c>
      <c r="CG36" s="142">
        <f t="shared" si="53"/>
        <v>0</v>
      </c>
      <c r="CH36" s="142">
        <f t="shared" si="53"/>
        <v>0</v>
      </c>
      <c r="CI36" s="142">
        <f t="shared" si="53"/>
        <v>500</v>
      </c>
      <c r="CJ36" s="142">
        <f t="shared" si="53"/>
        <v>0</v>
      </c>
      <c r="CK36" s="142">
        <f t="shared" si="53"/>
        <v>0</v>
      </c>
      <c r="CL36" s="142">
        <f t="shared" si="53"/>
        <v>0</v>
      </c>
      <c r="CM36" s="142">
        <f t="shared" si="53"/>
        <v>458.18181818181819</v>
      </c>
      <c r="CN36" s="142">
        <f t="shared" si="53"/>
        <v>1527.2727272727273</v>
      </c>
      <c r="CO36" s="142">
        <f t="shared" si="53"/>
        <v>2290.909090909091</v>
      </c>
      <c r="CP36" s="142">
        <f t="shared" si="53"/>
        <v>1832.7272727272727</v>
      </c>
      <c r="CQ36" s="142">
        <f t="shared" si="53"/>
        <v>2535.2727272727275</v>
      </c>
      <c r="CR36" s="142">
        <f t="shared" si="53"/>
        <v>0</v>
      </c>
      <c r="CS36" s="142">
        <f t="shared" si="53"/>
        <v>0</v>
      </c>
      <c r="CT36" s="142">
        <f t="shared" si="53"/>
        <v>0</v>
      </c>
      <c r="CU36" s="142">
        <f t="shared" si="53"/>
        <v>150</v>
      </c>
      <c r="CV36" s="142">
        <f t="shared" si="53"/>
        <v>0</v>
      </c>
      <c r="CW36" s="142">
        <f t="shared" si="53"/>
        <v>0</v>
      </c>
      <c r="CX36" s="142">
        <f ca="1">SUMIF($B$12:$B$27,$C36,CX$13:CX$27)</f>
        <v>1000</v>
      </c>
      <c r="CY36" s="142">
        <f t="shared" si="53"/>
        <v>0</v>
      </c>
      <c r="CZ36" s="142">
        <f>SUMIF($B$12:$B$27,$C36,CZ$12:CZ$27)</f>
        <v>0</v>
      </c>
      <c r="DA36" s="142">
        <f t="shared" si="53"/>
        <v>0</v>
      </c>
      <c r="DB36" s="142">
        <f t="shared" si="53"/>
        <v>0</v>
      </c>
      <c r="DC36" s="142">
        <f t="shared" si="53"/>
        <v>0</v>
      </c>
      <c r="DD36" s="142">
        <f t="shared" si="53"/>
        <v>0</v>
      </c>
      <c r="DE36" s="142">
        <f t="shared" si="53"/>
        <v>0</v>
      </c>
      <c r="DF36" s="142">
        <f t="shared" si="53"/>
        <v>0</v>
      </c>
      <c r="DG36" s="142">
        <f t="shared" si="53"/>
        <v>750</v>
      </c>
      <c r="DH36" s="142">
        <f t="shared" si="53"/>
        <v>772</v>
      </c>
      <c r="DI36" s="142">
        <f t="shared" si="53"/>
        <v>150</v>
      </c>
      <c r="DJ36" s="142">
        <f t="shared" si="53"/>
        <v>0</v>
      </c>
      <c r="DK36" s="142">
        <f t="shared" si="53"/>
        <v>0</v>
      </c>
      <c r="DL36" s="142">
        <f t="shared" si="53"/>
        <v>0</v>
      </c>
      <c r="DM36" s="142">
        <f t="shared" si="53"/>
        <v>0</v>
      </c>
      <c r="DN36" s="142">
        <f t="shared" si="53"/>
        <v>0</v>
      </c>
      <c r="DO36" s="142">
        <f t="shared" si="53"/>
        <v>0</v>
      </c>
      <c r="DP36" s="142">
        <f t="shared" si="53"/>
        <v>0</v>
      </c>
      <c r="DQ36" s="142">
        <f t="shared" si="53"/>
        <v>0</v>
      </c>
      <c r="DR36" s="142">
        <f t="shared" si="53"/>
        <v>0</v>
      </c>
      <c r="DS36" s="142">
        <f t="shared" si="53"/>
        <v>0</v>
      </c>
      <c r="DT36" s="142">
        <f t="shared" si="53"/>
        <v>0</v>
      </c>
      <c r="DU36" s="142">
        <f t="shared" si="53"/>
        <v>0</v>
      </c>
      <c r="DV36" s="282">
        <f t="shared" si="47"/>
        <v>0</v>
      </c>
      <c r="DW36" s="283">
        <f t="shared" si="47"/>
        <v>0</v>
      </c>
      <c r="DX36" s="29">
        <f t="shared" ca="1" si="44"/>
        <v>18232.363636363636</v>
      </c>
      <c r="DY36" s="6">
        <f t="shared" ca="1" si="45"/>
        <v>718.9635916908644</v>
      </c>
      <c r="FD36" t="s">
        <v>23</v>
      </c>
      <c r="FE36" s="142">
        <f ca="1">SUM((INDIRECT(FE$9&amp;ROW()):(INDIRECT(FE$10&amp;ROW()))))</f>
        <v>0</v>
      </c>
      <c r="FF36" s="142">
        <f ca="1">SUM((INDIRECT(FF$9&amp;ROW()):(INDIRECT(FF$10&amp;ROW()))))</f>
        <v>3316</v>
      </c>
      <c r="FG36" s="142">
        <f ca="1">SUM((INDIRECT(FG$9&amp;ROW()):(INDIRECT(FG$10&amp;ROW()))))</f>
        <v>1790</v>
      </c>
      <c r="FH36" s="142">
        <f ca="1">SUM((INDIRECT(FH$9&amp;ROW()):(INDIRECT(FH$10&amp;ROW()))))</f>
        <v>1160</v>
      </c>
      <c r="FI36" s="142">
        <f ca="1">SUM((INDIRECT(FI$9&amp;ROW()):(INDIRECT(FI$10&amp;ROW()))))</f>
        <v>11966.363636363636</v>
      </c>
      <c r="FJ36" s="142">
        <f ca="1">SUM((INDIRECT(FJ$9&amp;ROW()):(INDIRECT(FJ$10&amp;ROW()))))</f>
        <v>0</v>
      </c>
      <c r="FK36" s="142" t="e">
        <f ca="1">SUM((INDIRECT(FK$9&amp;ROW()):(INDIRECT(FK$10&amp;ROW()))))</f>
        <v>#REF!</v>
      </c>
      <c r="FL36" s="142" t="e">
        <f ca="1">SUM((INDIRECT(FL$9&amp;ROW()):(INDIRECT(FL$10&amp;ROW()))))</f>
        <v>#REF!</v>
      </c>
      <c r="FN36" s="419">
        <f t="shared" ca="1" si="46"/>
        <v>18232.363636363636</v>
      </c>
    </row>
    <row r="37" spans="1:170" outlineLevel="1">
      <c r="A37" t="s">
        <v>70</v>
      </c>
      <c r="C37" s="2" t="s">
        <v>25</v>
      </c>
      <c r="E37" s="142">
        <f>SUMIF($B$12:$B$27,$C37,E$12:E$27)</f>
        <v>0</v>
      </c>
      <c r="F37" s="142">
        <f>SUMIF($B$12:$B$29,$C37,F$12:F$29)</f>
        <v>1570</v>
      </c>
      <c r="G37" s="142">
        <f t="shared" si="36"/>
        <v>0</v>
      </c>
      <c r="H37" s="142">
        <f t="shared" si="36"/>
        <v>0</v>
      </c>
      <c r="I37" s="142">
        <f t="shared" si="36"/>
        <v>0</v>
      </c>
      <c r="J37" s="142">
        <f t="shared" si="36"/>
        <v>0</v>
      </c>
      <c r="K37" s="142">
        <f t="shared" si="36"/>
        <v>0</v>
      </c>
      <c r="L37" s="142">
        <f t="shared" si="36"/>
        <v>0</v>
      </c>
      <c r="M37" s="142">
        <f t="shared" si="36"/>
        <v>0</v>
      </c>
      <c r="N37" s="142">
        <f t="shared" si="36"/>
        <v>0</v>
      </c>
      <c r="O37" s="142">
        <f t="shared" si="36"/>
        <v>0</v>
      </c>
      <c r="P37" s="142">
        <f t="shared" si="36"/>
        <v>0</v>
      </c>
      <c r="Q37" s="142">
        <f t="shared" si="36"/>
        <v>0</v>
      </c>
      <c r="R37" s="142">
        <f t="shared" si="36"/>
        <v>400</v>
      </c>
      <c r="S37" s="142">
        <f t="shared" si="36"/>
        <v>0</v>
      </c>
      <c r="T37" s="142">
        <f t="shared" si="36"/>
        <v>480</v>
      </c>
      <c r="U37" s="142">
        <f t="shared" si="36"/>
        <v>0</v>
      </c>
      <c r="V37" s="142">
        <f t="shared" si="36"/>
        <v>0</v>
      </c>
      <c r="W37" s="142">
        <f t="shared" si="36"/>
        <v>0</v>
      </c>
      <c r="X37" s="142">
        <f t="shared" si="37"/>
        <v>0</v>
      </c>
      <c r="Y37" s="142">
        <f t="shared" si="37"/>
        <v>0</v>
      </c>
      <c r="Z37" s="142">
        <f t="shared" si="49"/>
        <v>230</v>
      </c>
      <c r="AA37" s="142">
        <f t="shared" si="49"/>
        <v>130</v>
      </c>
      <c r="AB37" s="142">
        <f t="shared" si="49"/>
        <v>0</v>
      </c>
      <c r="AC37" s="142">
        <f t="shared" si="49"/>
        <v>0</v>
      </c>
      <c r="AD37" s="142">
        <f t="shared" si="49"/>
        <v>1050</v>
      </c>
      <c r="AE37" s="142">
        <f t="shared" si="49"/>
        <v>0</v>
      </c>
      <c r="AF37" s="142">
        <f t="shared" si="49"/>
        <v>0</v>
      </c>
      <c r="AG37" s="142">
        <f t="shared" si="49"/>
        <v>0</v>
      </c>
      <c r="AH37" s="142">
        <f t="shared" si="49"/>
        <v>0</v>
      </c>
      <c r="AI37" s="142">
        <f t="shared" si="49"/>
        <v>0</v>
      </c>
      <c r="AJ37" s="142">
        <f t="shared" si="50"/>
        <v>0</v>
      </c>
      <c r="AK37" s="142">
        <f t="shared" si="50"/>
        <v>0</v>
      </c>
      <c r="AL37" s="142">
        <f t="shared" si="50"/>
        <v>0</v>
      </c>
      <c r="AM37" s="142">
        <f t="shared" si="50"/>
        <v>0</v>
      </c>
      <c r="AN37" s="142">
        <f t="shared" si="50"/>
        <v>0</v>
      </c>
      <c r="AO37" s="142">
        <f t="shared" si="50"/>
        <v>0</v>
      </c>
      <c r="AP37" s="142">
        <f t="shared" si="50"/>
        <v>0</v>
      </c>
      <c r="AQ37" s="142">
        <f t="shared" si="50"/>
        <v>0</v>
      </c>
      <c r="AR37" s="142">
        <f t="shared" si="50"/>
        <v>0</v>
      </c>
      <c r="AS37" s="142">
        <f t="shared" si="50"/>
        <v>50</v>
      </c>
      <c r="AT37" s="142">
        <f t="shared" si="40"/>
        <v>0</v>
      </c>
      <c r="AU37" s="142">
        <f t="shared" si="40"/>
        <v>0</v>
      </c>
      <c r="AV37" s="142">
        <f t="shared" si="40"/>
        <v>0</v>
      </c>
      <c r="AW37" s="142">
        <f t="shared" si="51"/>
        <v>0</v>
      </c>
      <c r="AX37" s="142">
        <f t="shared" si="51"/>
        <v>0</v>
      </c>
      <c r="AY37" s="142">
        <f t="shared" si="51"/>
        <v>0</v>
      </c>
      <c r="AZ37" s="142">
        <f t="shared" si="51"/>
        <v>0</v>
      </c>
      <c r="BA37" s="142">
        <f t="shared" si="51"/>
        <v>0</v>
      </c>
      <c r="BB37" s="142">
        <f t="shared" si="51"/>
        <v>0</v>
      </c>
      <c r="BC37" s="142">
        <f t="shared" si="51"/>
        <v>0</v>
      </c>
      <c r="BD37" s="142">
        <f t="shared" si="51"/>
        <v>0</v>
      </c>
      <c r="BE37" s="142">
        <f t="shared" si="51"/>
        <v>0</v>
      </c>
      <c r="BF37" s="142">
        <f t="shared" si="51"/>
        <v>0</v>
      </c>
      <c r="BG37" s="142">
        <f t="shared" si="51"/>
        <v>0</v>
      </c>
      <c r="BH37" s="142">
        <f t="shared" si="51"/>
        <v>2150</v>
      </c>
      <c r="BI37" s="142">
        <f t="shared" ref="BI37:BK38" si="54">SUMIF($B$12:$B$27,$C37,BI$12:BI$27)</f>
        <v>0</v>
      </c>
      <c r="BJ37" s="142">
        <f t="shared" si="54"/>
        <v>0</v>
      </c>
      <c r="BK37" s="142">
        <f t="shared" si="54"/>
        <v>0</v>
      </c>
      <c r="BL37" s="142">
        <f t="shared" si="53"/>
        <v>0</v>
      </c>
      <c r="BM37" s="142">
        <f t="shared" si="53"/>
        <v>0</v>
      </c>
      <c r="BN37" s="142">
        <f t="shared" si="53"/>
        <v>0</v>
      </c>
      <c r="BO37" s="142">
        <f>SUMIF($B$12:$B$27,$C37,BO$12:BO$27)</f>
        <v>0</v>
      </c>
      <c r="BP37" s="142">
        <f t="shared" si="53"/>
        <v>0</v>
      </c>
      <c r="BQ37" s="142">
        <f t="shared" si="53"/>
        <v>0</v>
      </c>
      <c r="BR37" s="142">
        <f t="shared" si="53"/>
        <v>0</v>
      </c>
      <c r="BS37" s="142">
        <f t="shared" si="53"/>
        <v>0</v>
      </c>
      <c r="BT37" s="142">
        <f t="shared" si="53"/>
        <v>0</v>
      </c>
      <c r="BU37" s="142">
        <f t="shared" si="53"/>
        <v>0</v>
      </c>
      <c r="BV37" s="142">
        <f t="shared" si="53"/>
        <v>0</v>
      </c>
      <c r="BW37" s="142">
        <f t="shared" si="53"/>
        <v>68</v>
      </c>
      <c r="BX37" s="142">
        <f t="shared" si="53"/>
        <v>0</v>
      </c>
      <c r="BY37" s="142">
        <f t="shared" si="53"/>
        <v>0</v>
      </c>
      <c r="BZ37" s="142">
        <f t="shared" si="53"/>
        <v>0</v>
      </c>
      <c r="CA37" s="142">
        <f t="shared" si="53"/>
        <v>0</v>
      </c>
      <c r="CB37" s="142">
        <f t="shared" si="53"/>
        <v>0</v>
      </c>
      <c r="CC37" s="142">
        <f t="shared" si="53"/>
        <v>0</v>
      </c>
      <c r="CD37" s="142">
        <f t="shared" si="53"/>
        <v>0</v>
      </c>
      <c r="CE37" s="142">
        <f t="shared" si="53"/>
        <v>0</v>
      </c>
      <c r="CF37" s="142">
        <f t="shared" si="53"/>
        <v>0</v>
      </c>
      <c r="CG37" s="142">
        <f t="shared" si="53"/>
        <v>0</v>
      </c>
      <c r="CH37" s="142">
        <f t="shared" si="53"/>
        <v>0</v>
      </c>
      <c r="CI37" s="142">
        <f t="shared" si="53"/>
        <v>0</v>
      </c>
      <c r="CJ37" s="142">
        <f t="shared" si="53"/>
        <v>0</v>
      </c>
      <c r="CK37" s="142">
        <f t="shared" si="53"/>
        <v>0</v>
      </c>
      <c r="CL37" s="142">
        <f t="shared" si="53"/>
        <v>0</v>
      </c>
      <c r="CM37" s="142">
        <f t="shared" si="53"/>
        <v>9660.9090909090919</v>
      </c>
      <c r="CN37" s="142">
        <f t="shared" si="53"/>
        <v>588</v>
      </c>
      <c r="CO37" s="142">
        <f t="shared" si="53"/>
        <v>0</v>
      </c>
      <c r="CP37" s="142">
        <f t="shared" si="53"/>
        <v>218.4</v>
      </c>
      <c r="CQ37" s="142">
        <f t="shared" si="53"/>
        <v>2500</v>
      </c>
      <c r="CR37" s="142">
        <f t="shared" si="53"/>
        <v>325.30909090909091</v>
      </c>
      <c r="CS37" s="142">
        <f t="shared" si="53"/>
        <v>0</v>
      </c>
      <c r="CT37" s="142">
        <f t="shared" si="53"/>
        <v>0</v>
      </c>
      <c r="CU37" s="142">
        <f t="shared" si="53"/>
        <v>0</v>
      </c>
      <c r="CV37" s="142">
        <f t="shared" si="53"/>
        <v>0</v>
      </c>
      <c r="CW37" s="142">
        <f t="shared" si="53"/>
        <v>0</v>
      </c>
      <c r="CX37" s="142">
        <f ca="1">SUMIF($B$12:$B$27,$C37,CX$13:CX$27)</f>
        <v>0</v>
      </c>
      <c r="CY37" s="142">
        <f t="shared" si="53"/>
        <v>0</v>
      </c>
      <c r="CZ37" s="142">
        <f>SUMIF($B$12:$B$27,$C37,CZ$12:CZ$27)</f>
        <v>0</v>
      </c>
      <c r="DA37" s="142">
        <f t="shared" si="53"/>
        <v>0</v>
      </c>
      <c r="DB37" s="142">
        <f t="shared" si="53"/>
        <v>0</v>
      </c>
      <c r="DC37" s="142">
        <f t="shared" si="53"/>
        <v>0</v>
      </c>
      <c r="DD37" s="142">
        <f t="shared" si="53"/>
        <v>0</v>
      </c>
      <c r="DE37" s="142">
        <f t="shared" si="53"/>
        <v>0</v>
      </c>
      <c r="DF37" s="142">
        <f t="shared" si="53"/>
        <v>0</v>
      </c>
      <c r="DG37" s="142">
        <f t="shared" si="53"/>
        <v>250</v>
      </c>
      <c r="DH37" s="142">
        <f t="shared" si="53"/>
        <v>0</v>
      </c>
      <c r="DI37" s="142">
        <f t="shared" si="53"/>
        <v>20630</v>
      </c>
      <c r="DJ37" s="142">
        <f t="shared" si="53"/>
        <v>0</v>
      </c>
      <c r="DK37" s="142">
        <f t="shared" si="53"/>
        <v>0</v>
      </c>
      <c r="DL37" s="142">
        <f t="shared" si="53"/>
        <v>0</v>
      </c>
      <c r="DM37" s="142">
        <f t="shared" si="53"/>
        <v>0</v>
      </c>
      <c r="DN37" s="142">
        <f t="shared" si="53"/>
        <v>0</v>
      </c>
      <c r="DO37" s="142">
        <f t="shared" si="53"/>
        <v>0</v>
      </c>
      <c r="DP37" s="142">
        <f t="shared" si="53"/>
        <v>0</v>
      </c>
      <c r="DQ37" s="142">
        <f t="shared" si="53"/>
        <v>0</v>
      </c>
      <c r="DR37" s="142">
        <f t="shared" si="53"/>
        <v>100</v>
      </c>
      <c r="DS37" s="142">
        <f t="shared" si="53"/>
        <v>0</v>
      </c>
      <c r="DT37" s="142">
        <f t="shared" si="53"/>
        <v>250</v>
      </c>
      <c r="DU37" s="142">
        <f t="shared" si="53"/>
        <v>0</v>
      </c>
      <c r="DV37" s="282">
        <f t="shared" si="47"/>
        <v>0</v>
      </c>
      <c r="DW37" s="283">
        <f t="shared" si="47"/>
        <v>0</v>
      </c>
      <c r="DX37" s="29">
        <f t="shared" ca="1" si="44"/>
        <v>40650.618181818179</v>
      </c>
      <c r="DY37" s="6">
        <f t="shared" ca="1" si="45"/>
        <v>1602.9909799606769</v>
      </c>
      <c r="FD37" t="s">
        <v>25</v>
      </c>
      <c r="FE37" s="286">
        <f ca="1">SUM((INDIRECT(FE$9&amp;ROW()):(INDIRECT(FE$10&amp;ROW()))))</f>
        <v>0</v>
      </c>
      <c r="FF37" s="142">
        <f ca="1">SUM((INDIRECT(FF$9&amp;ROW()):(INDIRECT(FF$10&amp;ROW()))))</f>
        <v>2450</v>
      </c>
      <c r="FG37" s="142">
        <f ca="1">SUM((INDIRECT(FG$9&amp;ROW()):(INDIRECT(FG$10&amp;ROW()))))</f>
        <v>1460</v>
      </c>
      <c r="FH37" s="142">
        <f ca="1">SUM((INDIRECT(FH$9&amp;ROW()):(INDIRECT(FH$10&amp;ROW()))))</f>
        <v>2218</v>
      </c>
      <c r="FI37" s="142">
        <f ca="1">SUM((INDIRECT(FI$9&amp;ROW()):(INDIRECT(FI$10&amp;ROW()))))</f>
        <v>34172.618181818179</v>
      </c>
      <c r="FJ37" s="142">
        <f ca="1">SUM((INDIRECT(FJ$9&amp;ROW()):(INDIRECT(FJ$10&amp;ROW()))))</f>
        <v>350</v>
      </c>
      <c r="FK37" s="142" t="e">
        <f ca="1">SUM((INDIRECT(FK$9&amp;ROW()):(INDIRECT(FK$10&amp;ROW()))))</f>
        <v>#REF!</v>
      </c>
      <c r="FL37" s="142" t="e">
        <f ca="1">SUM((INDIRECT(FL$9&amp;ROW()):(INDIRECT(FL$10&amp;ROW()))))</f>
        <v>#REF!</v>
      </c>
      <c r="FN37" s="419">
        <f t="shared" ca="1" si="46"/>
        <v>40650.618181818179</v>
      </c>
    </row>
    <row r="38" spans="1:170" outlineLevel="1">
      <c r="A38" t="s">
        <v>70</v>
      </c>
      <c r="C38" s="2" t="s">
        <v>24</v>
      </c>
      <c r="E38" s="142">
        <f>SUMIF($B$12:$B$27,$C38,E$12:E$27)</f>
        <v>0</v>
      </c>
      <c r="F38" s="142">
        <f>SUMIF($B$12:$B$29,$C38,F$12:F$29)</f>
        <v>60</v>
      </c>
      <c r="G38" s="142">
        <f t="shared" si="36"/>
        <v>250</v>
      </c>
      <c r="H38" s="142">
        <f t="shared" si="36"/>
        <v>180</v>
      </c>
      <c r="I38" s="142">
        <f t="shared" si="36"/>
        <v>0</v>
      </c>
      <c r="J38" s="142">
        <f t="shared" si="36"/>
        <v>0</v>
      </c>
      <c r="K38" s="142">
        <f t="shared" si="36"/>
        <v>0</v>
      </c>
      <c r="L38" s="142">
        <f t="shared" si="36"/>
        <v>0</v>
      </c>
      <c r="M38" s="142">
        <f t="shared" si="36"/>
        <v>0</v>
      </c>
      <c r="N38" s="142">
        <f t="shared" si="36"/>
        <v>0</v>
      </c>
      <c r="O38" s="142">
        <f t="shared" si="36"/>
        <v>0</v>
      </c>
      <c r="P38" s="142">
        <f t="shared" si="36"/>
        <v>0</v>
      </c>
      <c r="Q38" s="142">
        <f t="shared" si="36"/>
        <v>0</v>
      </c>
      <c r="R38" s="142">
        <f t="shared" si="36"/>
        <v>0</v>
      </c>
      <c r="S38" s="142">
        <f t="shared" si="36"/>
        <v>0</v>
      </c>
      <c r="T38" s="142">
        <f t="shared" si="36"/>
        <v>0</v>
      </c>
      <c r="U38" s="142">
        <f t="shared" si="36"/>
        <v>0</v>
      </c>
      <c r="V38" s="142">
        <f t="shared" si="36"/>
        <v>0</v>
      </c>
      <c r="W38" s="142">
        <f t="shared" si="36"/>
        <v>250</v>
      </c>
      <c r="X38" s="142">
        <f t="shared" si="37"/>
        <v>220</v>
      </c>
      <c r="Y38" s="142">
        <f t="shared" si="37"/>
        <v>390</v>
      </c>
      <c r="Z38" s="142">
        <f t="shared" si="49"/>
        <v>0</v>
      </c>
      <c r="AA38" s="142">
        <f t="shared" si="49"/>
        <v>1000</v>
      </c>
      <c r="AB38" s="142">
        <f t="shared" si="49"/>
        <v>270</v>
      </c>
      <c r="AC38" s="142">
        <f t="shared" si="49"/>
        <v>500</v>
      </c>
      <c r="AD38" s="142">
        <f t="shared" si="49"/>
        <v>0</v>
      </c>
      <c r="AE38" s="142">
        <f t="shared" si="49"/>
        <v>850</v>
      </c>
      <c r="AF38" s="142">
        <f t="shared" si="49"/>
        <v>220</v>
      </c>
      <c r="AG38" s="142">
        <f t="shared" si="49"/>
        <v>0</v>
      </c>
      <c r="AH38" s="142">
        <f t="shared" si="49"/>
        <v>0</v>
      </c>
      <c r="AI38" s="142">
        <f t="shared" si="49"/>
        <v>0</v>
      </c>
      <c r="AJ38" s="142">
        <f t="shared" si="50"/>
        <v>500</v>
      </c>
      <c r="AK38" s="142">
        <f t="shared" si="50"/>
        <v>0</v>
      </c>
      <c r="AL38" s="142">
        <f t="shared" si="50"/>
        <v>0</v>
      </c>
      <c r="AM38" s="142">
        <f t="shared" si="50"/>
        <v>0</v>
      </c>
      <c r="AN38" s="142">
        <f t="shared" si="50"/>
        <v>0</v>
      </c>
      <c r="AO38" s="142">
        <f t="shared" si="50"/>
        <v>0</v>
      </c>
      <c r="AP38" s="142">
        <f t="shared" si="50"/>
        <v>0</v>
      </c>
      <c r="AQ38" s="142">
        <f t="shared" si="50"/>
        <v>0</v>
      </c>
      <c r="AR38" s="142">
        <f t="shared" si="50"/>
        <v>0</v>
      </c>
      <c r="AS38" s="142">
        <f t="shared" si="50"/>
        <v>0</v>
      </c>
      <c r="AT38" s="142">
        <f t="shared" si="40"/>
        <v>210</v>
      </c>
      <c r="AU38" s="142">
        <f t="shared" si="40"/>
        <v>0</v>
      </c>
      <c r="AV38" s="142">
        <f t="shared" si="40"/>
        <v>0</v>
      </c>
      <c r="AW38" s="142">
        <f t="shared" si="51"/>
        <v>0</v>
      </c>
      <c r="AX38" s="142">
        <f t="shared" si="51"/>
        <v>0</v>
      </c>
      <c r="AY38" s="142">
        <f t="shared" si="51"/>
        <v>0</v>
      </c>
      <c r="AZ38" s="142">
        <f t="shared" si="51"/>
        <v>0</v>
      </c>
      <c r="BA38" s="142">
        <f t="shared" si="51"/>
        <v>0</v>
      </c>
      <c r="BB38" s="142">
        <f t="shared" si="51"/>
        <v>7450</v>
      </c>
      <c r="BC38" s="142">
        <f t="shared" si="51"/>
        <v>0</v>
      </c>
      <c r="BD38" s="142">
        <f t="shared" si="51"/>
        <v>0</v>
      </c>
      <c r="BE38" s="142">
        <f t="shared" si="51"/>
        <v>0</v>
      </c>
      <c r="BF38" s="142">
        <f t="shared" si="51"/>
        <v>0</v>
      </c>
      <c r="BG38" s="142">
        <f t="shared" si="51"/>
        <v>0</v>
      </c>
      <c r="BH38" s="142">
        <f t="shared" si="51"/>
        <v>1000</v>
      </c>
      <c r="BI38" s="142">
        <f t="shared" si="54"/>
        <v>0</v>
      </c>
      <c r="BJ38" s="142">
        <f t="shared" si="54"/>
        <v>1000</v>
      </c>
      <c r="BK38" s="142">
        <f t="shared" si="54"/>
        <v>0</v>
      </c>
      <c r="BL38" s="142">
        <f t="shared" si="53"/>
        <v>0</v>
      </c>
      <c r="BM38" s="142">
        <f t="shared" si="53"/>
        <v>0</v>
      </c>
      <c r="BN38" s="142">
        <f t="shared" si="53"/>
        <v>0</v>
      </c>
      <c r="BO38" s="142">
        <f>SUMIF($B$12:$B$27,$C38,BO$12:BO$27)</f>
        <v>667</v>
      </c>
      <c r="BP38" s="142">
        <f t="shared" si="53"/>
        <v>0</v>
      </c>
      <c r="BQ38" s="142">
        <f t="shared" si="53"/>
        <v>0</v>
      </c>
      <c r="BR38" s="142">
        <f t="shared" si="53"/>
        <v>0</v>
      </c>
      <c r="BS38" s="142">
        <f t="shared" si="53"/>
        <v>0</v>
      </c>
      <c r="BT38" s="142">
        <f t="shared" si="53"/>
        <v>0</v>
      </c>
      <c r="BU38" s="142">
        <f t="shared" si="53"/>
        <v>0</v>
      </c>
      <c r="BV38" s="142">
        <f t="shared" si="53"/>
        <v>0</v>
      </c>
      <c r="BW38" s="142">
        <f t="shared" si="53"/>
        <v>0</v>
      </c>
      <c r="BX38" s="142">
        <f t="shared" si="53"/>
        <v>0</v>
      </c>
      <c r="BY38" s="142">
        <f t="shared" si="53"/>
        <v>1500</v>
      </c>
      <c r="BZ38" s="142">
        <f t="shared" si="53"/>
        <v>0</v>
      </c>
      <c r="CA38" s="142">
        <f t="shared" si="53"/>
        <v>0</v>
      </c>
      <c r="CB38" s="142">
        <f t="shared" si="53"/>
        <v>0</v>
      </c>
      <c r="CC38" s="142">
        <f t="shared" si="53"/>
        <v>0</v>
      </c>
      <c r="CD38" s="142">
        <f t="shared" si="53"/>
        <v>0</v>
      </c>
      <c r="CE38" s="142">
        <f t="shared" si="53"/>
        <v>0</v>
      </c>
      <c r="CF38" s="142">
        <f t="shared" si="53"/>
        <v>0</v>
      </c>
      <c r="CG38" s="142">
        <f t="shared" si="53"/>
        <v>0</v>
      </c>
      <c r="CH38" s="142">
        <f t="shared" si="53"/>
        <v>0</v>
      </c>
      <c r="CI38" s="142">
        <f t="shared" si="53"/>
        <v>0</v>
      </c>
      <c r="CJ38" s="142">
        <f t="shared" si="53"/>
        <v>0</v>
      </c>
      <c r="CK38" s="142">
        <f t="shared" si="53"/>
        <v>0</v>
      </c>
      <c r="CL38" s="142">
        <f t="shared" si="53"/>
        <v>500</v>
      </c>
      <c r="CM38" s="142">
        <f t="shared" si="53"/>
        <v>0</v>
      </c>
      <c r="CN38" s="142">
        <f t="shared" si="53"/>
        <v>0</v>
      </c>
      <c r="CO38" s="142">
        <f t="shared" si="53"/>
        <v>267.27272727272731</v>
      </c>
      <c r="CP38" s="142">
        <f t="shared" si="53"/>
        <v>0</v>
      </c>
      <c r="CQ38" s="142">
        <f t="shared" si="53"/>
        <v>0</v>
      </c>
      <c r="CR38" s="142">
        <f t="shared" si="53"/>
        <v>0</v>
      </c>
      <c r="CS38" s="142">
        <f t="shared" si="53"/>
        <v>0</v>
      </c>
      <c r="CT38" s="142">
        <f t="shared" si="53"/>
        <v>0</v>
      </c>
      <c r="CU38" s="142">
        <f t="shared" si="53"/>
        <v>0</v>
      </c>
      <c r="CV38" s="142">
        <f t="shared" si="53"/>
        <v>0</v>
      </c>
      <c r="CW38" s="142">
        <f t="shared" si="53"/>
        <v>0</v>
      </c>
      <c r="CX38" s="142">
        <f ca="1">SUMIF($B$12:$B$27,$C38,CX$13:CX$27)</f>
        <v>250</v>
      </c>
      <c r="CY38" s="142">
        <f t="shared" si="53"/>
        <v>800</v>
      </c>
      <c r="CZ38" s="142">
        <f>SUMIF($B$12:$B$27,$C38,CZ$12:CZ$27)</f>
        <v>1400</v>
      </c>
      <c r="DA38" s="142">
        <f t="shared" si="53"/>
        <v>0</v>
      </c>
      <c r="DB38" s="142">
        <f t="shared" si="53"/>
        <v>0</v>
      </c>
      <c r="DC38" s="142">
        <f t="shared" si="53"/>
        <v>240</v>
      </c>
      <c r="DD38" s="142">
        <f t="shared" si="53"/>
        <v>2250</v>
      </c>
      <c r="DE38" s="142">
        <f t="shared" si="53"/>
        <v>0</v>
      </c>
      <c r="DF38" s="142">
        <f t="shared" si="53"/>
        <v>0</v>
      </c>
      <c r="DG38" s="142">
        <f t="shared" si="53"/>
        <v>0</v>
      </c>
      <c r="DH38" s="142">
        <f t="shared" si="53"/>
        <v>1000</v>
      </c>
      <c r="DI38" s="142">
        <f t="shared" si="53"/>
        <v>0</v>
      </c>
      <c r="DJ38" s="142">
        <f t="shared" si="53"/>
        <v>0</v>
      </c>
      <c r="DK38" s="142">
        <f t="shared" si="53"/>
        <v>0</v>
      </c>
      <c r="DL38" s="142">
        <f t="shared" si="53"/>
        <v>480</v>
      </c>
      <c r="DM38" s="142">
        <f t="shared" si="53"/>
        <v>0</v>
      </c>
      <c r="DN38" s="142">
        <f t="shared" si="53"/>
        <v>0</v>
      </c>
      <c r="DO38" s="142">
        <f t="shared" si="53"/>
        <v>0</v>
      </c>
      <c r="DP38" s="142">
        <f t="shared" si="53"/>
        <v>490</v>
      </c>
      <c r="DQ38" s="142">
        <f t="shared" si="53"/>
        <v>2050</v>
      </c>
      <c r="DR38" s="142">
        <f t="shared" si="53"/>
        <v>400</v>
      </c>
      <c r="DS38" s="142">
        <f t="shared" si="53"/>
        <v>0</v>
      </c>
      <c r="DT38" s="142">
        <f t="shared" si="53"/>
        <v>0</v>
      </c>
      <c r="DU38" s="142">
        <f t="shared" si="53"/>
        <v>0</v>
      </c>
      <c r="DV38" s="282">
        <f t="shared" si="47"/>
        <v>0</v>
      </c>
      <c r="DW38" s="283">
        <f t="shared" si="47"/>
        <v>0</v>
      </c>
      <c r="DX38" s="29">
        <f t="shared" ca="1" si="44"/>
        <v>26644.272727272728</v>
      </c>
      <c r="DY38" s="6">
        <f t="shared" ca="1" si="45"/>
        <v>1050.6735385523264</v>
      </c>
      <c r="FD38" t="s">
        <v>24</v>
      </c>
      <c r="FE38" s="142">
        <f ca="1">SUM((INDIRECT(FE$9&amp;ROW()):(INDIRECT(FE$10&amp;ROW()))))</f>
        <v>0</v>
      </c>
      <c r="FF38" s="142">
        <f ca="1">SUM((INDIRECT(FF$9&amp;ROW()):(INDIRECT(FF$10&amp;ROW()))))</f>
        <v>740</v>
      </c>
      <c r="FG38" s="142">
        <f ca="1">SUM((INDIRECT(FG$9&amp;ROW()):(INDIRECT(FG$10&amp;ROW()))))</f>
        <v>11610</v>
      </c>
      <c r="FH38" s="142">
        <f ca="1">SUM((INDIRECT(FH$9&amp;ROW()):(INDIRECT(FH$10&amp;ROW()))))</f>
        <v>4167</v>
      </c>
      <c r="FI38" s="142">
        <f ca="1">SUM((INDIRECT(FI$9&amp;ROW()):(INDIRECT(FI$10&amp;ROW()))))</f>
        <v>6707.272727272727</v>
      </c>
      <c r="FJ38" s="142">
        <f ca="1">SUM((INDIRECT(FJ$9&amp;ROW()):(INDIRECT(FJ$10&amp;ROW()))))</f>
        <v>3420</v>
      </c>
      <c r="FK38" s="142" t="e">
        <f ca="1">SUM((INDIRECT(FK$9&amp;ROW()):(INDIRECT(FK$10&amp;ROW()))))</f>
        <v>#REF!</v>
      </c>
      <c r="FL38" s="142" t="e">
        <f ca="1">SUM((INDIRECT(FL$9&amp;ROW()):(INDIRECT(FL$10&amp;ROW()))))</f>
        <v>#REF!</v>
      </c>
      <c r="FN38" s="419">
        <f t="shared" ca="1" si="46"/>
        <v>26644.272727272728</v>
      </c>
    </row>
    <row r="39" spans="1:170" outlineLevel="1">
      <c r="A39" t="s">
        <v>70</v>
      </c>
      <c r="C39" s="2" t="s">
        <v>558</v>
      </c>
      <c r="E39" s="142">
        <f>SUMIF($B$12:$B$29,$C39,E$12:E$29)</f>
        <v>0</v>
      </c>
      <c r="F39" s="142">
        <f>SUMIF($B$12:$B$29,$C39,F$12:F$29)</f>
        <v>0</v>
      </c>
      <c r="G39" s="142">
        <f t="shared" ref="G39:W39" si="55">SUMIF($B$12:$B$29,$C39,G$12:G$29)</f>
        <v>0</v>
      </c>
      <c r="H39" s="142">
        <f t="shared" si="55"/>
        <v>0</v>
      </c>
      <c r="I39" s="142">
        <f t="shared" si="55"/>
        <v>0</v>
      </c>
      <c r="J39" s="142">
        <f t="shared" si="55"/>
        <v>0</v>
      </c>
      <c r="K39" s="142">
        <f t="shared" si="55"/>
        <v>0</v>
      </c>
      <c r="L39" s="142">
        <f t="shared" si="55"/>
        <v>0</v>
      </c>
      <c r="M39" s="142">
        <f t="shared" si="55"/>
        <v>0</v>
      </c>
      <c r="N39" s="142">
        <f t="shared" si="55"/>
        <v>0</v>
      </c>
      <c r="O39" s="142">
        <f t="shared" si="55"/>
        <v>0</v>
      </c>
      <c r="P39" s="142">
        <f t="shared" si="55"/>
        <v>0</v>
      </c>
      <c r="Q39" s="142">
        <f t="shared" si="55"/>
        <v>0</v>
      </c>
      <c r="R39" s="142">
        <f t="shared" si="55"/>
        <v>0</v>
      </c>
      <c r="S39" s="142">
        <f t="shared" si="55"/>
        <v>0</v>
      </c>
      <c r="T39" s="142">
        <f t="shared" si="55"/>
        <v>0</v>
      </c>
      <c r="U39" s="142">
        <f t="shared" si="55"/>
        <v>0</v>
      </c>
      <c r="V39" s="142">
        <f t="shared" si="55"/>
        <v>0</v>
      </c>
      <c r="W39" s="142">
        <f t="shared" si="55"/>
        <v>0</v>
      </c>
      <c r="X39" s="142">
        <f t="shared" si="37"/>
        <v>0</v>
      </c>
      <c r="Y39" s="142">
        <f t="shared" si="37"/>
        <v>0</v>
      </c>
      <c r="Z39" s="142">
        <f t="shared" si="49"/>
        <v>0</v>
      </c>
      <c r="AA39" s="142">
        <f t="shared" si="49"/>
        <v>0</v>
      </c>
      <c r="AB39" s="142">
        <f t="shared" si="49"/>
        <v>0</v>
      </c>
      <c r="AC39" s="142">
        <f t="shared" si="49"/>
        <v>0</v>
      </c>
      <c r="AD39" s="142">
        <f t="shared" si="49"/>
        <v>0</v>
      </c>
      <c r="AE39" s="142">
        <f t="shared" si="49"/>
        <v>0</v>
      </c>
      <c r="AF39" s="142">
        <f t="shared" si="49"/>
        <v>0</v>
      </c>
      <c r="AG39" s="142">
        <f t="shared" si="49"/>
        <v>0</v>
      </c>
      <c r="AH39" s="142">
        <f t="shared" si="49"/>
        <v>0</v>
      </c>
      <c r="AI39" s="142">
        <f t="shared" si="49"/>
        <v>0</v>
      </c>
      <c r="AJ39" s="142">
        <f t="shared" si="50"/>
        <v>0</v>
      </c>
      <c r="AK39" s="142">
        <f t="shared" si="50"/>
        <v>0</v>
      </c>
      <c r="AL39" s="142">
        <f t="shared" si="50"/>
        <v>0</v>
      </c>
      <c r="AM39" s="142">
        <f t="shared" si="50"/>
        <v>0</v>
      </c>
      <c r="AN39" s="142">
        <f t="shared" si="50"/>
        <v>0</v>
      </c>
      <c r="AO39" s="142">
        <f t="shared" si="50"/>
        <v>0</v>
      </c>
      <c r="AP39" s="142">
        <f t="shared" si="50"/>
        <v>0</v>
      </c>
      <c r="AQ39" s="142">
        <f t="shared" si="50"/>
        <v>0</v>
      </c>
      <c r="AR39" s="142">
        <f t="shared" si="50"/>
        <v>0</v>
      </c>
      <c r="AS39" s="142">
        <f t="shared" si="50"/>
        <v>0</v>
      </c>
      <c r="AT39" s="142">
        <f t="shared" si="40"/>
        <v>0</v>
      </c>
      <c r="AU39" s="142">
        <f t="shared" si="40"/>
        <v>0</v>
      </c>
      <c r="AV39" s="142">
        <f t="shared" si="40"/>
        <v>0</v>
      </c>
      <c r="AW39" s="142">
        <f t="shared" si="51"/>
        <v>0</v>
      </c>
      <c r="AX39" s="142">
        <f t="shared" si="51"/>
        <v>0</v>
      </c>
      <c r="AY39" s="142">
        <f t="shared" si="51"/>
        <v>0</v>
      </c>
      <c r="AZ39" s="142">
        <f t="shared" si="51"/>
        <v>0</v>
      </c>
      <c r="BA39" s="142">
        <f t="shared" si="51"/>
        <v>0</v>
      </c>
      <c r="BB39" s="142">
        <f t="shared" si="51"/>
        <v>0</v>
      </c>
      <c r="BC39" s="142">
        <f t="shared" si="51"/>
        <v>0</v>
      </c>
      <c r="BD39" s="142">
        <f t="shared" si="51"/>
        <v>0</v>
      </c>
      <c r="BE39" s="142">
        <f t="shared" si="51"/>
        <v>0</v>
      </c>
      <c r="BF39" s="142">
        <f t="shared" si="51"/>
        <v>0</v>
      </c>
      <c r="BG39" s="142">
        <f t="shared" si="51"/>
        <v>0</v>
      </c>
      <c r="BH39" s="142">
        <f t="shared" si="51"/>
        <v>0</v>
      </c>
      <c r="BI39" s="142">
        <f t="shared" ref="BI39:DU39" si="56">SUMIF($B$12:$B$29,$C39,BI$12:BI$29)</f>
        <v>0</v>
      </c>
      <c r="BJ39" s="142">
        <f t="shared" si="56"/>
        <v>0</v>
      </c>
      <c r="BK39" s="142">
        <f t="shared" si="56"/>
        <v>0</v>
      </c>
      <c r="BL39" s="142">
        <f t="shared" si="56"/>
        <v>0</v>
      </c>
      <c r="BM39" s="142">
        <f t="shared" si="56"/>
        <v>0</v>
      </c>
      <c r="BN39" s="142">
        <f t="shared" si="56"/>
        <v>0</v>
      </c>
      <c r="BO39" s="142">
        <f t="shared" si="56"/>
        <v>0</v>
      </c>
      <c r="BP39" s="142">
        <f t="shared" si="56"/>
        <v>0</v>
      </c>
      <c r="BQ39" s="142">
        <f t="shared" si="56"/>
        <v>0</v>
      </c>
      <c r="BR39" s="142">
        <f t="shared" si="56"/>
        <v>0</v>
      </c>
      <c r="BS39" s="142">
        <f t="shared" si="56"/>
        <v>0</v>
      </c>
      <c r="BT39" s="142">
        <f t="shared" si="56"/>
        <v>0</v>
      </c>
      <c r="BU39" s="142">
        <f t="shared" si="56"/>
        <v>10080</v>
      </c>
      <c r="BV39" s="142">
        <f t="shared" si="56"/>
        <v>0</v>
      </c>
      <c r="BW39" s="142">
        <f t="shared" si="56"/>
        <v>0</v>
      </c>
      <c r="BX39" s="142">
        <f t="shared" si="56"/>
        <v>0</v>
      </c>
      <c r="BY39" s="142">
        <f t="shared" si="56"/>
        <v>0</v>
      </c>
      <c r="BZ39" s="142">
        <f t="shared" si="56"/>
        <v>0</v>
      </c>
      <c r="CA39" s="142">
        <f t="shared" si="56"/>
        <v>0</v>
      </c>
      <c r="CB39" s="142">
        <f t="shared" si="56"/>
        <v>0</v>
      </c>
      <c r="CC39" s="142">
        <f t="shared" si="56"/>
        <v>0</v>
      </c>
      <c r="CD39" s="142">
        <f t="shared" si="56"/>
        <v>0</v>
      </c>
      <c r="CE39" s="142">
        <f t="shared" si="56"/>
        <v>0</v>
      </c>
      <c r="CF39" s="142">
        <f t="shared" si="56"/>
        <v>0</v>
      </c>
      <c r="CG39" s="142">
        <f t="shared" si="56"/>
        <v>0</v>
      </c>
      <c r="CH39" s="142">
        <f t="shared" si="56"/>
        <v>0</v>
      </c>
      <c r="CI39" s="142">
        <f t="shared" si="56"/>
        <v>0</v>
      </c>
      <c r="CJ39" s="142">
        <f t="shared" si="56"/>
        <v>0</v>
      </c>
      <c r="CK39" s="142">
        <f t="shared" si="56"/>
        <v>0</v>
      </c>
      <c r="CL39" s="142">
        <f t="shared" si="56"/>
        <v>0</v>
      </c>
      <c r="CM39" s="142">
        <f t="shared" si="56"/>
        <v>0</v>
      </c>
      <c r="CN39" s="142">
        <f t="shared" si="56"/>
        <v>0</v>
      </c>
      <c r="CO39" s="142">
        <f t="shared" si="56"/>
        <v>0</v>
      </c>
      <c r="CP39" s="142">
        <f t="shared" si="56"/>
        <v>0</v>
      </c>
      <c r="CQ39" s="142">
        <f t="shared" si="56"/>
        <v>0</v>
      </c>
      <c r="CR39" s="142">
        <f t="shared" si="56"/>
        <v>0</v>
      </c>
      <c r="CS39" s="142">
        <f t="shared" si="56"/>
        <v>0</v>
      </c>
      <c r="CT39" s="142">
        <f t="shared" si="56"/>
        <v>0</v>
      </c>
      <c r="CU39" s="142">
        <f t="shared" si="56"/>
        <v>0</v>
      </c>
      <c r="CV39" s="142">
        <f t="shared" si="56"/>
        <v>0</v>
      </c>
      <c r="CW39" s="142">
        <f t="shared" si="56"/>
        <v>0</v>
      </c>
      <c r="CX39" s="142">
        <f ca="1">SUMIF($B$12:$B$29,$C39,CX$13:CX$29)</f>
        <v>0</v>
      </c>
      <c r="CY39" s="142">
        <f t="shared" si="56"/>
        <v>0</v>
      </c>
      <c r="CZ39" s="142">
        <f t="shared" si="56"/>
        <v>0</v>
      </c>
      <c r="DA39" s="142">
        <f t="shared" si="56"/>
        <v>0</v>
      </c>
      <c r="DB39" s="142">
        <f t="shared" si="56"/>
        <v>0</v>
      </c>
      <c r="DC39" s="142">
        <f t="shared" si="56"/>
        <v>0</v>
      </c>
      <c r="DD39" s="142">
        <f t="shared" si="56"/>
        <v>0</v>
      </c>
      <c r="DE39" s="142">
        <f t="shared" si="56"/>
        <v>0</v>
      </c>
      <c r="DF39" s="142">
        <f t="shared" si="56"/>
        <v>0</v>
      </c>
      <c r="DG39" s="142">
        <f t="shared" si="56"/>
        <v>0</v>
      </c>
      <c r="DH39" s="142">
        <f t="shared" si="56"/>
        <v>0</v>
      </c>
      <c r="DI39" s="142">
        <f t="shared" si="56"/>
        <v>0</v>
      </c>
      <c r="DJ39" s="142">
        <f t="shared" si="56"/>
        <v>0</v>
      </c>
      <c r="DK39" s="142">
        <f t="shared" si="56"/>
        <v>0</v>
      </c>
      <c r="DL39" s="142">
        <f t="shared" si="56"/>
        <v>0</v>
      </c>
      <c r="DM39" s="142">
        <f t="shared" si="56"/>
        <v>0</v>
      </c>
      <c r="DN39" s="142">
        <f t="shared" si="56"/>
        <v>0</v>
      </c>
      <c r="DO39" s="142">
        <f t="shared" si="56"/>
        <v>0</v>
      </c>
      <c r="DP39" s="142">
        <f t="shared" si="56"/>
        <v>0</v>
      </c>
      <c r="DQ39" s="142">
        <f t="shared" si="56"/>
        <v>0</v>
      </c>
      <c r="DR39" s="142">
        <f t="shared" si="56"/>
        <v>0</v>
      </c>
      <c r="DS39" s="142">
        <f t="shared" si="56"/>
        <v>0</v>
      </c>
      <c r="DT39" s="142">
        <f t="shared" si="56"/>
        <v>0</v>
      </c>
      <c r="DU39" s="142">
        <f t="shared" si="56"/>
        <v>0</v>
      </c>
      <c r="DV39" s="282">
        <f t="shared" si="47"/>
        <v>0</v>
      </c>
      <c r="DW39" s="283">
        <f t="shared" si="47"/>
        <v>0</v>
      </c>
      <c r="DX39" s="29">
        <f t="shared" ca="1" si="44"/>
        <v>10080</v>
      </c>
      <c r="DY39" s="6">
        <f t="shared" ca="1" si="45"/>
        <v>397.48839748839748</v>
      </c>
      <c r="FD39" t="s">
        <v>558</v>
      </c>
      <c r="FE39" s="142">
        <f ca="1">SUM((INDIRECT(FE$9&amp;ROW()):(INDIRECT(FE$10&amp;ROW()))))</f>
        <v>0</v>
      </c>
      <c r="FF39" s="142">
        <f ca="1">SUM((INDIRECT(FF$9&amp;ROW()):(INDIRECT(FF$10&amp;ROW()))))</f>
        <v>0</v>
      </c>
      <c r="FG39" s="142">
        <f ca="1">SUM((INDIRECT(FG$9&amp;ROW()):(INDIRECT(FG$10&amp;ROW()))))</f>
        <v>0</v>
      </c>
      <c r="FH39" s="142">
        <f ca="1">SUM((INDIRECT(FH$9&amp;ROW()):(INDIRECT(FH$10&amp;ROW()))))</f>
        <v>10080</v>
      </c>
      <c r="FI39" s="142">
        <f ca="1">SUM((INDIRECT(FI$9&amp;ROW()):(INDIRECT(FI$10&amp;ROW()))))</f>
        <v>0</v>
      </c>
      <c r="FJ39" s="142">
        <f ca="1">SUM((INDIRECT(FJ$9&amp;ROW()):(INDIRECT(FJ$10&amp;ROW()))))</f>
        <v>0</v>
      </c>
      <c r="FK39" s="142" t="e">
        <f ca="1">SUM((INDIRECT(FK$9&amp;ROW()):(INDIRECT(FK$10&amp;ROW()))))</f>
        <v>#REF!</v>
      </c>
      <c r="FL39" s="142" t="e">
        <f ca="1">SUM((INDIRECT(FL$9&amp;ROW()):(INDIRECT(FL$10&amp;ROW()))))</f>
        <v>#REF!</v>
      </c>
      <c r="FN39" s="419">
        <f t="shared" ca="1" si="46"/>
        <v>10080</v>
      </c>
    </row>
    <row r="40" spans="1:170" outlineLevel="1">
      <c r="C40" s="9" t="s">
        <v>14</v>
      </c>
      <c r="E40" s="161">
        <f t="shared" ref="E40:R40" si="57">SUM(E34:E39)</f>
        <v>0</v>
      </c>
      <c r="F40" s="161">
        <f t="shared" si="57"/>
        <v>4112</v>
      </c>
      <c r="G40" s="161">
        <f t="shared" si="57"/>
        <v>2053</v>
      </c>
      <c r="H40" s="161">
        <f t="shared" si="57"/>
        <v>2001</v>
      </c>
      <c r="I40" s="161">
        <f t="shared" si="57"/>
        <v>1330</v>
      </c>
      <c r="J40" s="161">
        <f t="shared" si="57"/>
        <v>2292</v>
      </c>
      <c r="K40" s="161">
        <f t="shared" si="57"/>
        <v>1640</v>
      </c>
      <c r="L40" s="161">
        <f t="shared" si="57"/>
        <v>1422</v>
      </c>
      <c r="M40" s="161">
        <f t="shared" si="57"/>
        <v>1285</v>
      </c>
      <c r="N40" s="161">
        <f t="shared" si="57"/>
        <v>1037</v>
      </c>
      <c r="O40" s="161">
        <f t="shared" si="57"/>
        <v>880</v>
      </c>
      <c r="P40" s="161">
        <f t="shared" si="57"/>
        <v>738</v>
      </c>
      <c r="Q40" s="161">
        <f t="shared" si="57"/>
        <v>494</v>
      </c>
      <c r="R40" s="161">
        <f t="shared" si="57"/>
        <v>2830</v>
      </c>
      <c r="S40" s="161">
        <f>SUM(S34:S39)</f>
        <v>1645</v>
      </c>
      <c r="T40" s="161">
        <f t="shared" ref="T40:Z40" si="58">SUM(T34:T39)</f>
        <v>1500</v>
      </c>
      <c r="U40" s="161">
        <f t="shared" si="58"/>
        <v>1355</v>
      </c>
      <c r="V40" s="161">
        <f t="shared" si="58"/>
        <v>1008</v>
      </c>
      <c r="W40" s="161">
        <f t="shared" si="58"/>
        <v>1365</v>
      </c>
      <c r="X40" s="161">
        <f t="shared" si="58"/>
        <v>1210.0999999999999</v>
      </c>
      <c r="Y40" s="161">
        <f t="shared" si="58"/>
        <v>1412.1</v>
      </c>
      <c r="Z40" s="161">
        <f t="shared" si="58"/>
        <v>1492.1</v>
      </c>
      <c r="AA40" s="161">
        <f t="shared" ref="AA40:BK40" si="59">SUM(AA34:AA39)</f>
        <v>2032.1</v>
      </c>
      <c r="AB40" s="161">
        <f t="shared" si="59"/>
        <v>1262.0999999999999</v>
      </c>
      <c r="AC40" s="161">
        <f t="shared" si="59"/>
        <v>1563.1</v>
      </c>
      <c r="AD40" s="161">
        <f t="shared" si="59"/>
        <v>2596.1</v>
      </c>
      <c r="AE40" s="161">
        <f t="shared" si="59"/>
        <v>1407.1</v>
      </c>
      <c r="AF40" s="161">
        <f t="shared" si="59"/>
        <v>1237.0999999999999</v>
      </c>
      <c r="AG40" s="161">
        <f t="shared" si="59"/>
        <v>1488.1</v>
      </c>
      <c r="AH40" s="161">
        <f t="shared" si="59"/>
        <v>1265.0999999999999</v>
      </c>
      <c r="AI40" s="161">
        <f t="shared" si="59"/>
        <v>2122.1</v>
      </c>
      <c r="AJ40" s="161">
        <f t="shared" si="59"/>
        <v>1482.1</v>
      </c>
      <c r="AK40" s="161">
        <f t="shared" si="59"/>
        <v>1277.0999999999999</v>
      </c>
      <c r="AL40" s="161">
        <f t="shared" si="59"/>
        <v>2858.1</v>
      </c>
      <c r="AM40" s="161">
        <f t="shared" si="59"/>
        <v>867.1</v>
      </c>
      <c r="AN40" s="161">
        <f t="shared" si="59"/>
        <v>1302.0999999999999</v>
      </c>
      <c r="AO40" s="161">
        <f t="shared" si="59"/>
        <v>932.1</v>
      </c>
      <c r="AP40" s="161">
        <f t="shared" si="59"/>
        <v>905.1</v>
      </c>
      <c r="AQ40" s="161">
        <f t="shared" si="59"/>
        <v>1031.0999999999999</v>
      </c>
      <c r="AR40" s="161">
        <f t="shared" si="59"/>
        <v>701.1</v>
      </c>
      <c r="AS40" s="161">
        <f t="shared" si="59"/>
        <v>1330.1</v>
      </c>
      <c r="AT40" s="161">
        <f t="shared" si="59"/>
        <v>1612.1</v>
      </c>
      <c r="AU40" s="161">
        <f t="shared" si="59"/>
        <v>1336.1</v>
      </c>
      <c r="AV40" s="161">
        <f t="shared" si="59"/>
        <v>1047.0999999999999</v>
      </c>
      <c r="AW40" s="161">
        <f t="shared" si="59"/>
        <v>1089.0999999999999</v>
      </c>
      <c r="AX40" s="161">
        <f t="shared" si="59"/>
        <v>1137.0999999999999</v>
      </c>
      <c r="AY40" s="161">
        <f t="shared" si="59"/>
        <v>1042.0999999999999</v>
      </c>
      <c r="AZ40" s="161">
        <f t="shared" si="59"/>
        <v>855.1</v>
      </c>
      <c r="BA40" s="161">
        <f t="shared" si="59"/>
        <v>1032.0999999999999</v>
      </c>
      <c r="BB40" s="161">
        <f t="shared" si="59"/>
        <v>9696.9999999999945</v>
      </c>
      <c r="BC40" s="161">
        <f t="shared" si="59"/>
        <v>1082.0999999999999</v>
      </c>
      <c r="BD40" s="161">
        <f t="shared" si="59"/>
        <v>772.1</v>
      </c>
      <c r="BE40" s="161">
        <f t="shared" si="59"/>
        <v>781.1</v>
      </c>
      <c r="BF40" s="161">
        <f t="shared" si="59"/>
        <v>1082.0999999999999</v>
      </c>
      <c r="BG40" s="161">
        <f t="shared" si="59"/>
        <v>1212.0999999999999</v>
      </c>
      <c r="BH40" s="161">
        <f t="shared" si="59"/>
        <v>3807.1</v>
      </c>
      <c r="BI40" s="161">
        <f t="shared" si="59"/>
        <v>998.1</v>
      </c>
      <c r="BJ40" s="161">
        <f t="shared" si="59"/>
        <v>2942.1</v>
      </c>
      <c r="BK40" s="161">
        <f t="shared" si="59"/>
        <v>862.1</v>
      </c>
      <c r="BL40" s="161">
        <f t="shared" ref="BL40:DU40" si="60">SUM(BL34:BL39)</f>
        <v>987.1</v>
      </c>
      <c r="BM40" s="161">
        <f t="shared" si="60"/>
        <v>1002.1</v>
      </c>
      <c r="BN40" s="161">
        <f t="shared" si="60"/>
        <v>882.1</v>
      </c>
      <c r="BO40" s="161">
        <f t="shared" si="60"/>
        <v>2666.1</v>
      </c>
      <c r="BP40" s="161">
        <f t="shared" si="60"/>
        <v>1187.0999999999999</v>
      </c>
      <c r="BQ40" s="161">
        <f t="shared" si="60"/>
        <v>1098.0999999999999</v>
      </c>
      <c r="BR40" s="161">
        <f t="shared" si="60"/>
        <v>992.1</v>
      </c>
      <c r="BS40" s="161">
        <f t="shared" si="60"/>
        <v>1777.1</v>
      </c>
      <c r="BT40" s="161">
        <f t="shared" si="60"/>
        <v>996.1</v>
      </c>
      <c r="BU40" s="161">
        <f t="shared" si="60"/>
        <v>12238.1</v>
      </c>
      <c r="BV40" s="161">
        <f t="shared" si="60"/>
        <v>1937.1</v>
      </c>
      <c r="BW40" s="161">
        <f t="shared" si="60"/>
        <v>1529.1</v>
      </c>
      <c r="BX40" s="161">
        <f t="shared" si="60"/>
        <v>506.1</v>
      </c>
      <c r="BY40" s="161">
        <f t="shared" si="60"/>
        <v>2224.1</v>
      </c>
      <c r="BZ40" s="161">
        <f t="shared" si="60"/>
        <v>1382.1</v>
      </c>
      <c r="CA40" s="161">
        <f t="shared" si="60"/>
        <v>1262.0999999999999</v>
      </c>
      <c r="CB40" s="161">
        <f t="shared" si="60"/>
        <v>627.1</v>
      </c>
      <c r="CC40" s="161">
        <f t="shared" si="60"/>
        <v>1429.1</v>
      </c>
      <c r="CD40" s="161">
        <f t="shared" si="60"/>
        <v>777.1</v>
      </c>
      <c r="CE40" s="161">
        <f t="shared" si="60"/>
        <v>931.1</v>
      </c>
      <c r="CF40" s="161">
        <f t="shared" si="60"/>
        <v>682.1</v>
      </c>
      <c r="CG40" s="161">
        <f t="shared" si="60"/>
        <v>2684</v>
      </c>
      <c r="CH40" s="161">
        <f t="shared" si="60"/>
        <v>1366.57</v>
      </c>
      <c r="CI40" s="161">
        <f t="shared" si="60"/>
        <v>1264.57</v>
      </c>
      <c r="CJ40" s="161">
        <f t="shared" si="60"/>
        <v>634.56999999999994</v>
      </c>
      <c r="CK40" s="161">
        <f t="shared" si="60"/>
        <v>1551.57</v>
      </c>
      <c r="CL40" s="161">
        <f t="shared" si="60"/>
        <v>1573.57</v>
      </c>
      <c r="CM40" s="161">
        <f t="shared" si="60"/>
        <v>11811.479090909092</v>
      </c>
      <c r="CN40" s="161">
        <f t="shared" si="60"/>
        <v>3473.9518181818185</v>
      </c>
      <c r="CO40" s="161">
        <f t="shared" si="60"/>
        <v>4389.5518181818179</v>
      </c>
      <c r="CP40" s="161">
        <f t="shared" si="60"/>
        <v>3255.5518181818184</v>
      </c>
      <c r="CQ40" s="161">
        <f t="shared" si="60"/>
        <v>6211.442727272728</v>
      </c>
      <c r="CR40" s="161">
        <f t="shared" si="60"/>
        <v>1376.2972727272729</v>
      </c>
      <c r="CS40" s="161">
        <f t="shared" si="60"/>
        <v>963.56999999999994</v>
      </c>
      <c r="CT40" s="161">
        <f t="shared" si="60"/>
        <v>1133.57</v>
      </c>
      <c r="CU40" s="161">
        <f t="shared" si="60"/>
        <v>1433.57</v>
      </c>
      <c r="CV40" s="161">
        <f t="shared" si="60"/>
        <v>798.56999999999994</v>
      </c>
      <c r="CW40" s="161">
        <f t="shared" si="60"/>
        <v>778.56999999999994</v>
      </c>
      <c r="CX40" s="161">
        <f t="shared" ca="1" si="60"/>
        <v>3368.57</v>
      </c>
      <c r="CY40" s="161">
        <f t="shared" si="60"/>
        <v>1803.57</v>
      </c>
      <c r="CZ40" s="161">
        <f t="shared" si="60"/>
        <v>2448.5699999999997</v>
      </c>
      <c r="DA40" s="161">
        <f t="shared" si="60"/>
        <v>1335.57</v>
      </c>
      <c r="DB40" s="161">
        <f t="shared" si="60"/>
        <v>737.56999999999994</v>
      </c>
      <c r="DC40" s="161">
        <f t="shared" si="60"/>
        <v>1263.57</v>
      </c>
      <c r="DD40" s="161">
        <f t="shared" si="60"/>
        <v>3025.5699999999997</v>
      </c>
      <c r="DE40" s="161">
        <f t="shared" si="60"/>
        <v>948.56999999999994</v>
      </c>
      <c r="DF40" s="161">
        <f t="shared" si="60"/>
        <v>1083.57</v>
      </c>
      <c r="DG40" s="161">
        <f t="shared" si="60"/>
        <v>2033.57</v>
      </c>
      <c r="DH40" s="161">
        <f t="shared" si="60"/>
        <v>3011.5699999999997</v>
      </c>
      <c r="DI40" s="161">
        <f t="shared" si="60"/>
        <v>21548.610000000004</v>
      </c>
      <c r="DJ40" s="161">
        <f t="shared" si="60"/>
        <v>1825</v>
      </c>
      <c r="DK40" s="161">
        <f t="shared" si="60"/>
        <v>959</v>
      </c>
      <c r="DL40" s="161">
        <f t="shared" si="60"/>
        <v>990</v>
      </c>
      <c r="DM40" s="161">
        <f t="shared" si="60"/>
        <v>720</v>
      </c>
      <c r="DN40" s="161">
        <f t="shared" si="60"/>
        <v>1515</v>
      </c>
      <c r="DO40" s="161">
        <f t="shared" si="60"/>
        <v>1150</v>
      </c>
      <c r="DP40" s="161">
        <f t="shared" si="60"/>
        <v>2005</v>
      </c>
      <c r="DQ40" s="161">
        <f t="shared" si="60"/>
        <v>3410</v>
      </c>
      <c r="DR40" s="161">
        <f>SUM(DR34:DR39)</f>
        <v>3630</v>
      </c>
      <c r="DS40" s="161">
        <f>SUM(DS34:DS39)</f>
        <v>1793</v>
      </c>
      <c r="DT40" s="161">
        <f>SUM(DT34:DT39)</f>
        <v>1083</v>
      </c>
      <c r="DU40" s="161">
        <f t="shared" si="60"/>
        <v>0</v>
      </c>
      <c r="DV40" s="284">
        <f>SUM(DV35:DV39)</f>
        <v>0</v>
      </c>
      <c r="DW40" s="285">
        <f>SUM(DW35:DW39)</f>
        <v>0</v>
      </c>
      <c r="DX40" s="29">
        <f t="shared" ca="1" si="44"/>
        <v>236649.85454545487</v>
      </c>
      <c r="DY40" s="6">
        <f ca="1">DX40/cashVIII!O22</f>
        <v>9378.1173248311206</v>
      </c>
      <c r="FD40" s="9" t="s">
        <v>14</v>
      </c>
      <c r="FE40" s="161">
        <f ca="1">SUM((INDIRECT(FE$9&amp;ROW()):(INDIRECT(FE$10&amp;ROW()))))</f>
        <v>0</v>
      </c>
      <c r="FF40" s="161">
        <f ca="1">SUM((INDIRECT(FF$9&amp;ROW()):(INDIRECT(FF$10&amp;ROW()))))</f>
        <v>28987</v>
      </c>
      <c r="FG40" s="161">
        <f ca="1">SUM((INDIRECT(FG$9&amp;ROW()):(INDIRECT(FG$10&amp;ROW()))))</f>
        <v>50620.999999999971</v>
      </c>
      <c r="FH40" s="161">
        <f ca="1">SUM((INDIRECT(FH$9&amp;ROW()):(INDIRECT(FH$10&amp;ROW()))))</f>
        <v>53335.999999999978</v>
      </c>
      <c r="FI40" s="161">
        <f ca="1">SUM((INDIRECT(FI$9&amp;ROW()):(INDIRECT(FI$10&amp;ROW()))))</f>
        <v>84625.854545454538</v>
      </c>
      <c r="FJ40" s="161">
        <f ca="1">SUM((INDIRECT(FJ$9&amp;ROW()):(INDIRECT(FJ$10&amp;ROW()))))</f>
        <v>19080</v>
      </c>
      <c r="FK40" s="161" t="e">
        <f ca="1">SUM((INDIRECT(FK$9&amp;ROW()):(INDIRECT(FK$10&amp;ROW()))))</f>
        <v>#REF!</v>
      </c>
      <c r="FL40" s="161" t="e">
        <f ca="1">SUM((INDIRECT(FL$9&amp;ROW()):(INDIRECT(FL$10&amp;ROW()))))</f>
        <v>#REF!</v>
      </c>
      <c r="FN40" s="161">
        <f t="shared" ca="1" si="46"/>
        <v>236649.85454545449</v>
      </c>
    </row>
    <row r="41" spans="1:170">
      <c r="A41" s="9" t="s">
        <v>96</v>
      </c>
      <c r="C41" s="9"/>
      <c r="E41" s="233">
        <f>E40-E31</f>
        <v>0</v>
      </c>
      <c r="F41" s="233">
        <f t="shared" ref="F41:AF41" si="61">F40-F31</f>
        <v>0</v>
      </c>
      <c r="G41" s="233">
        <f t="shared" si="61"/>
        <v>0</v>
      </c>
      <c r="H41" s="233">
        <f t="shared" si="61"/>
        <v>0</v>
      </c>
      <c r="I41" s="233">
        <f t="shared" si="61"/>
        <v>0</v>
      </c>
      <c r="J41" s="233">
        <f t="shared" si="61"/>
        <v>0</v>
      </c>
      <c r="K41" s="233">
        <f t="shared" si="61"/>
        <v>0</v>
      </c>
      <c r="L41" s="233">
        <f t="shared" si="61"/>
        <v>0</v>
      </c>
      <c r="M41" s="233">
        <f t="shared" si="61"/>
        <v>0</v>
      </c>
      <c r="N41" s="233">
        <f t="shared" si="61"/>
        <v>0</v>
      </c>
      <c r="O41" s="233">
        <f t="shared" si="61"/>
        <v>0</v>
      </c>
      <c r="P41" s="233">
        <f t="shared" si="61"/>
        <v>0</v>
      </c>
      <c r="Q41" s="233">
        <f t="shared" si="61"/>
        <v>0</v>
      </c>
      <c r="R41" s="233">
        <f t="shared" si="61"/>
        <v>0</v>
      </c>
      <c r="S41" s="233">
        <f t="shared" si="61"/>
        <v>0</v>
      </c>
      <c r="T41" s="233">
        <f t="shared" si="61"/>
        <v>0</v>
      </c>
      <c r="U41" s="233">
        <f t="shared" si="61"/>
        <v>0</v>
      </c>
      <c r="V41" s="233">
        <f t="shared" si="61"/>
        <v>0</v>
      </c>
      <c r="W41" s="233">
        <f t="shared" si="61"/>
        <v>0</v>
      </c>
      <c r="X41" s="233">
        <f t="shared" si="61"/>
        <v>0</v>
      </c>
      <c r="Y41" s="233">
        <f t="shared" si="61"/>
        <v>0</v>
      </c>
      <c r="Z41" s="233">
        <f t="shared" si="61"/>
        <v>0</v>
      </c>
      <c r="AA41" s="233">
        <f t="shared" si="61"/>
        <v>0</v>
      </c>
      <c r="AB41" s="233">
        <f t="shared" si="61"/>
        <v>0</v>
      </c>
      <c r="AC41" s="233">
        <f t="shared" si="61"/>
        <v>0</v>
      </c>
      <c r="AD41" s="233">
        <f t="shared" si="61"/>
        <v>0</v>
      </c>
      <c r="AE41" s="233">
        <f t="shared" si="61"/>
        <v>0</v>
      </c>
      <c r="AF41" s="233">
        <f t="shared" si="61"/>
        <v>0</v>
      </c>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Y41" s="14"/>
      <c r="FD41" s="9" t="s">
        <v>96</v>
      </c>
      <c r="FE41" s="6">
        <f ca="1">FE40/'cash IX'!$O$23</f>
        <v>0</v>
      </c>
      <c r="FF41" s="6">
        <f ca="1">FF40/'cash IX'!$O$23</f>
        <v>1143.0551763885096</v>
      </c>
      <c r="FG41" s="6">
        <f ca="1">FG40/'cash IX'!$O$23</f>
        <v>1996.1567628234284</v>
      </c>
      <c r="FH41" s="6">
        <f ca="1">FH40/'cash IX'!$O$23</f>
        <v>2103.2183698850358</v>
      </c>
      <c r="FI41" s="6">
        <f ca="1">FI40/'cash IX'!$O$23</f>
        <v>3337.0828679919587</v>
      </c>
      <c r="FJ41" s="6">
        <f ca="1">FJ40/'cash IX'!$O$23</f>
        <v>752.38875238875232</v>
      </c>
      <c r="FN41" s="28">
        <f ca="1">SUM(FE41:FJ41)</f>
        <v>9331.9019294776826</v>
      </c>
    </row>
    <row r="42" spans="1:170">
      <c r="A42" s="9"/>
      <c r="C42" s="9"/>
      <c r="F42" s="4"/>
      <c r="G42" s="4"/>
      <c r="H42" s="4"/>
      <c r="I42" s="4"/>
      <c r="J42" s="4"/>
      <c r="K42" s="4"/>
      <c r="L42" s="4"/>
      <c r="M42" s="4"/>
      <c r="N42" s="4"/>
      <c r="O42" s="4"/>
      <c r="P42" s="4"/>
      <c r="Q42" s="4"/>
      <c r="R42" s="4"/>
      <c r="S42" s="4"/>
      <c r="T42" s="4"/>
      <c r="U42" s="4"/>
      <c r="V42" s="4"/>
      <c r="W42" s="4"/>
      <c r="X42" s="4"/>
      <c r="DY42" s="14"/>
      <c r="FD42" s="9">
        <v>0</v>
      </c>
      <c r="FN42" s="464">
        <f ca="1">FN40/'cash IX'!$O$23</f>
        <v>9331.9019294776845</v>
      </c>
    </row>
    <row r="43" spans="1:170" outlineLevel="1">
      <c r="A43" s="9"/>
      <c r="C43" s="9"/>
      <c r="E43" s="2" t="str">
        <f t="shared" ref="E43:AK43" si="62">E$8</f>
        <v>Sam</v>
      </c>
      <c r="F43" s="2" t="str">
        <f t="shared" si="62"/>
        <v>Dim</v>
      </c>
      <c r="G43" s="2" t="str">
        <f t="shared" si="62"/>
        <v>Lundi</v>
      </c>
      <c r="H43" s="2" t="str">
        <f t="shared" si="62"/>
        <v>mardi</v>
      </c>
      <c r="I43" s="2" t="str">
        <f t="shared" si="62"/>
        <v>Mer</v>
      </c>
      <c r="J43" s="2" t="str">
        <f t="shared" si="62"/>
        <v>Jeu</v>
      </c>
      <c r="K43" s="2" t="str">
        <f t="shared" si="62"/>
        <v>Ven</v>
      </c>
      <c r="L43" s="2" t="str">
        <f t="shared" si="62"/>
        <v>Sam</v>
      </c>
      <c r="M43" s="2" t="str">
        <f t="shared" si="62"/>
        <v>Dim</v>
      </c>
      <c r="N43" s="2" t="str">
        <f t="shared" si="62"/>
        <v>Lundi</v>
      </c>
      <c r="O43" s="2" t="str">
        <f t="shared" si="62"/>
        <v>mardi</v>
      </c>
      <c r="P43" s="2" t="str">
        <f t="shared" si="62"/>
        <v>Mer</v>
      </c>
      <c r="Q43" s="2" t="str">
        <f t="shared" si="62"/>
        <v>Jeu</v>
      </c>
      <c r="R43" s="2" t="str">
        <f t="shared" si="62"/>
        <v>Ven</v>
      </c>
      <c r="S43" s="2" t="str">
        <f t="shared" si="62"/>
        <v>Sam</v>
      </c>
      <c r="T43" s="2" t="str">
        <f t="shared" si="62"/>
        <v>Dim</v>
      </c>
      <c r="U43" s="2" t="str">
        <f t="shared" si="62"/>
        <v>Lundi</v>
      </c>
      <c r="V43" s="2" t="str">
        <f t="shared" si="62"/>
        <v>mardi</v>
      </c>
      <c r="W43" s="2" t="str">
        <f t="shared" si="62"/>
        <v>Mer</v>
      </c>
      <c r="X43" s="2" t="str">
        <f t="shared" si="62"/>
        <v>Jeu</v>
      </c>
      <c r="Y43" s="2" t="str">
        <f t="shared" si="62"/>
        <v>Ven</v>
      </c>
      <c r="Z43" s="2" t="str">
        <f t="shared" si="62"/>
        <v>Sam</v>
      </c>
      <c r="AA43" s="2" t="str">
        <f t="shared" si="62"/>
        <v>Dim</v>
      </c>
      <c r="AB43" s="2" t="str">
        <f t="shared" si="62"/>
        <v>Lundi</v>
      </c>
      <c r="AC43" s="2" t="str">
        <f t="shared" si="62"/>
        <v>mardi</v>
      </c>
      <c r="AD43" s="2" t="str">
        <f t="shared" si="62"/>
        <v>Mer</v>
      </c>
      <c r="AE43" s="2" t="str">
        <f t="shared" si="62"/>
        <v>Jeu</v>
      </c>
      <c r="AF43" s="2" t="str">
        <f t="shared" si="62"/>
        <v>Ven</v>
      </c>
      <c r="AG43" s="2" t="str">
        <f t="shared" si="62"/>
        <v>Sam</v>
      </c>
      <c r="AH43" s="2" t="str">
        <f t="shared" si="62"/>
        <v>Dim</v>
      </c>
      <c r="AI43" s="2" t="str">
        <f t="shared" si="62"/>
        <v>Lundi</v>
      </c>
      <c r="AJ43" s="2" t="str">
        <f t="shared" si="62"/>
        <v>mardi</v>
      </c>
      <c r="AK43" s="2" t="str">
        <f t="shared" si="62"/>
        <v>Mer</v>
      </c>
      <c r="AL43" s="2" t="str">
        <f t="shared" ref="AL43:BC43" si="63">AL$8</f>
        <v>Jeu</v>
      </c>
      <c r="AM43" s="2" t="str">
        <f t="shared" si="63"/>
        <v>Ven</v>
      </c>
      <c r="AN43" s="2" t="str">
        <f t="shared" si="63"/>
        <v>Sam</v>
      </c>
      <c r="AO43" s="2" t="str">
        <f t="shared" si="63"/>
        <v>Dim</v>
      </c>
      <c r="AP43" s="2" t="str">
        <f t="shared" si="63"/>
        <v>Lundi</v>
      </c>
      <c r="AQ43" s="2" t="str">
        <f t="shared" si="63"/>
        <v>mardi</v>
      </c>
      <c r="AR43" s="2" t="str">
        <f t="shared" si="63"/>
        <v>Mer</v>
      </c>
      <c r="AS43" s="2" t="str">
        <f t="shared" si="63"/>
        <v>Jeu</v>
      </c>
      <c r="AT43" s="2" t="str">
        <f t="shared" si="63"/>
        <v>Ven</v>
      </c>
      <c r="AU43" s="2" t="str">
        <f t="shared" si="63"/>
        <v>Sam</v>
      </c>
      <c r="AV43" s="2" t="str">
        <f t="shared" si="63"/>
        <v>Dim</v>
      </c>
      <c r="AW43" s="2" t="str">
        <f t="shared" si="63"/>
        <v>Lundi</v>
      </c>
      <c r="AX43" s="2" t="str">
        <f t="shared" si="63"/>
        <v>mardi</v>
      </c>
      <c r="AY43" s="2" t="str">
        <f t="shared" si="63"/>
        <v>Mer</v>
      </c>
      <c r="AZ43" s="2" t="str">
        <f t="shared" si="63"/>
        <v>Jeu</v>
      </c>
      <c r="BA43" s="2" t="str">
        <f t="shared" si="63"/>
        <v>Ven</v>
      </c>
      <c r="BB43" s="2" t="str">
        <f t="shared" si="63"/>
        <v>Sam</v>
      </c>
      <c r="BC43" s="2" t="str">
        <f t="shared" si="63"/>
        <v>Dim</v>
      </c>
      <c r="DX43" s="4" t="s">
        <v>9</v>
      </c>
      <c r="DY43" s="14"/>
      <c r="FD43" s="9">
        <v>0</v>
      </c>
    </row>
    <row r="44" spans="1:170" outlineLevel="1">
      <c r="C44" s="9"/>
      <c r="E44" s="39">
        <f t="shared" ref="E44:AK44" si="64">E$9</f>
        <v>44877</v>
      </c>
      <c r="F44" s="39">
        <f t="shared" si="64"/>
        <v>44878</v>
      </c>
      <c r="G44" s="39">
        <f t="shared" si="64"/>
        <v>44879</v>
      </c>
      <c r="H44" s="39">
        <f t="shared" si="64"/>
        <v>44880</v>
      </c>
      <c r="I44" s="39">
        <f t="shared" si="64"/>
        <v>44881</v>
      </c>
      <c r="J44" s="39">
        <f t="shared" si="64"/>
        <v>44882</v>
      </c>
      <c r="K44" s="39">
        <f t="shared" si="64"/>
        <v>44883</v>
      </c>
      <c r="L44" s="39">
        <f t="shared" si="64"/>
        <v>44884</v>
      </c>
      <c r="M44" s="39">
        <f t="shared" si="64"/>
        <v>44885</v>
      </c>
      <c r="N44" s="39">
        <f t="shared" si="64"/>
        <v>44886</v>
      </c>
      <c r="O44" s="39">
        <f t="shared" si="64"/>
        <v>44887</v>
      </c>
      <c r="P44" s="39">
        <f t="shared" si="64"/>
        <v>44888</v>
      </c>
      <c r="Q44" s="39">
        <f t="shared" si="64"/>
        <v>44889</v>
      </c>
      <c r="R44" s="39">
        <f t="shared" si="64"/>
        <v>44890</v>
      </c>
      <c r="S44" s="39">
        <f t="shared" si="64"/>
        <v>44891</v>
      </c>
      <c r="T44" s="39">
        <f t="shared" si="64"/>
        <v>44892</v>
      </c>
      <c r="U44" s="39">
        <f t="shared" si="64"/>
        <v>44893</v>
      </c>
      <c r="V44" s="39">
        <f t="shared" si="64"/>
        <v>44894</v>
      </c>
      <c r="W44" s="39">
        <f t="shared" si="64"/>
        <v>44895</v>
      </c>
      <c r="X44" s="39">
        <f t="shared" si="64"/>
        <v>44896</v>
      </c>
      <c r="Y44" s="39">
        <f t="shared" si="64"/>
        <v>44897</v>
      </c>
      <c r="Z44" s="39">
        <f t="shared" si="64"/>
        <v>44898</v>
      </c>
      <c r="AA44" s="39">
        <f t="shared" si="64"/>
        <v>44899</v>
      </c>
      <c r="AB44" s="39">
        <f t="shared" si="64"/>
        <v>44900</v>
      </c>
      <c r="AC44" s="39">
        <f t="shared" si="64"/>
        <v>44901</v>
      </c>
      <c r="AD44" s="39">
        <f t="shared" si="64"/>
        <v>44902</v>
      </c>
      <c r="AE44" s="39">
        <f t="shared" si="64"/>
        <v>44903</v>
      </c>
      <c r="AF44" s="39">
        <f t="shared" si="64"/>
        <v>44904</v>
      </c>
      <c r="AG44" s="39">
        <f t="shared" si="64"/>
        <v>44905</v>
      </c>
      <c r="AH44" s="39">
        <f t="shared" si="64"/>
        <v>44906</v>
      </c>
      <c r="AI44" s="39">
        <f t="shared" si="64"/>
        <v>44907</v>
      </c>
      <c r="AJ44" s="39">
        <f t="shared" si="64"/>
        <v>44908</v>
      </c>
      <c r="AK44" s="39">
        <f t="shared" si="64"/>
        <v>44909</v>
      </c>
      <c r="AL44" s="39">
        <f t="shared" ref="AL44:BC44" si="65">AL$9</f>
        <v>44910</v>
      </c>
      <c r="AM44" s="39">
        <f t="shared" si="65"/>
        <v>44911</v>
      </c>
      <c r="AN44" s="39">
        <f t="shared" si="65"/>
        <v>44912</v>
      </c>
      <c r="AO44" s="39">
        <f t="shared" si="65"/>
        <v>44913</v>
      </c>
      <c r="AP44" s="39">
        <f t="shared" si="65"/>
        <v>44914</v>
      </c>
      <c r="AQ44" s="39">
        <f t="shared" si="65"/>
        <v>44915</v>
      </c>
      <c r="AR44" s="39">
        <f t="shared" si="65"/>
        <v>44916</v>
      </c>
      <c r="AS44" s="39">
        <f t="shared" si="65"/>
        <v>44917</v>
      </c>
      <c r="AT44" s="39">
        <f t="shared" si="65"/>
        <v>44918</v>
      </c>
      <c r="AU44" s="39">
        <f t="shared" si="65"/>
        <v>44919</v>
      </c>
      <c r="AV44" s="39">
        <f t="shared" si="65"/>
        <v>44920</v>
      </c>
      <c r="AW44" s="39">
        <f t="shared" si="65"/>
        <v>44921</v>
      </c>
      <c r="AX44" s="39">
        <f t="shared" si="65"/>
        <v>44922</v>
      </c>
      <c r="AY44" s="39">
        <f t="shared" si="65"/>
        <v>44923</v>
      </c>
      <c r="AZ44" s="39">
        <f t="shared" si="65"/>
        <v>44924</v>
      </c>
      <c r="BA44" s="39">
        <f t="shared" si="65"/>
        <v>44925</v>
      </c>
      <c r="BB44" s="39">
        <f t="shared" si="65"/>
        <v>44926</v>
      </c>
      <c r="BC44" s="39">
        <f t="shared" si="65"/>
        <v>44927</v>
      </c>
      <c r="BD44" s="2" t="str">
        <f t="shared" ref="BD44:DU44" si="66">BD$8</f>
        <v>Lundi</v>
      </c>
      <c r="BE44" s="2" t="str">
        <f t="shared" si="66"/>
        <v>mardi</v>
      </c>
      <c r="BF44" s="2" t="str">
        <f t="shared" si="66"/>
        <v>Mer</v>
      </c>
      <c r="BG44" s="2" t="str">
        <f t="shared" si="66"/>
        <v>Jeu</v>
      </c>
      <c r="BH44" s="2" t="str">
        <f t="shared" si="66"/>
        <v>Ven</v>
      </c>
      <c r="BI44" s="2" t="str">
        <f t="shared" si="66"/>
        <v>Sam</v>
      </c>
      <c r="BJ44" s="2" t="str">
        <f t="shared" si="66"/>
        <v>Dim</v>
      </c>
      <c r="BK44" s="2" t="str">
        <f t="shared" si="66"/>
        <v>Lundi</v>
      </c>
      <c r="BL44" s="2" t="str">
        <f t="shared" si="66"/>
        <v>mardi</v>
      </c>
      <c r="BM44" s="2" t="str">
        <f t="shared" si="66"/>
        <v>Mer</v>
      </c>
      <c r="BN44" s="2" t="str">
        <f t="shared" si="66"/>
        <v>Jeu</v>
      </c>
      <c r="BO44" s="2" t="str">
        <f t="shared" si="66"/>
        <v>Ven</v>
      </c>
      <c r="BP44" s="2" t="str">
        <f t="shared" si="66"/>
        <v>Sam</v>
      </c>
      <c r="BQ44" s="2" t="str">
        <f t="shared" si="66"/>
        <v>Dim</v>
      </c>
      <c r="BR44" s="2" t="str">
        <f t="shared" si="66"/>
        <v>Lundi</v>
      </c>
      <c r="BS44" s="2" t="str">
        <f t="shared" si="66"/>
        <v>mardi</v>
      </c>
      <c r="BT44" s="2" t="str">
        <f t="shared" si="66"/>
        <v>Mer</v>
      </c>
      <c r="BU44" s="2" t="str">
        <f t="shared" si="66"/>
        <v>Jeu</v>
      </c>
      <c r="BV44" s="2" t="str">
        <f t="shared" si="66"/>
        <v>Ven</v>
      </c>
      <c r="BW44" s="2" t="str">
        <f t="shared" si="66"/>
        <v>Sam</v>
      </c>
      <c r="BX44" s="2" t="str">
        <f t="shared" si="66"/>
        <v>Dim</v>
      </c>
      <c r="BY44" s="2" t="str">
        <f t="shared" si="66"/>
        <v>Lundi</v>
      </c>
      <c r="BZ44" s="2" t="str">
        <f t="shared" si="66"/>
        <v>mardi</v>
      </c>
      <c r="CA44" s="2" t="str">
        <f t="shared" si="66"/>
        <v>Mer</v>
      </c>
      <c r="CB44" s="2" t="str">
        <f t="shared" si="66"/>
        <v>Jeu</v>
      </c>
      <c r="CC44" s="2" t="str">
        <f t="shared" si="66"/>
        <v>Ven</v>
      </c>
      <c r="CD44" s="2" t="str">
        <f t="shared" si="66"/>
        <v>Sam</v>
      </c>
      <c r="CE44" s="2" t="str">
        <f t="shared" si="66"/>
        <v>Dim</v>
      </c>
      <c r="CF44" s="2" t="str">
        <f t="shared" si="66"/>
        <v>Lundi</v>
      </c>
      <c r="CG44" s="2" t="str">
        <f t="shared" si="66"/>
        <v>mardi</v>
      </c>
      <c r="CH44" s="2" t="str">
        <f t="shared" si="66"/>
        <v>Mer</v>
      </c>
      <c r="CI44" s="2" t="str">
        <f t="shared" si="66"/>
        <v>Jeu</v>
      </c>
      <c r="CJ44" s="2" t="str">
        <f t="shared" si="66"/>
        <v>Ven</v>
      </c>
      <c r="CK44" s="2" t="str">
        <f t="shared" si="66"/>
        <v>Sam</v>
      </c>
      <c r="CL44" s="2" t="str">
        <f t="shared" si="66"/>
        <v>Dim</v>
      </c>
      <c r="CM44" s="2" t="str">
        <f t="shared" si="66"/>
        <v>Lundi</v>
      </c>
      <c r="CN44" s="2" t="str">
        <f t="shared" si="66"/>
        <v>mardi</v>
      </c>
      <c r="CO44" s="2" t="str">
        <f t="shared" si="66"/>
        <v>Mer</v>
      </c>
      <c r="CP44" s="2" t="str">
        <f t="shared" si="66"/>
        <v>Jeu</v>
      </c>
      <c r="CQ44" s="2" t="str">
        <f t="shared" si="66"/>
        <v>Ven</v>
      </c>
      <c r="CR44" s="2" t="str">
        <f t="shared" si="66"/>
        <v>Sam</v>
      </c>
      <c r="CS44" s="2" t="str">
        <f t="shared" si="66"/>
        <v>Dim</v>
      </c>
      <c r="CT44" s="2" t="str">
        <f t="shared" si="66"/>
        <v>Lundi</v>
      </c>
      <c r="CU44" s="2" t="str">
        <f t="shared" si="66"/>
        <v>mardi</v>
      </c>
      <c r="CV44" s="2" t="str">
        <f t="shared" si="66"/>
        <v>Mer</v>
      </c>
      <c r="CW44" s="2" t="str">
        <f t="shared" si="66"/>
        <v>Jeu</v>
      </c>
      <c r="CX44" s="2" t="str">
        <f t="shared" si="66"/>
        <v>Ven</v>
      </c>
      <c r="CY44" s="2" t="str">
        <f t="shared" si="66"/>
        <v>Sam</v>
      </c>
      <c r="CZ44" s="2" t="str">
        <f t="shared" si="66"/>
        <v>Dim</v>
      </c>
      <c r="DA44" s="2" t="str">
        <f t="shared" si="66"/>
        <v>Lundi</v>
      </c>
      <c r="DB44" s="2" t="str">
        <f t="shared" si="66"/>
        <v>mardi</v>
      </c>
      <c r="DC44" s="2" t="str">
        <f t="shared" si="66"/>
        <v>Mer</v>
      </c>
      <c r="DD44" s="2" t="str">
        <f t="shared" si="66"/>
        <v>Jeu</v>
      </c>
      <c r="DE44" s="2" t="str">
        <f t="shared" si="66"/>
        <v>Ven</v>
      </c>
      <c r="DF44" s="2" t="str">
        <f t="shared" si="66"/>
        <v>Sam</v>
      </c>
      <c r="DG44" s="2" t="str">
        <f t="shared" si="66"/>
        <v>Dim</v>
      </c>
      <c r="DH44" s="2" t="str">
        <f t="shared" si="66"/>
        <v>Lundi</v>
      </c>
      <c r="DI44" s="2" t="str">
        <f t="shared" si="66"/>
        <v>mardi</v>
      </c>
      <c r="DJ44" s="2" t="str">
        <f t="shared" si="66"/>
        <v>Mer</v>
      </c>
      <c r="DK44" s="2" t="str">
        <f t="shared" si="66"/>
        <v>Jeu</v>
      </c>
      <c r="DL44" s="2" t="str">
        <f t="shared" si="66"/>
        <v>Ven</v>
      </c>
      <c r="DM44" s="2" t="str">
        <f t="shared" si="66"/>
        <v>Sam</v>
      </c>
      <c r="DN44" s="2" t="str">
        <f t="shared" si="66"/>
        <v>Dim</v>
      </c>
      <c r="DO44" s="2" t="str">
        <f t="shared" si="66"/>
        <v>Lundi</v>
      </c>
      <c r="DP44" s="2" t="str">
        <f t="shared" si="66"/>
        <v>mardi</v>
      </c>
      <c r="DQ44" s="2" t="str">
        <f t="shared" si="66"/>
        <v>Mer</v>
      </c>
      <c r="DR44" s="2" t="str">
        <f t="shared" si="66"/>
        <v>Jeu</v>
      </c>
      <c r="DS44" s="2" t="str">
        <f t="shared" si="66"/>
        <v>Ven</v>
      </c>
      <c r="DT44" s="2" t="str">
        <f t="shared" si="66"/>
        <v>Sam</v>
      </c>
      <c r="DU44" s="2" t="str">
        <f t="shared" si="66"/>
        <v>Dim</v>
      </c>
      <c r="DV44" s="11">
        <f>DV$8</f>
        <v>0</v>
      </c>
      <c r="DW44" s="177">
        <f>DW$8</f>
        <v>0</v>
      </c>
      <c r="DY44" s="14"/>
      <c r="FD44" s="9">
        <v>0</v>
      </c>
    </row>
    <row r="45" spans="1:170" outlineLevel="1">
      <c r="E45" s="2" t="str">
        <f t="shared" ref="E45:AK45" si="67">E$10</f>
        <v>BDX</v>
      </c>
      <c r="F45" s="2" t="str">
        <f t="shared" si="67"/>
        <v>Hanoi</v>
      </c>
      <c r="G45" s="2" t="str">
        <f t="shared" si="67"/>
        <v>Hanoi</v>
      </c>
      <c r="H45" s="2" t="str">
        <f t="shared" si="67"/>
        <v>Hanoi</v>
      </c>
      <c r="I45" s="2" t="str">
        <f t="shared" si="67"/>
        <v>Hanoi</v>
      </c>
      <c r="J45" s="2" t="str">
        <f t="shared" si="67"/>
        <v>Hanoi</v>
      </c>
      <c r="K45" s="2" t="str">
        <f t="shared" si="67"/>
        <v>Hanoi</v>
      </c>
      <c r="L45" s="2" t="str">
        <f t="shared" si="67"/>
        <v>Hanoi</v>
      </c>
      <c r="M45" s="2" t="str">
        <f t="shared" si="67"/>
        <v>Hanoi</v>
      </c>
      <c r="N45" s="2" t="str">
        <f t="shared" si="67"/>
        <v>Hanoi</v>
      </c>
      <c r="O45" s="2" t="str">
        <f t="shared" si="67"/>
        <v>Hanoi</v>
      </c>
      <c r="P45" s="2" t="str">
        <f t="shared" si="67"/>
        <v>Hanoi</v>
      </c>
      <c r="Q45" s="2" t="str">
        <f t="shared" si="67"/>
        <v>Hanoi</v>
      </c>
      <c r="R45" s="2" t="str">
        <f t="shared" si="67"/>
        <v>Ha Giang</v>
      </c>
      <c r="S45" s="2" t="str">
        <f t="shared" si="67"/>
        <v>Ha Giang</v>
      </c>
      <c r="T45" s="2" t="str">
        <f t="shared" si="67"/>
        <v>Hanoi</v>
      </c>
      <c r="U45" s="2" t="str">
        <f t="shared" si="67"/>
        <v>Hanoi</v>
      </c>
      <c r="V45" s="2" t="str">
        <f t="shared" si="67"/>
        <v>Hanoi</v>
      </c>
      <c r="W45" s="2" t="str">
        <f t="shared" si="67"/>
        <v>Hanoi</v>
      </c>
      <c r="X45" s="2" t="str">
        <f t="shared" si="67"/>
        <v>Hanoi</v>
      </c>
      <c r="Y45" s="2" t="str">
        <f t="shared" si="67"/>
        <v>Hanoi</v>
      </c>
      <c r="Z45" s="2" t="str">
        <f t="shared" si="67"/>
        <v>HaiPhong</v>
      </c>
      <c r="AA45" s="2" t="str">
        <f t="shared" si="67"/>
        <v>HaiPhong</v>
      </c>
      <c r="AB45" s="2" t="str">
        <f t="shared" si="67"/>
        <v>Hanoi</v>
      </c>
      <c r="AC45" s="2" t="str">
        <f t="shared" si="67"/>
        <v>Hanoi</v>
      </c>
      <c r="AD45" s="2" t="str">
        <f t="shared" si="67"/>
        <v>Thai Nguyen</v>
      </c>
      <c r="AE45" s="2" t="str">
        <f t="shared" si="67"/>
        <v>Hanoi</v>
      </c>
      <c r="AF45" s="2" t="str">
        <f t="shared" si="67"/>
        <v>Hanoi</v>
      </c>
      <c r="AG45" s="2" t="str">
        <f t="shared" si="67"/>
        <v>Hanoi</v>
      </c>
      <c r="AH45" s="2" t="str">
        <f t="shared" si="67"/>
        <v>Hanoi</v>
      </c>
      <c r="AI45" s="2" t="str">
        <f t="shared" si="67"/>
        <v>Hanoi</v>
      </c>
      <c r="AJ45" s="2" t="str">
        <f t="shared" si="67"/>
        <v>Hanoi</v>
      </c>
      <c r="AK45" s="2" t="str">
        <f t="shared" si="67"/>
        <v>Hanoi</v>
      </c>
      <c r="AL45" s="2" t="str">
        <f>AL$10</f>
        <v>Hanoi</v>
      </c>
      <c r="AM45" s="2" t="str">
        <f t="shared" ref="AM45:BC45" si="68">AM$10</f>
        <v>Hanoi</v>
      </c>
      <c r="AN45" s="2" t="str">
        <f t="shared" si="68"/>
        <v>Hanoi</v>
      </c>
      <c r="AO45" s="2" t="str">
        <f t="shared" si="68"/>
        <v>Hanoi</v>
      </c>
      <c r="AP45" s="2" t="str">
        <f t="shared" si="68"/>
        <v>Hanoi</v>
      </c>
      <c r="AQ45" s="2" t="str">
        <f t="shared" si="68"/>
        <v>Hanoi</v>
      </c>
      <c r="AR45" s="2" t="str">
        <f t="shared" si="68"/>
        <v>Hanoi</v>
      </c>
      <c r="AS45" s="2" t="str">
        <f t="shared" si="68"/>
        <v>BacNinh</v>
      </c>
      <c r="AT45" s="2" t="str">
        <f t="shared" si="68"/>
        <v>Hanoi</v>
      </c>
      <c r="AU45" s="2" t="str">
        <f t="shared" si="68"/>
        <v>Hanoi</v>
      </c>
      <c r="AV45" s="2" t="str">
        <f t="shared" si="68"/>
        <v>Hanoi</v>
      </c>
      <c r="AW45" s="2" t="str">
        <f t="shared" si="68"/>
        <v>Hanoi</v>
      </c>
      <c r="AX45" s="2" t="str">
        <f t="shared" si="68"/>
        <v>Hanoi</v>
      </c>
      <c r="AY45" s="2" t="str">
        <f t="shared" si="68"/>
        <v>Hanoi</v>
      </c>
      <c r="AZ45" s="2" t="str">
        <f t="shared" si="68"/>
        <v>Hanoi</v>
      </c>
      <c r="BA45" s="2" t="str">
        <f t="shared" si="68"/>
        <v>Hanoi</v>
      </c>
      <c r="BB45" s="2" t="str">
        <f t="shared" si="68"/>
        <v>Hanoi</v>
      </c>
      <c r="BC45" s="2" t="str">
        <f t="shared" si="68"/>
        <v>Hanoi</v>
      </c>
      <c r="BD45" s="39">
        <f t="shared" ref="BD45:DU45" si="69">BD$9</f>
        <v>44928</v>
      </c>
      <c r="BE45" s="39">
        <f t="shared" si="69"/>
        <v>44929</v>
      </c>
      <c r="BF45" s="39">
        <f t="shared" si="69"/>
        <v>44930</v>
      </c>
      <c r="BG45" s="39">
        <f t="shared" si="69"/>
        <v>44931</v>
      </c>
      <c r="BH45" s="39">
        <f t="shared" si="69"/>
        <v>44932</v>
      </c>
      <c r="BI45" s="39">
        <f t="shared" si="69"/>
        <v>44933</v>
      </c>
      <c r="BJ45" s="39">
        <f t="shared" si="69"/>
        <v>44934</v>
      </c>
      <c r="BK45" s="39">
        <f t="shared" si="69"/>
        <v>44935</v>
      </c>
      <c r="BL45" s="39">
        <f t="shared" si="69"/>
        <v>44936</v>
      </c>
      <c r="BM45" s="39">
        <f t="shared" si="69"/>
        <v>44937</v>
      </c>
      <c r="BN45" s="39">
        <f t="shared" si="69"/>
        <v>44938</v>
      </c>
      <c r="BO45" s="39">
        <f t="shared" si="69"/>
        <v>44939</v>
      </c>
      <c r="BP45" s="39">
        <f t="shared" si="69"/>
        <v>44940</v>
      </c>
      <c r="BQ45" s="39">
        <f t="shared" si="69"/>
        <v>44941</v>
      </c>
      <c r="BR45" s="39">
        <f t="shared" si="69"/>
        <v>44942</v>
      </c>
      <c r="BS45" s="39">
        <f t="shared" si="69"/>
        <v>44943</v>
      </c>
      <c r="BT45" s="39">
        <f t="shared" si="69"/>
        <v>44944</v>
      </c>
      <c r="BU45" s="39">
        <f t="shared" si="69"/>
        <v>44945</v>
      </c>
      <c r="BV45" s="39">
        <f t="shared" si="69"/>
        <v>44946</v>
      </c>
      <c r="BW45" s="39">
        <f t="shared" si="69"/>
        <v>44947</v>
      </c>
      <c r="BX45" s="39">
        <f t="shared" si="69"/>
        <v>44948</v>
      </c>
      <c r="BY45" s="39">
        <f t="shared" si="69"/>
        <v>44949</v>
      </c>
      <c r="BZ45" s="39">
        <f t="shared" si="69"/>
        <v>44950</v>
      </c>
      <c r="CA45" s="39">
        <f t="shared" si="69"/>
        <v>44951</v>
      </c>
      <c r="CB45" s="39">
        <f t="shared" si="69"/>
        <v>44952</v>
      </c>
      <c r="CC45" s="39">
        <f t="shared" si="69"/>
        <v>44953</v>
      </c>
      <c r="CD45" s="39">
        <f t="shared" si="69"/>
        <v>44954</v>
      </c>
      <c r="CE45" s="39">
        <f t="shared" si="69"/>
        <v>44955</v>
      </c>
      <c r="CF45" s="39">
        <f t="shared" si="69"/>
        <v>44956</v>
      </c>
      <c r="CG45" s="39">
        <f t="shared" si="69"/>
        <v>44957</v>
      </c>
      <c r="CH45" s="39">
        <f t="shared" si="69"/>
        <v>44958</v>
      </c>
      <c r="CI45" s="39">
        <f t="shared" si="69"/>
        <v>44959</v>
      </c>
      <c r="CJ45" s="39">
        <f t="shared" si="69"/>
        <v>44960</v>
      </c>
      <c r="CK45" s="39">
        <f t="shared" si="69"/>
        <v>44961</v>
      </c>
      <c r="CL45" s="39">
        <f t="shared" si="69"/>
        <v>44962</v>
      </c>
      <c r="CM45" s="39">
        <f t="shared" si="69"/>
        <v>44963</v>
      </c>
      <c r="CN45" s="39">
        <f t="shared" si="69"/>
        <v>44964</v>
      </c>
      <c r="CO45" s="39">
        <f t="shared" si="69"/>
        <v>44965</v>
      </c>
      <c r="CP45" s="39">
        <f t="shared" si="69"/>
        <v>44966</v>
      </c>
      <c r="CQ45" s="39">
        <f t="shared" si="69"/>
        <v>44967</v>
      </c>
      <c r="CR45" s="39">
        <f t="shared" si="69"/>
        <v>44968</v>
      </c>
      <c r="CS45" s="39">
        <f t="shared" si="69"/>
        <v>44969</v>
      </c>
      <c r="CT45" s="39">
        <f t="shared" si="69"/>
        <v>44970</v>
      </c>
      <c r="CU45" s="39">
        <f t="shared" si="69"/>
        <v>44971</v>
      </c>
      <c r="CV45" s="39">
        <f t="shared" si="69"/>
        <v>44972</v>
      </c>
      <c r="CW45" s="39">
        <f t="shared" si="69"/>
        <v>44973</v>
      </c>
      <c r="CX45" s="39">
        <f t="shared" si="69"/>
        <v>44974</v>
      </c>
      <c r="CY45" s="39">
        <f t="shared" si="69"/>
        <v>44975</v>
      </c>
      <c r="CZ45" s="39">
        <f t="shared" si="69"/>
        <v>44976</v>
      </c>
      <c r="DA45" s="39">
        <f t="shared" si="69"/>
        <v>44977</v>
      </c>
      <c r="DB45" s="39">
        <f t="shared" si="69"/>
        <v>44978</v>
      </c>
      <c r="DC45" s="39">
        <f t="shared" si="69"/>
        <v>44979</v>
      </c>
      <c r="DD45" s="39">
        <f t="shared" si="69"/>
        <v>44980</v>
      </c>
      <c r="DE45" s="39">
        <f t="shared" si="69"/>
        <v>44981</v>
      </c>
      <c r="DF45" s="39">
        <f t="shared" si="69"/>
        <v>44982</v>
      </c>
      <c r="DG45" s="39">
        <f t="shared" si="69"/>
        <v>44983</v>
      </c>
      <c r="DH45" s="39">
        <f t="shared" si="69"/>
        <v>44984</v>
      </c>
      <c r="DI45" s="39">
        <f t="shared" si="69"/>
        <v>44985</v>
      </c>
      <c r="DJ45" s="39">
        <f t="shared" si="69"/>
        <v>44986</v>
      </c>
      <c r="DK45" s="39">
        <f t="shared" si="69"/>
        <v>44987</v>
      </c>
      <c r="DL45" s="39">
        <f t="shared" si="69"/>
        <v>44988</v>
      </c>
      <c r="DM45" s="39">
        <f t="shared" si="69"/>
        <v>44989</v>
      </c>
      <c r="DN45" s="39">
        <f t="shared" si="69"/>
        <v>44990</v>
      </c>
      <c r="DO45" s="39">
        <f t="shared" si="69"/>
        <v>44991</v>
      </c>
      <c r="DP45" s="39">
        <f t="shared" si="69"/>
        <v>44992</v>
      </c>
      <c r="DQ45" s="39">
        <f t="shared" si="69"/>
        <v>44993</v>
      </c>
      <c r="DR45" s="39">
        <f t="shared" si="69"/>
        <v>44994</v>
      </c>
      <c r="DS45" s="39">
        <f t="shared" si="69"/>
        <v>44995</v>
      </c>
      <c r="DT45" s="39">
        <f t="shared" si="69"/>
        <v>44996</v>
      </c>
      <c r="DU45" s="39">
        <f t="shared" si="69"/>
        <v>44997</v>
      </c>
      <c r="DV45" s="197">
        <f>DV$9</f>
        <v>0</v>
      </c>
      <c r="DW45" s="183">
        <f>DW$9</f>
        <v>0</v>
      </c>
      <c r="FD45">
        <v>0</v>
      </c>
    </row>
    <row r="46" spans="1:170" ht="15" outlineLevel="1" thickBot="1">
      <c r="C46" s="9" t="s">
        <v>33</v>
      </c>
      <c r="D46" s="2">
        <f>D$7</f>
        <v>0</v>
      </c>
      <c r="F46" s="2">
        <f>F$7</f>
        <v>1</v>
      </c>
      <c r="G46" s="2">
        <f t="shared" ref="G46:DW46" si="70">G$7</f>
        <v>2</v>
      </c>
      <c r="H46" s="2">
        <f t="shared" si="70"/>
        <v>3</v>
      </c>
      <c r="I46" s="2">
        <f t="shared" si="70"/>
        <v>4</v>
      </c>
      <c r="J46" s="2">
        <f t="shared" si="70"/>
        <v>5</v>
      </c>
      <c r="K46" s="2">
        <f t="shared" si="70"/>
        <v>6</v>
      </c>
      <c r="L46" s="2">
        <f t="shared" si="70"/>
        <v>7</v>
      </c>
      <c r="M46" s="2">
        <f t="shared" si="70"/>
        <v>8</v>
      </c>
      <c r="N46" s="2">
        <f t="shared" si="70"/>
        <v>9</v>
      </c>
      <c r="O46" s="2">
        <f t="shared" si="70"/>
        <v>10</v>
      </c>
      <c r="P46" s="2">
        <f t="shared" si="70"/>
        <v>11</v>
      </c>
      <c r="Q46" s="2">
        <f t="shared" si="70"/>
        <v>12</v>
      </c>
      <c r="R46" s="2">
        <f t="shared" si="70"/>
        <v>13</v>
      </c>
      <c r="S46" s="2">
        <f t="shared" si="70"/>
        <v>14</v>
      </c>
      <c r="T46" s="2">
        <f t="shared" si="70"/>
        <v>15</v>
      </c>
      <c r="U46" s="2">
        <f t="shared" si="70"/>
        <v>16</v>
      </c>
      <c r="V46" s="2">
        <f t="shared" si="70"/>
        <v>17</v>
      </c>
      <c r="W46" s="2">
        <f t="shared" si="70"/>
        <v>18</v>
      </c>
      <c r="X46" s="2">
        <f t="shared" si="70"/>
        <v>19</v>
      </c>
      <c r="Y46" s="2">
        <f t="shared" si="70"/>
        <v>20</v>
      </c>
      <c r="Z46" s="2">
        <f t="shared" si="70"/>
        <v>21</v>
      </c>
      <c r="AA46" s="2">
        <f t="shared" si="70"/>
        <v>22</v>
      </c>
      <c r="AB46" s="2">
        <f t="shared" si="70"/>
        <v>23</v>
      </c>
      <c r="AC46" s="2">
        <f t="shared" si="70"/>
        <v>24</v>
      </c>
      <c r="AD46" s="2">
        <f t="shared" si="70"/>
        <v>25</v>
      </c>
      <c r="AE46" s="2">
        <f t="shared" si="70"/>
        <v>26</v>
      </c>
      <c r="AF46" s="2">
        <f t="shared" si="70"/>
        <v>27</v>
      </c>
      <c r="AG46" s="2">
        <f t="shared" si="70"/>
        <v>28</v>
      </c>
      <c r="AH46" s="2">
        <f t="shared" si="70"/>
        <v>29</v>
      </c>
      <c r="AI46" s="2">
        <f t="shared" si="70"/>
        <v>30</v>
      </c>
      <c r="AJ46" s="2">
        <f t="shared" si="70"/>
        <v>31</v>
      </c>
      <c r="AK46" s="2">
        <f t="shared" si="70"/>
        <v>32</v>
      </c>
      <c r="AL46" s="2">
        <f t="shared" si="70"/>
        <v>33</v>
      </c>
      <c r="AM46" s="2">
        <f t="shared" si="70"/>
        <v>34</v>
      </c>
      <c r="AN46" s="2">
        <f t="shared" si="70"/>
        <v>35</v>
      </c>
      <c r="AO46" s="2">
        <f t="shared" si="70"/>
        <v>36</v>
      </c>
      <c r="AP46" s="2">
        <f t="shared" si="70"/>
        <v>37</v>
      </c>
      <c r="AQ46" s="2">
        <f t="shared" si="70"/>
        <v>38</v>
      </c>
      <c r="AR46" s="2">
        <f t="shared" si="70"/>
        <v>39</v>
      </c>
      <c r="AS46" s="2">
        <f t="shared" si="70"/>
        <v>40</v>
      </c>
      <c r="AT46" s="2">
        <f t="shared" si="70"/>
        <v>41</v>
      </c>
      <c r="AU46" s="2">
        <f t="shared" si="70"/>
        <v>42</v>
      </c>
      <c r="AV46" s="2">
        <f t="shared" si="70"/>
        <v>43</v>
      </c>
      <c r="AW46" s="2">
        <f t="shared" si="70"/>
        <v>44</v>
      </c>
      <c r="AX46" s="2">
        <f t="shared" si="70"/>
        <v>45</v>
      </c>
      <c r="AY46" s="2">
        <f t="shared" si="70"/>
        <v>46</v>
      </c>
      <c r="AZ46" s="2">
        <f t="shared" si="70"/>
        <v>47</v>
      </c>
      <c r="BA46" s="2">
        <f t="shared" si="70"/>
        <v>48</v>
      </c>
      <c r="BB46" s="2">
        <f t="shared" si="70"/>
        <v>49</v>
      </c>
      <c r="BC46" s="2">
        <f t="shared" si="70"/>
        <v>50</v>
      </c>
      <c r="BD46" s="2">
        <f t="shared" si="70"/>
        <v>51</v>
      </c>
      <c r="BE46" s="2">
        <f t="shared" si="70"/>
        <v>52</v>
      </c>
      <c r="BF46" s="2">
        <f t="shared" si="70"/>
        <v>53</v>
      </c>
      <c r="BG46" s="2">
        <f t="shared" si="70"/>
        <v>54</v>
      </c>
      <c r="BH46" s="2">
        <f t="shared" si="70"/>
        <v>55</v>
      </c>
      <c r="BI46" s="2">
        <f t="shared" si="70"/>
        <v>56</v>
      </c>
      <c r="BJ46" s="2">
        <f t="shared" si="70"/>
        <v>57</v>
      </c>
      <c r="BK46" s="2">
        <f t="shared" si="70"/>
        <v>58</v>
      </c>
      <c r="BL46" s="2">
        <f t="shared" si="70"/>
        <v>59</v>
      </c>
      <c r="BM46" s="2">
        <f t="shared" si="70"/>
        <v>60</v>
      </c>
      <c r="BN46" s="2">
        <f t="shared" si="70"/>
        <v>61</v>
      </c>
      <c r="BO46" s="2">
        <f t="shared" si="70"/>
        <v>62</v>
      </c>
      <c r="BP46" s="2">
        <f t="shared" si="70"/>
        <v>63</v>
      </c>
      <c r="BQ46" s="2">
        <f t="shared" si="70"/>
        <v>64</v>
      </c>
      <c r="BR46" s="2">
        <f t="shared" si="70"/>
        <v>65</v>
      </c>
      <c r="BS46" s="2">
        <f t="shared" si="70"/>
        <v>66</v>
      </c>
      <c r="BT46" s="2">
        <f t="shared" si="70"/>
        <v>67</v>
      </c>
      <c r="BU46" s="2">
        <f t="shared" si="70"/>
        <v>68</v>
      </c>
      <c r="BV46" s="2">
        <f t="shared" si="70"/>
        <v>69</v>
      </c>
      <c r="BW46" s="2">
        <f t="shared" si="70"/>
        <v>70</v>
      </c>
      <c r="BX46" s="2">
        <f t="shared" si="70"/>
        <v>71</v>
      </c>
      <c r="BY46" s="2">
        <f t="shared" si="70"/>
        <v>72</v>
      </c>
      <c r="BZ46" s="2">
        <f t="shared" si="70"/>
        <v>73</v>
      </c>
      <c r="CA46" s="2">
        <f t="shared" si="70"/>
        <v>74</v>
      </c>
      <c r="CB46" s="2">
        <f t="shared" si="70"/>
        <v>75</v>
      </c>
      <c r="CC46" s="2">
        <f t="shared" si="70"/>
        <v>76</v>
      </c>
      <c r="CD46" s="2">
        <f t="shared" si="70"/>
        <v>77</v>
      </c>
      <c r="CE46" s="2">
        <f t="shared" si="70"/>
        <v>78</v>
      </c>
      <c r="CF46" s="2">
        <f t="shared" si="70"/>
        <v>79</v>
      </c>
      <c r="CG46" s="2">
        <f t="shared" si="70"/>
        <v>80</v>
      </c>
      <c r="CH46" s="2">
        <f t="shared" si="70"/>
        <v>81</v>
      </c>
      <c r="CI46" s="2">
        <f t="shared" si="70"/>
        <v>82</v>
      </c>
      <c r="CJ46" s="2">
        <f t="shared" si="70"/>
        <v>83</v>
      </c>
      <c r="CK46" s="2">
        <f t="shared" si="70"/>
        <v>84</v>
      </c>
      <c r="CL46" s="2">
        <f t="shared" si="70"/>
        <v>85</v>
      </c>
      <c r="CM46" s="2">
        <f t="shared" si="70"/>
        <v>86</v>
      </c>
      <c r="CN46" s="2">
        <f t="shared" si="70"/>
        <v>87</v>
      </c>
      <c r="CO46" s="2">
        <f t="shared" si="70"/>
        <v>88</v>
      </c>
      <c r="CP46" s="2">
        <f t="shared" si="70"/>
        <v>89</v>
      </c>
      <c r="CQ46" s="2">
        <f t="shared" si="70"/>
        <v>90</v>
      </c>
      <c r="CR46" s="2">
        <f t="shared" si="70"/>
        <v>91</v>
      </c>
      <c r="CS46" s="2">
        <f t="shared" si="70"/>
        <v>92</v>
      </c>
      <c r="CT46" s="2">
        <f t="shared" si="70"/>
        <v>93</v>
      </c>
      <c r="CU46" s="2">
        <f t="shared" si="70"/>
        <v>94</v>
      </c>
      <c r="CV46" s="2">
        <f t="shared" si="70"/>
        <v>95</v>
      </c>
      <c r="CW46" s="2">
        <f t="shared" si="70"/>
        <v>96</v>
      </c>
      <c r="CX46" s="2">
        <f t="shared" si="70"/>
        <v>97</v>
      </c>
      <c r="CY46" s="2">
        <f t="shared" si="70"/>
        <v>98</v>
      </c>
      <c r="CZ46" s="2">
        <f t="shared" si="70"/>
        <v>99</v>
      </c>
      <c r="DA46" s="2">
        <f t="shared" si="70"/>
        <v>100</v>
      </c>
      <c r="DB46" s="2">
        <f t="shared" si="70"/>
        <v>101</v>
      </c>
      <c r="DC46" s="2">
        <f t="shared" si="70"/>
        <v>102</v>
      </c>
      <c r="DD46" s="2">
        <f t="shared" si="70"/>
        <v>103</v>
      </c>
      <c r="DE46" s="2">
        <f t="shared" si="70"/>
        <v>104</v>
      </c>
      <c r="DF46" s="2">
        <f t="shared" si="70"/>
        <v>105</v>
      </c>
      <c r="DG46" s="2">
        <f t="shared" si="70"/>
        <v>106</v>
      </c>
      <c r="DH46" s="2">
        <f t="shared" si="70"/>
        <v>107</v>
      </c>
      <c r="DI46" s="2">
        <f t="shared" si="70"/>
        <v>108</v>
      </c>
      <c r="DJ46" s="2">
        <f t="shared" si="70"/>
        <v>109</v>
      </c>
      <c r="DK46" s="2">
        <f t="shared" si="70"/>
        <v>110</v>
      </c>
      <c r="DL46" s="2">
        <f t="shared" si="70"/>
        <v>111</v>
      </c>
      <c r="DM46" s="2">
        <f t="shared" si="70"/>
        <v>112</v>
      </c>
      <c r="DN46" s="2">
        <f t="shared" si="70"/>
        <v>113</v>
      </c>
      <c r="DO46" s="2">
        <f t="shared" si="70"/>
        <v>114</v>
      </c>
      <c r="DP46" s="2">
        <f t="shared" si="70"/>
        <v>115</v>
      </c>
      <c r="DQ46" s="2">
        <f t="shared" si="70"/>
        <v>116</v>
      </c>
      <c r="DR46" s="2">
        <f t="shared" si="70"/>
        <v>117</v>
      </c>
      <c r="DS46" s="2">
        <f t="shared" si="70"/>
        <v>118</v>
      </c>
      <c r="DT46" s="2">
        <f t="shared" si="70"/>
        <v>119</v>
      </c>
      <c r="DU46" s="2">
        <f t="shared" si="70"/>
        <v>120</v>
      </c>
      <c r="DV46" s="11">
        <f t="shared" si="70"/>
        <v>0</v>
      </c>
      <c r="DW46" s="177">
        <f t="shared" si="70"/>
        <v>0</v>
      </c>
      <c r="FD46" s="9" t="s">
        <v>33</v>
      </c>
      <c r="FE46" s="118" t="str">
        <f>+FE$11</f>
        <v>France</v>
      </c>
      <c r="FF46" s="118" t="str">
        <f>FF$33</f>
        <v>NOV 18 jrs</v>
      </c>
      <c r="FG46" s="118" t="str">
        <f>FG$33</f>
        <v>DEC 31 jrs</v>
      </c>
      <c r="FH46" s="118" t="str">
        <f>FH$33</f>
        <v>JAN 31 jrs</v>
      </c>
      <c r="FI46" s="118" t="str">
        <f>FI$33</f>
        <v>FEV 28 jrs</v>
      </c>
      <c r="FJ46" s="118" t="str">
        <f>FJ$33</f>
        <v>MAR 12 jrs</v>
      </c>
      <c r="FK46" s="118" t="str">
        <f>+FK$11</f>
        <v>SEPT</v>
      </c>
      <c r="FL46" s="118" t="str">
        <f>+FL$11</f>
        <v>OCT</v>
      </c>
    </row>
    <row r="47" spans="1:170" outlineLevel="1">
      <c r="A47" t="s">
        <v>9</v>
      </c>
      <c r="B47" t="s">
        <v>328</v>
      </c>
      <c r="C47" s="72" t="s">
        <v>205</v>
      </c>
      <c r="E47"/>
      <c r="I47"/>
      <c r="J47"/>
      <c r="K47"/>
      <c r="L47"/>
      <c r="M47"/>
      <c r="N47"/>
      <c r="U47"/>
      <c r="V47"/>
      <c r="W47"/>
      <c r="X47"/>
      <c r="Y47"/>
      <c r="Z47"/>
      <c r="AA47"/>
      <c r="AB47"/>
      <c r="AC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s="198"/>
      <c r="DW47" s="63"/>
      <c r="DX47" s="29">
        <f>SUM(E47:DW47)</f>
        <v>0</v>
      </c>
      <c r="FD47" s="72" t="s">
        <v>205</v>
      </c>
      <c r="FE47" s="28">
        <f ca="1">SUM((INDIRECT(FE$9&amp;ROW()):(INDIRECT(FE$10&amp;ROW()))))</f>
        <v>0</v>
      </c>
      <c r="FF47" s="28">
        <f ca="1">SUM((INDIRECT(FF$9&amp;ROW()):(INDIRECT(FF$10&amp;ROW()))))</f>
        <v>0</v>
      </c>
      <c r="FG47" s="28">
        <f ca="1">SUM((INDIRECT(FG$9&amp;ROW()):(INDIRECT(FG$10&amp;ROW()))))</f>
        <v>0</v>
      </c>
      <c r="FH47" s="28">
        <f ca="1">SUM((INDIRECT(FH$9&amp;ROW()):(INDIRECT(FH$10&amp;ROW()))))</f>
        <v>0</v>
      </c>
      <c r="FI47" s="28">
        <f ca="1">SUM((INDIRECT(FI$9&amp;ROW()):(INDIRECT(FI$10&amp;ROW()))))</f>
        <v>0</v>
      </c>
      <c r="FJ47" s="28">
        <f ca="1">SUM((INDIRECT(FJ$9&amp;ROW()):(INDIRECT(FJ$10&amp;ROW()))))</f>
        <v>0</v>
      </c>
      <c r="FK47" s="28" t="e">
        <f ca="1">SUM((INDIRECT(FK$9&amp;ROW()):(INDIRECT(FK$10&amp;ROW()))))</f>
        <v>#REF!</v>
      </c>
      <c r="FL47" s="28" t="e">
        <f ca="1">SUM((INDIRECT(FL$9&amp;ROW()):(INDIRECT(FL$10&amp;ROW()))))</f>
        <v>#REF!</v>
      </c>
      <c r="FN47" s="28">
        <f t="shared" ref="FN47:FN66" ca="1" si="71">SUM(FE47:FJ47)</f>
        <v>0</v>
      </c>
    </row>
    <row r="48" spans="1:170" outlineLevel="1">
      <c r="A48" t="s">
        <v>9</v>
      </c>
      <c r="B48" t="s">
        <v>328</v>
      </c>
      <c r="C48" s="73" t="s">
        <v>203</v>
      </c>
      <c r="E48"/>
      <c r="I48"/>
      <c r="J48"/>
      <c r="K48"/>
      <c r="L48"/>
      <c r="M48"/>
      <c r="N48"/>
      <c r="U48"/>
      <c r="V48"/>
      <c r="W48"/>
      <c r="X48"/>
      <c r="Y48"/>
      <c r="Z48"/>
      <c r="AA48"/>
      <c r="AB48"/>
      <c r="AC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s="198"/>
      <c r="DW48" s="63"/>
      <c r="DX48" s="29">
        <f>SUM(E48:DW48)</f>
        <v>0</v>
      </c>
      <c r="FD48" s="73" t="s">
        <v>203</v>
      </c>
      <c r="FE48" s="28">
        <f ca="1">SUM((INDIRECT(FE$9&amp;ROW()):(INDIRECT(FE$10&amp;ROW()))))</f>
        <v>0</v>
      </c>
      <c r="FF48" s="28">
        <f ca="1">SUM((INDIRECT(FF$9&amp;ROW()):(INDIRECT(FF$10&amp;ROW()))))</f>
        <v>0</v>
      </c>
      <c r="FG48" s="28">
        <f ca="1">SUM((INDIRECT(FG$9&amp;ROW()):(INDIRECT(FG$10&amp;ROW()))))</f>
        <v>0</v>
      </c>
      <c r="FH48" s="28">
        <f ca="1">SUM((INDIRECT(FH$9&amp;ROW()):(INDIRECT(FH$10&amp;ROW()))))</f>
        <v>0</v>
      </c>
      <c r="FI48" s="28">
        <f ca="1">SUM((INDIRECT(FI$9&amp;ROW()):(INDIRECT(FI$10&amp;ROW()))))</f>
        <v>0</v>
      </c>
      <c r="FJ48" s="28">
        <f ca="1">SUM((INDIRECT(FJ$9&amp;ROW()):(INDIRECT(FJ$10&amp;ROW()))))</f>
        <v>0</v>
      </c>
      <c r="FK48" s="28" t="e">
        <f ca="1">SUM((INDIRECT(FK$9&amp;ROW()):(INDIRECT(FK$10&amp;ROW()))))</f>
        <v>#REF!</v>
      </c>
      <c r="FL48" s="28" t="e">
        <f ca="1">SUM((INDIRECT(FL$9&amp;ROW()):(INDIRECT(FL$10&amp;ROW()))))</f>
        <v>#REF!</v>
      </c>
      <c r="FN48" s="28">
        <f t="shared" ca="1" si="71"/>
        <v>0</v>
      </c>
    </row>
    <row r="49" spans="1:170" outlineLevel="1">
      <c r="A49" t="s">
        <v>9</v>
      </c>
      <c r="B49" t="s">
        <v>328</v>
      </c>
      <c r="C49" s="73" t="s">
        <v>204</v>
      </c>
      <c r="E49"/>
      <c r="I49"/>
      <c r="J49"/>
      <c r="K49"/>
      <c r="L49"/>
      <c r="M49"/>
      <c r="N49"/>
      <c r="U49"/>
      <c r="V49"/>
      <c r="W49"/>
      <c r="X49"/>
      <c r="Y49"/>
      <c r="Z49"/>
      <c r="AA49"/>
      <c r="AB49"/>
      <c r="AC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s="198"/>
      <c r="DW49" s="63"/>
      <c r="DX49" s="29">
        <f>SUM(E49:DW49)</f>
        <v>0</v>
      </c>
      <c r="FD49" s="73" t="s">
        <v>204</v>
      </c>
      <c r="FE49" s="28">
        <f ca="1">SUM((INDIRECT(FE$9&amp;ROW()):(INDIRECT(FE$10&amp;ROW()))))</f>
        <v>0</v>
      </c>
      <c r="FF49" s="28">
        <f ca="1">SUM((INDIRECT(FF$9&amp;ROW()):(INDIRECT(FF$10&amp;ROW()))))</f>
        <v>0</v>
      </c>
      <c r="FG49" s="28">
        <f ca="1">SUM((INDIRECT(FG$9&amp;ROW()):(INDIRECT(FG$10&amp;ROW()))))</f>
        <v>0</v>
      </c>
      <c r="FH49" s="28">
        <f ca="1">SUM((INDIRECT(FH$9&amp;ROW()):(INDIRECT(FH$10&amp;ROW()))))</f>
        <v>0</v>
      </c>
      <c r="FI49" s="28">
        <f ca="1">SUM((INDIRECT(FI$9&amp;ROW()):(INDIRECT(FI$10&amp;ROW()))))</f>
        <v>0</v>
      </c>
      <c r="FJ49" s="28">
        <f ca="1">SUM((INDIRECT(FJ$9&amp;ROW()):(INDIRECT(FJ$10&amp;ROW()))))</f>
        <v>0</v>
      </c>
      <c r="FK49" s="28" t="e">
        <f ca="1">SUM((INDIRECT(FK$9&amp;ROW()):(INDIRECT(FK$10&amp;ROW()))))</f>
        <v>#REF!</v>
      </c>
      <c r="FL49" s="28" t="e">
        <f ca="1">SUM((INDIRECT(FL$9&amp;ROW()):(INDIRECT(FL$10&amp;ROW()))))</f>
        <v>#REF!</v>
      </c>
      <c r="FN49" s="28">
        <f t="shared" ca="1" si="71"/>
        <v>0</v>
      </c>
    </row>
    <row r="50" spans="1:170" outlineLevel="1">
      <c r="A50" t="s">
        <v>9</v>
      </c>
      <c r="B50" t="s">
        <v>328</v>
      </c>
      <c r="C50" s="73" t="s">
        <v>146</v>
      </c>
      <c r="E50"/>
      <c r="I50"/>
      <c r="J50"/>
      <c r="K50"/>
      <c r="L50"/>
      <c r="M50"/>
      <c r="N50"/>
      <c r="U50"/>
      <c r="V50"/>
      <c r="W50"/>
      <c r="X50"/>
      <c r="Y50"/>
      <c r="Z50"/>
      <c r="AA50"/>
      <c r="AB50"/>
      <c r="AC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v>7</v>
      </c>
      <c r="DV50" s="198"/>
      <c r="DW50" s="63"/>
      <c r="DX50" s="29">
        <f>SUM(E50:DW50)</f>
        <v>7</v>
      </c>
      <c r="FD50" s="73" t="s">
        <v>146</v>
      </c>
      <c r="FE50" s="28">
        <f ca="1">SUM((INDIRECT(FE$9&amp;ROW()):(INDIRECT(FE$10&amp;ROW()))))</f>
        <v>0</v>
      </c>
      <c r="FF50" s="28">
        <f ca="1">SUM((INDIRECT(FF$9&amp;ROW()):(INDIRECT(FF$10&amp;ROW()))))</f>
        <v>0</v>
      </c>
      <c r="FG50" s="28">
        <f ca="1">SUM((INDIRECT(FG$9&amp;ROW()):(INDIRECT(FG$10&amp;ROW()))))</f>
        <v>0</v>
      </c>
      <c r="FH50" s="28">
        <f ca="1">SUM((INDIRECT(FH$9&amp;ROW()):(INDIRECT(FH$10&amp;ROW()))))</f>
        <v>0</v>
      </c>
      <c r="FI50" s="28">
        <f ca="1">SUM((INDIRECT(FI$9&amp;ROW()):(INDIRECT(FI$10&amp;ROW()))))</f>
        <v>0</v>
      </c>
      <c r="FJ50" s="28">
        <f ca="1">SUM((INDIRECT(FJ$9&amp;ROW()):(INDIRECT(FJ$10&amp;ROW()))))</f>
        <v>7</v>
      </c>
      <c r="FK50" s="28" t="e">
        <f ca="1">SUM((INDIRECT(FK$9&amp;ROW()):(INDIRECT(FK$10&amp;ROW()))))</f>
        <v>#REF!</v>
      </c>
      <c r="FL50" s="28" t="e">
        <f ca="1">SUM((INDIRECT(FL$9&amp;ROW()):(INDIRECT(FL$10&amp;ROW()))))</f>
        <v>#REF!</v>
      </c>
      <c r="FN50" s="28">
        <f t="shared" ca="1" si="71"/>
        <v>7</v>
      </c>
    </row>
    <row r="51" spans="1:170" ht="15" outlineLevel="1" thickBot="1">
      <c r="A51" t="s">
        <v>9</v>
      </c>
      <c r="B51" t="s">
        <v>328</v>
      </c>
      <c r="C51" s="73" t="s">
        <v>630</v>
      </c>
      <c r="E51"/>
      <c r="I51"/>
      <c r="J51"/>
      <c r="K51"/>
      <c r="L51"/>
      <c r="M51"/>
      <c r="N51"/>
      <c r="U51"/>
      <c r="V51"/>
      <c r="W51"/>
      <c r="X51"/>
      <c r="Y51"/>
      <c r="Z51"/>
      <c r="AA51"/>
      <c r="AB51"/>
      <c r="AC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s="198"/>
      <c r="DW51" s="63"/>
      <c r="DX51" s="29">
        <f>SUM(E51:DW51)</f>
        <v>0</v>
      </c>
      <c r="FD51" s="73" t="s">
        <v>630</v>
      </c>
      <c r="FE51" s="28">
        <f ca="1">SUM((INDIRECT(FE$9&amp;ROW()):(INDIRECT(FE$10&amp;ROW()))))</f>
        <v>0</v>
      </c>
      <c r="FF51" s="28">
        <f ca="1">SUM((INDIRECT(FF$9&amp;ROW()):(INDIRECT(FF$10&amp;ROW()))))</f>
        <v>0</v>
      </c>
      <c r="FG51" s="28">
        <f ca="1">SUM((INDIRECT(FG$9&amp;ROW()):(INDIRECT(FG$10&amp;ROW()))))</f>
        <v>0</v>
      </c>
      <c r="FH51" s="28">
        <f ca="1">SUM((INDIRECT(FH$9&amp;ROW()):(INDIRECT(FH$10&amp;ROW()))))</f>
        <v>0</v>
      </c>
      <c r="FI51" s="28">
        <f ca="1">SUM((INDIRECT(FI$9&amp;ROW()):(INDIRECT(FI$10&amp;ROW()))))</f>
        <v>0</v>
      </c>
      <c r="FJ51" s="28">
        <f ca="1">SUM((INDIRECT(FJ$9&amp;ROW()):(INDIRECT(FJ$10&amp;ROW()))))</f>
        <v>0</v>
      </c>
      <c r="FK51" s="28" t="e">
        <f ca="1">SUM((INDIRECT(FK$9&amp;ROW()):(INDIRECT(FK$10&amp;ROW()))))</f>
        <v>#REF!</v>
      </c>
      <c r="FL51" s="28" t="e">
        <f ca="1">SUM((INDIRECT(FL$9&amp;ROW()):(INDIRECT(FL$10&amp;ROW()))))</f>
        <v>#REF!</v>
      </c>
      <c r="FN51" s="28">
        <f t="shared" ca="1" si="71"/>
        <v>0</v>
      </c>
    </row>
    <row r="52" spans="1:170" outlineLevel="1">
      <c r="A52" t="s">
        <v>9</v>
      </c>
      <c r="B52" t="s">
        <v>559</v>
      </c>
      <c r="C52" s="72" t="s">
        <v>149</v>
      </c>
      <c r="E52"/>
      <c r="I52"/>
      <c r="J52"/>
      <c r="K52"/>
      <c r="L52"/>
      <c r="M52"/>
      <c r="N52"/>
      <c r="U52"/>
      <c r="V52"/>
      <c r="W52"/>
      <c r="X52"/>
      <c r="Y52"/>
      <c r="Z52"/>
      <c r="AA52"/>
      <c r="AB52"/>
      <c r="AC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s="198"/>
      <c r="DW52" s="63"/>
      <c r="DX52" s="28">
        <f t="shared" ref="DX52:DX62" si="72">SUM(D52:DW52)</f>
        <v>0</v>
      </c>
      <c r="FD52" s="72" t="s">
        <v>149</v>
      </c>
      <c r="FE52" s="28">
        <f ca="1">SUM((INDIRECT(FE$9&amp;ROW()):(INDIRECT(FE$10&amp;ROW()))))</f>
        <v>0</v>
      </c>
      <c r="FF52" s="28">
        <f ca="1">SUM((INDIRECT(FF$9&amp;ROW()):(INDIRECT(FF$10&amp;ROW()))))</f>
        <v>0</v>
      </c>
      <c r="FG52" s="28">
        <f ca="1">SUM((INDIRECT(FG$9&amp;ROW()):(INDIRECT(FG$10&amp;ROW()))))</f>
        <v>0</v>
      </c>
      <c r="FH52" s="28">
        <f ca="1">SUM((INDIRECT(FH$9&amp;ROW()):(INDIRECT(FH$10&amp;ROW()))))</f>
        <v>0</v>
      </c>
      <c r="FI52" s="28">
        <f ca="1">SUM((INDIRECT(FI$9&amp;ROW()):(INDIRECT(FI$10&amp;ROW()))))</f>
        <v>0</v>
      </c>
      <c r="FJ52" s="28">
        <f ca="1">SUM((INDIRECT(FJ$9&amp;ROW()):(INDIRECT(FJ$10&amp;ROW()))))</f>
        <v>0</v>
      </c>
      <c r="FK52" s="28" t="e">
        <f ca="1">SUM((INDIRECT(FK$9&amp;ROW()):(INDIRECT(FK$10&amp;ROW()))))</f>
        <v>#REF!</v>
      </c>
      <c r="FL52" s="28" t="e">
        <f ca="1">SUM((INDIRECT(FL$9&amp;ROW()):(INDIRECT(FL$10&amp;ROW()))))</f>
        <v>#REF!</v>
      </c>
      <c r="FN52" s="28">
        <f t="shared" ca="1" si="71"/>
        <v>0</v>
      </c>
    </row>
    <row r="53" spans="1:170" outlineLevel="1">
      <c r="A53" t="s">
        <v>9</v>
      </c>
      <c r="B53" t="s">
        <v>559</v>
      </c>
      <c r="C53" s="73" t="s">
        <v>632</v>
      </c>
      <c r="E53"/>
      <c r="I53"/>
      <c r="J53"/>
      <c r="K53"/>
      <c r="L53"/>
      <c r="M53"/>
      <c r="N53"/>
      <c r="U53"/>
      <c r="V53"/>
      <c r="W53"/>
      <c r="X53"/>
      <c r="Y53"/>
      <c r="Z53"/>
      <c r="AA53"/>
      <c r="AB53"/>
      <c r="AC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s="198"/>
      <c r="DW53" s="63"/>
      <c r="DX53" s="28">
        <f t="shared" si="72"/>
        <v>0</v>
      </c>
      <c r="FD53" s="73" t="s">
        <v>632</v>
      </c>
      <c r="FE53" s="28">
        <f ca="1">SUM((INDIRECT(FE$9&amp;ROW()):(INDIRECT(FE$10&amp;ROW()))))</f>
        <v>0</v>
      </c>
      <c r="FF53" s="28">
        <f ca="1">SUM((INDIRECT(FF$9&amp;ROW()):(INDIRECT(FF$10&amp;ROW()))))</f>
        <v>0</v>
      </c>
      <c r="FG53" s="28">
        <f ca="1">SUM((INDIRECT(FG$9&amp;ROW()):(INDIRECT(FG$10&amp;ROW()))))</f>
        <v>0</v>
      </c>
      <c r="FH53" s="28">
        <f ca="1">SUM((INDIRECT(FH$9&amp;ROW()):(INDIRECT(FH$10&amp;ROW()))))</f>
        <v>0</v>
      </c>
      <c r="FI53" s="28">
        <f ca="1">SUM((INDIRECT(FI$9&amp;ROW()):(INDIRECT(FI$10&amp;ROW()))))</f>
        <v>0</v>
      </c>
      <c r="FJ53" s="28">
        <f ca="1">SUM((INDIRECT(FJ$9&amp;ROW()):(INDIRECT(FJ$10&amp;ROW()))))</f>
        <v>0</v>
      </c>
      <c r="FK53" s="28" t="e">
        <f ca="1">SUM((INDIRECT(FK$9&amp;ROW()):(INDIRECT(FK$10&amp;ROW()))))</f>
        <v>#REF!</v>
      </c>
      <c r="FL53" s="28" t="e">
        <f ca="1">SUM((INDIRECT(FL$9&amp;ROW()):(INDIRECT(FL$10&amp;ROW()))))</f>
        <v>#REF!</v>
      </c>
      <c r="FN53" s="28">
        <f t="shared" ca="1" si="71"/>
        <v>0</v>
      </c>
    </row>
    <row r="54" spans="1:170" ht="15" outlineLevel="1" thickBot="1">
      <c r="A54" t="s">
        <v>9</v>
      </c>
      <c r="B54" t="s">
        <v>559</v>
      </c>
      <c r="C54" s="74" t="s">
        <v>629</v>
      </c>
      <c r="E54"/>
      <c r="I54"/>
      <c r="J54"/>
      <c r="K54"/>
      <c r="L54"/>
      <c r="M54"/>
      <c r="N54"/>
      <c r="U54"/>
      <c r="V54"/>
      <c r="W54"/>
      <c r="X54"/>
      <c r="Y54"/>
      <c r="Z54"/>
      <c r="AA54"/>
      <c r="AB54"/>
      <c r="AC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s="198"/>
      <c r="DW54" s="63"/>
      <c r="DX54" s="28">
        <f t="shared" si="72"/>
        <v>0</v>
      </c>
      <c r="FD54" s="74" t="s">
        <v>629</v>
      </c>
      <c r="FE54" s="28">
        <f ca="1">SUM((INDIRECT(FE$9&amp;ROW()):(INDIRECT(FE$10&amp;ROW()))))</f>
        <v>0</v>
      </c>
      <c r="FF54" s="28">
        <f ca="1">SUM((INDIRECT(FF$9&amp;ROW()):(INDIRECT(FF$10&amp;ROW()))))</f>
        <v>0</v>
      </c>
      <c r="FG54" s="28">
        <f ca="1">SUM((INDIRECT(FG$9&amp;ROW()):(INDIRECT(FG$10&amp;ROW()))))</f>
        <v>0</v>
      </c>
      <c r="FH54" s="28">
        <f ca="1">SUM((INDIRECT(FH$9&amp;ROW()):(INDIRECT(FH$10&amp;ROW()))))</f>
        <v>0</v>
      </c>
      <c r="FI54" s="28">
        <f ca="1">SUM((INDIRECT(FI$9&amp;ROW()):(INDIRECT(FI$10&amp;ROW()))))</f>
        <v>0</v>
      </c>
      <c r="FJ54" s="28">
        <f ca="1">SUM((INDIRECT(FJ$9&amp;ROW()):(INDIRECT(FJ$10&amp;ROW()))))</f>
        <v>0</v>
      </c>
      <c r="FK54" s="28" t="e">
        <f ca="1">SUM((INDIRECT(FK$9&amp;ROW()):(INDIRECT(FK$10&amp;ROW()))))</f>
        <v>#REF!</v>
      </c>
      <c r="FL54" s="28" t="e">
        <f ca="1">SUM((INDIRECT(FL$9&amp;ROW()):(INDIRECT(FL$10&amp;ROW()))))</f>
        <v>#REF!</v>
      </c>
      <c r="FN54" s="28">
        <f t="shared" ca="1" si="71"/>
        <v>0</v>
      </c>
    </row>
    <row r="55" spans="1:170" outlineLevel="1">
      <c r="A55" t="s">
        <v>9</v>
      </c>
      <c r="B55" t="s">
        <v>23</v>
      </c>
      <c r="C55" s="72" t="s">
        <v>23</v>
      </c>
      <c r="E55"/>
      <c r="I55"/>
      <c r="J55"/>
      <c r="K55"/>
      <c r="L55"/>
      <c r="M55"/>
      <c r="N55"/>
      <c r="U55"/>
      <c r="V55"/>
      <c r="W55"/>
      <c r="X55"/>
      <c r="Y55"/>
      <c r="Z55"/>
      <c r="AA55"/>
      <c r="AB55"/>
      <c r="AC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s="198"/>
      <c r="DW55" s="63"/>
      <c r="DX55" s="28">
        <f t="shared" si="72"/>
        <v>0</v>
      </c>
      <c r="FD55" s="72" t="s">
        <v>23</v>
      </c>
      <c r="FE55" s="28">
        <f ca="1">SUM((INDIRECT(FE$9&amp;ROW()):(INDIRECT(FE$10&amp;ROW()))))</f>
        <v>0</v>
      </c>
      <c r="FF55" s="28">
        <f ca="1">SUM((INDIRECT(FF$9&amp;ROW()):(INDIRECT(FF$10&amp;ROW()))))</f>
        <v>0</v>
      </c>
      <c r="FG55" s="28">
        <f ca="1">SUM((INDIRECT(FG$9&amp;ROW()):(INDIRECT(FG$10&amp;ROW()))))</f>
        <v>0</v>
      </c>
      <c r="FH55" s="28">
        <f ca="1">SUM((INDIRECT(FH$9&amp;ROW()):(INDIRECT(FH$10&amp;ROW()))))</f>
        <v>0</v>
      </c>
      <c r="FI55" s="28">
        <f ca="1">SUM((INDIRECT(FI$9&amp;ROW()):(INDIRECT(FI$10&amp;ROW()))))</f>
        <v>0</v>
      </c>
      <c r="FJ55" s="28">
        <f ca="1">SUM((INDIRECT(FJ$9&amp;ROW()):(INDIRECT(FJ$10&amp;ROW()))))</f>
        <v>0</v>
      </c>
      <c r="FK55" s="28" t="e">
        <f ca="1">SUM((INDIRECT(FK$9&amp;ROW()):(INDIRECT(FK$10&amp;ROW()))))</f>
        <v>#REF!</v>
      </c>
      <c r="FL55" s="28" t="e">
        <f ca="1">SUM((INDIRECT(FL$9&amp;ROW()):(INDIRECT(FL$10&amp;ROW()))))</f>
        <v>#REF!</v>
      </c>
      <c r="FN55" s="28">
        <f t="shared" ca="1" si="71"/>
        <v>0</v>
      </c>
    </row>
    <row r="56" spans="1:170" outlineLevel="1">
      <c r="A56" t="s">
        <v>9</v>
      </c>
      <c r="B56" t="s">
        <v>23</v>
      </c>
      <c r="C56" s="73" t="s">
        <v>151</v>
      </c>
      <c r="E56"/>
      <c r="I56"/>
      <c r="J56"/>
      <c r="K56"/>
      <c r="L56"/>
      <c r="M56"/>
      <c r="N56"/>
      <c r="U56"/>
      <c r="V56"/>
      <c r="W56"/>
      <c r="X56"/>
      <c r="Y56"/>
      <c r="Z56"/>
      <c r="AA56"/>
      <c r="AB56"/>
      <c r="AC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s="198"/>
      <c r="DW56" s="63"/>
      <c r="DX56" s="28">
        <f t="shared" si="72"/>
        <v>0</v>
      </c>
      <c r="FD56" s="73" t="s">
        <v>151</v>
      </c>
      <c r="FE56" s="28">
        <f ca="1">SUM((INDIRECT(FE$9&amp;ROW()):(INDIRECT(FE$10&amp;ROW()))))</f>
        <v>0</v>
      </c>
      <c r="FF56" s="28">
        <f ca="1">SUM((INDIRECT(FF$9&amp;ROW()):(INDIRECT(FF$10&amp;ROW()))))</f>
        <v>0</v>
      </c>
      <c r="FG56" s="28">
        <f ca="1">SUM((INDIRECT(FG$9&amp;ROW()):(INDIRECT(FG$10&amp;ROW()))))</f>
        <v>0</v>
      </c>
      <c r="FH56" s="28">
        <f ca="1">SUM((INDIRECT(FH$9&amp;ROW()):(INDIRECT(FH$10&amp;ROW()))))</f>
        <v>0</v>
      </c>
      <c r="FI56" s="28">
        <f ca="1">SUM((INDIRECT(FI$9&amp;ROW()):(INDIRECT(FI$10&amp;ROW()))))</f>
        <v>0</v>
      </c>
      <c r="FJ56" s="28">
        <f ca="1">SUM((INDIRECT(FJ$9&amp;ROW()):(INDIRECT(FJ$10&amp;ROW()))))</f>
        <v>0</v>
      </c>
      <c r="FK56" s="28" t="e">
        <f ca="1">SUM((INDIRECT(FK$9&amp;ROW()):(INDIRECT(FK$10&amp;ROW()))))</f>
        <v>#REF!</v>
      </c>
      <c r="FL56" s="28" t="e">
        <f ca="1">SUM((INDIRECT(FL$9&amp;ROW()):(INDIRECT(FL$10&amp;ROW()))))</f>
        <v>#REF!</v>
      </c>
      <c r="FN56" s="28">
        <f t="shared" ca="1" si="71"/>
        <v>0</v>
      </c>
    </row>
    <row r="57" spans="1:170" ht="15" outlineLevel="1" thickBot="1">
      <c r="A57" t="s">
        <v>9</v>
      </c>
      <c r="B57" t="s">
        <v>23</v>
      </c>
      <c r="C57" s="74" t="s">
        <v>8</v>
      </c>
      <c r="E57"/>
      <c r="I57"/>
      <c r="J57"/>
      <c r="K57"/>
      <c r="L57"/>
      <c r="M57"/>
      <c r="N57"/>
      <c r="U57"/>
      <c r="V57"/>
      <c r="W57"/>
      <c r="X57"/>
      <c r="Y57"/>
      <c r="Z57"/>
      <c r="AA57"/>
      <c r="AB57"/>
      <c r="AC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v>53.87</v>
      </c>
      <c r="CN57"/>
      <c r="CO57"/>
      <c r="CP57"/>
      <c r="CQ57"/>
      <c r="CR57"/>
      <c r="CS57"/>
      <c r="CT57"/>
      <c r="CU57"/>
      <c r="CV57"/>
      <c r="CW57"/>
      <c r="CX57"/>
      <c r="CY57"/>
      <c r="CZ57"/>
      <c r="DA57"/>
      <c r="DB57"/>
      <c r="DC57"/>
      <c r="DD57"/>
      <c r="DE57"/>
      <c r="DF57"/>
      <c r="DG57">
        <f>59+62</f>
        <v>121</v>
      </c>
      <c r="DH57"/>
      <c r="DI57">
        <v>59</v>
      </c>
      <c r="DJ57"/>
      <c r="DK57"/>
      <c r="DL57"/>
      <c r="DM57"/>
      <c r="DN57"/>
      <c r="DO57"/>
      <c r="DP57"/>
      <c r="DQ57"/>
      <c r="DR57"/>
      <c r="DS57"/>
      <c r="DT57">
        <v>40</v>
      </c>
      <c r="DU57"/>
      <c r="DV57" s="198"/>
      <c r="DW57" s="63"/>
      <c r="DX57" s="28">
        <f t="shared" si="72"/>
        <v>273.87</v>
      </c>
      <c r="FD57" s="74" t="s">
        <v>8</v>
      </c>
      <c r="FE57" s="28">
        <f ca="1">SUM((INDIRECT(FE$9&amp;ROW()):(INDIRECT(FE$10&amp;ROW()))))</f>
        <v>0</v>
      </c>
      <c r="FF57" s="28">
        <f ca="1">SUM((INDIRECT(FF$9&amp;ROW()):(INDIRECT(FF$10&amp;ROW()))))</f>
        <v>0</v>
      </c>
      <c r="FG57" s="28">
        <f ca="1">SUM((INDIRECT(FG$9&amp;ROW()):(INDIRECT(FG$10&amp;ROW()))))</f>
        <v>0</v>
      </c>
      <c r="FH57" s="28">
        <f ca="1">SUM((INDIRECT(FH$9&amp;ROW()):(INDIRECT(FH$10&amp;ROW()))))</f>
        <v>0</v>
      </c>
      <c r="FI57" s="28">
        <f ca="1">SUM((INDIRECT(FI$9&amp;ROW()):(INDIRECT(FI$10&amp;ROW()))))</f>
        <v>233.87</v>
      </c>
      <c r="FJ57" s="28">
        <f ca="1">SUM((INDIRECT(FJ$9&amp;ROW()):(INDIRECT(FJ$10&amp;ROW()))))</f>
        <v>40</v>
      </c>
      <c r="FK57" s="28" t="e">
        <f ca="1">SUM((INDIRECT(FK$9&amp;ROW()):(INDIRECT(FK$10&amp;ROW()))))</f>
        <v>#REF!</v>
      </c>
      <c r="FL57" s="28" t="e">
        <f ca="1">SUM((INDIRECT(FL$9&amp;ROW()):(INDIRECT(FL$10&amp;ROW()))))</f>
        <v>#REF!</v>
      </c>
      <c r="FN57" s="28">
        <f t="shared" ca="1" si="71"/>
        <v>273.87</v>
      </c>
    </row>
    <row r="58" spans="1:170" outlineLevel="1">
      <c r="A58" t="s">
        <v>9</v>
      </c>
      <c r="B58" t="s">
        <v>25</v>
      </c>
      <c r="C58" s="72" t="s">
        <v>150</v>
      </c>
      <c r="E58"/>
      <c r="I58"/>
      <c r="J58"/>
      <c r="K58"/>
      <c r="L58"/>
      <c r="M58"/>
      <c r="N58"/>
      <c r="U58"/>
      <c r="V58"/>
      <c r="W58"/>
      <c r="X58"/>
      <c r="Y58"/>
      <c r="Z58"/>
      <c r="AA58"/>
      <c r="AB58"/>
      <c r="AC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v>34</v>
      </c>
      <c r="DV58" s="198"/>
      <c r="DW58" s="63"/>
      <c r="DX58" s="28">
        <f t="shared" si="72"/>
        <v>34</v>
      </c>
      <c r="FD58" s="72" t="s">
        <v>150</v>
      </c>
      <c r="FE58" s="28">
        <f ca="1">SUM((INDIRECT(FE$9&amp;ROW()):(INDIRECT(FE$10&amp;ROW()))))</f>
        <v>0</v>
      </c>
      <c r="FF58" s="28">
        <f ca="1">SUM((INDIRECT(FF$9&amp;ROW()):(INDIRECT(FF$10&amp;ROW()))))</f>
        <v>0</v>
      </c>
      <c r="FG58" s="28">
        <f ca="1">SUM((INDIRECT(FG$9&amp;ROW()):(INDIRECT(FG$10&amp;ROW()))))</f>
        <v>0</v>
      </c>
      <c r="FH58" s="28">
        <f ca="1">SUM((INDIRECT(FH$9&amp;ROW()):(INDIRECT(FH$10&amp;ROW()))))</f>
        <v>0</v>
      </c>
      <c r="FI58" s="28">
        <f ca="1">SUM((INDIRECT(FI$9&amp;ROW()):(INDIRECT(FI$10&amp;ROW()))))</f>
        <v>0</v>
      </c>
      <c r="FJ58" s="28">
        <f ca="1">SUM((INDIRECT(FJ$9&amp;ROW()):(INDIRECT(FJ$10&amp;ROW()))))</f>
        <v>34</v>
      </c>
      <c r="FK58" s="28" t="e">
        <f ca="1">SUM((INDIRECT(FK$9&amp;ROW()):(INDIRECT(FK$10&amp;ROW()))))</f>
        <v>#REF!</v>
      </c>
      <c r="FL58" s="28" t="e">
        <f ca="1">SUM((INDIRECT(FL$9&amp;ROW()):(INDIRECT(FL$10&amp;ROW()))))</f>
        <v>#REF!</v>
      </c>
      <c r="FN58" s="28">
        <f t="shared" ca="1" si="71"/>
        <v>34</v>
      </c>
    </row>
    <row r="59" spans="1:170" ht="15" outlineLevel="1" thickBot="1">
      <c r="A59" t="s">
        <v>9</v>
      </c>
      <c r="B59" t="s">
        <v>25</v>
      </c>
      <c r="C59" s="74" t="s">
        <v>144</v>
      </c>
      <c r="E59">
        <v>1633.82</v>
      </c>
      <c r="I59"/>
      <c r="J59"/>
      <c r="K59"/>
      <c r="L59"/>
      <c r="M59"/>
      <c r="N59"/>
      <c r="U59"/>
      <c r="V59"/>
      <c r="W59"/>
      <c r="X59"/>
      <c r="Y59"/>
      <c r="Z59"/>
      <c r="AA59"/>
      <c r="AB59"/>
      <c r="AC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s="198"/>
      <c r="DW59" s="63"/>
      <c r="DX59" s="28">
        <f t="shared" si="72"/>
        <v>1633.82</v>
      </c>
      <c r="FD59" s="74" t="s">
        <v>144</v>
      </c>
      <c r="FE59" s="28">
        <f ca="1">SUM((INDIRECT(FE$9&amp;ROW()):(INDIRECT(FE$10&amp;ROW()))))</f>
        <v>1633.82</v>
      </c>
      <c r="FF59" s="28">
        <f ca="1">SUM((INDIRECT(FF$9&amp;ROW()):(INDIRECT(FF$10&amp;ROW()))))</f>
        <v>0</v>
      </c>
      <c r="FG59" s="28">
        <f ca="1">SUM((INDIRECT(FG$9&amp;ROW()):(INDIRECT(FG$10&amp;ROW()))))</f>
        <v>0</v>
      </c>
      <c r="FH59" s="28">
        <f ca="1">SUM((INDIRECT(FH$9&amp;ROW()):(INDIRECT(FH$10&amp;ROW()))))</f>
        <v>0</v>
      </c>
      <c r="FI59" s="28">
        <f ca="1">SUM((INDIRECT(FI$9&amp;ROW()):(INDIRECT(FI$10&amp;ROW()))))</f>
        <v>0</v>
      </c>
      <c r="FJ59" s="28">
        <f ca="1">SUM((INDIRECT(FJ$9&amp;ROW()):(INDIRECT(FJ$10&amp;ROW()))))</f>
        <v>0</v>
      </c>
      <c r="FK59" s="28" t="e">
        <f ca="1">SUM((INDIRECT(FK$9&amp;ROW()):(INDIRECT(FK$10&amp;ROW()))))</f>
        <v>#REF!</v>
      </c>
      <c r="FL59" s="28" t="e">
        <f ca="1">SUM((INDIRECT(FL$9&amp;ROW()):(INDIRECT(FL$10&amp;ROW()))))</f>
        <v>#REF!</v>
      </c>
      <c r="FN59" s="28">
        <f t="shared" ca="1" si="71"/>
        <v>1633.82</v>
      </c>
    </row>
    <row r="60" spans="1:170" outlineLevel="1">
      <c r="A60" t="s">
        <v>9</v>
      </c>
      <c r="B60" t="s">
        <v>24</v>
      </c>
      <c r="C60" s="72" t="s">
        <v>145</v>
      </c>
      <c r="E60"/>
      <c r="I60"/>
      <c r="J60"/>
      <c r="K60"/>
      <c r="L60"/>
      <c r="M60"/>
      <c r="N60"/>
      <c r="U60"/>
      <c r="V60"/>
      <c r="W60"/>
      <c r="X60"/>
      <c r="Y60"/>
      <c r="Z60"/>
      <c r="AA60"/>
      <c r="AB60"/>
      <c r="AC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s="198"/>
      <c r="DW60" s="63"/>
      <c r="DX60" s="28">
        <f t="shared" si="72"/>
        <v>0</v>
      </c>
      <c r="FD60" s="72" t="s">
        <v>145</v>
      </c>
      <c r="FE60" s="28">
        <f ca="1">SUM((INDIRECT(FE$9&amp;ROW()):(INDIRECT(FE$10&amp;ROW()))))</f>
        <v>0</v>
      </c>
      <c r="FF60" s="28">
        <f ca="1">SUM((INDIRECT(FF$9&amp;ROW()):(INDIRECT(FF$10&amp;ROW()))))</f>
        <v>0</v>
      </c>
      <c r="FG60" s="28">
        <f ca="1">SUM((INDIRECT(FG$9&amp;ROW()):(INDIRECT(FG$10&amp;ROW()))))</f>
        <v>0</v>
      </c>
      <c r="FH60" s="28">
        <f ca="1">SUM((INDIRECT(FH$9&amp;ROW()):(INDIRECT(FH$10&amp;ROW()))))</f>
        <v>0</v>
      </c>
      <c r="FI60" s="28">
        <f ca="1">SUM((INDIRECT(FI$9&amp;ROW()):(INDIRECT(FI$10&amp;ROW()))))</f>
        <v>0</v>
      </c>
      <c r="FJ60" s="28">
        <f ca="1">SUM((INDIRECT(FJ$9&amp;ROW()):(INDIRECT(FJ$10&amp;ROW()))))</f>
        <v>0</v>
      </c>
      <c r="FK60" s="28" t="e">
        <f ca="1">SUM((INDIRECT(FK$9&amp;ROW()):(INDIRECT(FK$10&amp;ROW()))))</f>
        <v>#REF!</v>
      </c>
      <c r="FL60" s="28" t="e">
        <f ca="1">SUM((INDIRECT(FL$9&amp;ROW()):(INDIRECT(FL$10&amp;ROW()))))</f>
        <v>#REF!</v>
      </c>
      <c r="FN60" s="28">
        <f t="shared" ca="1" si="71"/>
        <v>0</v>
      </c>
    </row>
    <row r="61" spans="1:170" outlineLevel="1">
      <c r="A61" t="s">
        <v>9</v>
      </c>
      <c r="B61" t="s">
        <v>24</v>
      </c>
      <c r="C61" s="73" t="s">
        <v>206</v>
      </c>
      <c r="E61"/>
      <c r="I61"/>
      <c r="J61"/>
      <c r="K61"/>
      <c r="L61"/>
      <c r="M61"/>
      <c r="N61"/>
      <c r="U61"/>
      <c r="V61"/>
      <c r="W61"/>
      <c r="X61"/>
      <c r="Y61"/>
      <c r="Z61"/>
      <c r="AA61"/>
      <c r="AB61"/>
      <c r="AC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s="198"/>
      <c r="DW61" s="63"/>
      <c r="DX61" s="28">
        <f t="shared" si="72"/>
        <v>0</v>
      </c>
      <c r="FD61" s="73" t="s">
        <v>206</v>
      </c>
      <c r="FE61" s="28">
        <f ca="1">SUM((INDIRECT(FE$9&amp;ROW()):(INDIRECT(FE$10&amp;ROW()))))</f>
        <v>0</v>
      </c>
      <c r="FF61" s="28">
        <f ca="1">SUM((INDIRECT(FF$9&amp;ROW()):(INDIRECT(FF$10&amp;ROW()))))</f>
        <v>0</v>
      </c>
      <c r="FG61" s="28">
        <f ca="1">SUM((INDIRECT(FG$9&amp;ROW()):(INDIRECT(FG$10&amp;ROW()))))</f>
        <v>0</v>
      </c>
      <c r="FH61" s="28">
        <f ca="1">SUM((INDIRECT(FH$9&amp;ROW()):(INDIRECT(FH$10&amp;ROW()))))</f>
        <v>0</v>
      </c>
      <c r="FI61" s="28">
        <f ca="1">SUM((INDIRECT(FI$9&amp;ROW()):(INDIRECT(FI$10&amp;ROW()))))</f>
        <v>0</v>
      </c>
      <c r="FJ61" s="28">
        <f ca="1">SUM((INDIRECT(FJ$9&amp;ROW()):(INDIRECT(FJ$10&amp;ROW()))))</f>
        <v>0</v>
      </c>
      <c r="FK61" s="28" t="e">
        <f ca="1">SUM((INDIRECT(FK$9&amp;ROW()):(INDIRECT(FK$10&amp;ROW()))))</f>
        <v>#REF!</v>
      </c>
      <c r="FL61" s="28" t="e">
        <f ca="1">SUM((INDIRECT(FL$9&amp;ROW()):(INDIRECT(FL$10&amp;ROW()))))</f>
        <v>#REF!</v>
      </c>
      <c r="FN61" s="28">
        <f t="shared" ca="1" si="71"/>
        <v>0</v>
      </c>
    </row>
    <row r="62" spans="1:170" ht="15" outlineLevel="1" thickBot="1">
      <c r="A62" t="s">
        <v>9</v>
      </c>
      <c r="B62" t="s">
        <v>24</v>
      </c>
      <c r="C62" s="74" t="s">
        <v>136</v>
      </c>
      <c r="E62">
        <f>251.2+79.2+105.4+30.55+27.67</f>
        <v>494.02</v>
      </c>
      <c r="I62"/>
      <c r="J62"/>
      <c r="K62"/>
      <c r="L62"/>
      <c r="M62"/>
      <c r="N62"/>
      <c r="U62"/>
      <c r="V62"/>
      <c r="W62"/>
      <c r="X62"/>
      <c r="Y62"/>
      <c r="Z62"/>
      <c r="AA62"/>
      <c r="AB62"/>
      <c r="AC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s="198"/>
      <c r="DW62" s="63"/>
      <c r="DX62" s="28">
        <f t="shared" si="72"/>
        <v>494.02</v>
      </c>
      <c r="FD62" s="74" t="s">
        <v>136</v>
      </c>
      <c r="FE62" s="28">
        <f ca="1">SUM((INDIRECT(FE$9&amp;ROW()):(INDIRECT(FE$10&amp;ROW()))))</f>
        <v>494.02</v>
      </c>
      <c r="FF62" s="28">
        <f ca="1">SUM((INDIRECT(FF$9&amp;ROW()):(INDIRECT(FF$10&amp;ROW()))))</f>
        <v>0</v>
      </c>
      <c r="FG62" s="28">
        <f ca="1">SUM((INDIRECT(FG$9&amp;ROW()):(INDIRECT(FG$10&amp;ROW()))))</f>
        <v>0</v>
      </c>
      <c r="FH62" s="28">
        <f ca="1">SUM((INDIRECT(FH$9&amp;ROW()):(INDIRECT(FH$10&amp;ROW()))))</f>
        <v>0</v>
      </c>
      <c r="FI62" s="28">
        <f ca="1">SUM((INDIRECT(FI$9&amp;ROW()):(INDIRECT(FI$10&amp;ROW()))))</f>
        <v>0</v>
      </c>
      <c r="FJ62" s="28">
        <f ca="1">SUM((INDIRECT(FJ$9&amp;ROW()):(INDIRECT(FJ$10&amp;ROW()))))</f>
        <v>0</v>
      </c>
      <c r="FK62" s="28" t="e">
        <f ca="1">SUM((INDIRECT(FK$9&amp;ROW()):(INDIRECT(FK$10&amp;ROW()))))</f>
        <v>#REF!</v>
      </c>
      <c r="FL62" s="28" t="e">
        <f ca="1">SUM((INDIRECT(FL$9&amp;ROW()):(INDIRECT(FL$10&amp;ROW()))))</f>
        <v>#REF!</v>
      </c>
      <c r="FN62" s="28">
        <f t="shared" ca="1" si="71"/>
        <v>494.02</v>
      </c>
    </row>
    <row r="63" spans="1:170" ht="15" outlineLevel="1" thickBot="1">
      <c r="A63" t="s">
        <v>9</v>
      </c>
      <c r="B63" t="s">
        <v>558</v>
      </c>
      <c r="C63" s="74" t="s">
        <v>564</v>
      </c>
      <c r="E63"/>
      <c r="I63"/>
      <c r="J63"/>
      <c r="K63"/>
      <c r="L63"/>
      <c r="M63"/>
      <c r="N63"/>
      <c r="U63"/>
      <c r="V63"/>
      <c r="W63"/>
      <c r="X63"/>
      <c r="Y63"/>
      <c r="Z63"/>
      <c r="AA63"/>
      <c r="AB63"/>
      <c r="AC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s="199"/>
      <c r="DW63" s="179"/>
      <c r="DX63" s="28">
        <v>0</v>
      </c>
      <c r="FD63" s="74" t="s">
        <v>564</v>
      </c>
      <c r="FE63" s="28"/>
      <c r="FF63" s="28"/>
      <c r="FG63" s="28"/>
      <c r="FH63" s="28"/>
      <c r="FI63" s="28"/>
      <c r="FJ63" s="28"/>
      <c r="FK63" s="28"/>
      <c r="FL63" s="28"/>
      <c r="FN63" s="28">
        <f t="shared" si="71"/>
        <v>0</v>
      </c>
    </row>
    <row r="64" spans="1:170" ht="15" outlineLevel="1" thickBot="1">
      <c r="A64" t="s">
        <v>9</v>
      </c>
      <c r="B64" t="s">
        <v>558</v>
      </c>
      <c r="C64" s="74" t="s">
        <v>549</v>
      </c>
      <c r="E64"/>
      <c r="I64"/>
      <c r="J64"/>
      <c r="K64"/>
      <c r="L64"/>
      <c r="M64"/>
      <c r="N64"/>
      <c r="U64"/>
      <c r="V64"/>
      <c r="W64"/>
      <c r="X64"/>
      <c r="Y64"/>
      <c r="Z64"/>
      <c r="AA64"/>
      <c r="AB64"/>
      <c r="AC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s="199"/>
      <c r="DW64" s="179"/>
      <c r="DX64" s="28"/>
      <c r="FD64" s="74" t="s">
        <v>549</v>
      </c>
      <c r="FE64" s="28"/>
      <c r="FF64" s="28"/>
      <c r="FG64" s="28"/>
      <c r="FH64" s="28"/>
      <c r="FI64" s="28"/>
      <c r="FJ64" s="28"/>
      <c r="FK64" s="28"/>
      <c r="FL64" s="28"/>
      <c r="FN64" s="28">
        <f t="shared" si="71"/>
        <v>0</v>
      </c>
    </row>
    <row r="65" spans="1:178" outlineLevel="2">
      <c r="C65" s="2"/>
      <c r="E65"/>
      <c r="I65"/>
      <c r="J65"/>
      <c r="K65"/>
      <c r="L65"/>
      <c r="M65"/>
      <c r="N65"/>
      <c r="U65"/>
      <c r="V65"/>
      <c r="W65"/>
      <c r="X65"/>
      <c r="Y65"/>
      <c r="Z65"/>
      <c r="AA65"/>
      <c r="AB65"/>
      <c r="AC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s="199"/>
      <c r="DW65" s="179"/>
      <c r="DX65" s="28"/>
      <c r="FE65" s="28"/>
      <c r="FF65" s="28"/>
      <c r="FG65" s="28"/>
      <c r="FH65" s="28"/>
      <c r="FI65" s="28"/>
      <c r="FJ65" s="28"/>
      <c r="FK65" s="28"/>
      <c r="FL65" s="28"/>
    </row>
    <row r="66" spans="1:178" outlineLevel="1">
      <c r="C66" s="9" t="s">
        <v>14</v>
      </c>
      <c r="D66" s="28">
        <v>0</v>
      </c>
      <c r="E66" s="28">
        <f>SUM(E47:E63)</f>
        <v>2127.84</v>
      </c>
      <c r="F66" s="28">
        <f t="shared" ref="F66:W66" si="73">SUM(F47:F63)</f>
        <v>0</v>
      </c>
      <c r="G66" s="28">
        <f t="shared" si="73"/>
        <v>0</v>
      </c>
      <c r="H66" s="28">
        <f t="shared" si="73"/>
        <v>0</v>
      </c>
      <c r="I66" s="28">
        <f t="shared" si="73"/>
        <v>0</v>
      </c>
      <c r="J66" s="28">
        <f t="shared" si="73"/>
        <v>0</v>
      </c>
      <c r="K66" s="28">
        <f t="shared" si="73"/>
        <v>0</v>
      </c>
      <c r="L66" s="28">
        <f t="shared" si="73"/>
        <v>0</v>
      </c>
      <c r="M66" s="28">
        <f t="shared" si="73"/>
        <v>0</v>
      </c>
      <c r="N66" s="28">
        <f t="shared" si="73"/>
        <v>0</v>
      </c>
      <c r="O66" s="28">
        <f t="shared" si="73"/>
        <v>0</v>
      </c>
      <c r="P66" s="28">
        <f t="shared" si="73"/>
        <v>0</v>
      </c>
      <c r="Q66" s="28">
        <f t="shared" si="73"/>
        <v>0</v>
      </c>
      <c r="R66" s="28">
        <f t="shared" si="73"/>
        <v>0</v>
      </c>
      <c r="S66" s="28">
        <f t="shared" si="73"/>
        <v>0</v>
      </c>
      <c r="T66" s="28">
        <f t="shared" si="73"/>
        <v>0</v>
      </c>
      <c r="U66" s="28">
        <f t="shared" si="73"/>
        <v>0</v>
      </c>
      <c r="V66" s="28">
        <f t="shared" si="73"/>
        <v>0</v>
      </c>
      <c r="W66" s="28">
        <f t="shared" si="73"/>
        <v>0</v>
      </c>
      <c r="X66" s="28">
        <f t="shared" ref="X66:AR66" si="74">SUM(X47:X63)</f>
        <v>0</v>
      </c>
      <c r="Y66" s="28">
        <f t="shared" si="74"/>
        <v>0</v>
      </c>
      <c r="Z66" s="28">
        <f t="shared" si="74"/>
        <v>0</v>
      </c>
      <c r="AA66" s="28">
        <f t="shared" si="74"/>
        <v>0</v>
      </c>
      <c r="AB66" s="28">
        <f t="shared" si="74"/>
        <v>0</v>
      </c>
      <c r="AC66" s="28">
        <f t="shared" si="74"/>
        <v>0</v>
      </c>
      <c r="AD66" s="28">
        <f t="shared" si="74"/>
        <v>0</v>
      </c>
      <c r="AE66" s="28">
        <f t="shared" si="74"/>
        <v>0</v>
      </c>
      <c r="AF66" s="28">
        <f t="shared" si="74"/>
        <v>0</v>
      </c>
      <c r="AG66" s="28">
        <f t="shared" si="74"/>
        <v>0</v>
      </c>
      <c r="AH66" s="28">
        <f t="shared" si="74"/>
        <v>0</v>
      </c>
      <c r="AI66" s="28">
        <f t="shared" si="74"/>
        <v>0</v>
      </c>
      <c r="AJ66" s="28">
        <f t="shared" si="74"/>
        <v>0</v>
      </c>
      <c r="AK66" s="28">
        <f t="shared" si="74"/>
        <v>0</v>
      </c>
      <c r="AL66" s="28">
        <f t="shared" si="74"/>
        <v>0</v>
      </c>
      <c r="AM66" s="28">
        <f t="shared" si="74"/>
        <v>0</v>
      </c>
      <c r="AN66" s="28">
        <f t="shared" si="74"/>
        <v>0</v>
      </c>
      <c r="AO66" s="28">
        <f t="shared" si="74"/>
        <v>0</v>
      </c>
      <c r="AP66" s="28">
        <f t="shared" si="74"/>
        <v>0</v>
      </c>
      <c r="AQ66" s="28">
        <f t="shared" si="74"/>
        <v>0</v>
      </c>
      <c r="AR66" s="28">
        <f t="shared" si="74"/>
        <v>0</v>
      </c>
      <c r="AS66" s="28">
        <f t="shared" ref="AS66:BK66" si="75">SUM(AS47:AS63)</f>
        <v>0</v>
      </c>
      <c r="AT66" s="28">
        <f t="shared" si="75"/>
        <v>0</v>
      </c>
      <c r="AU66" s="28">
        <f t="shared" si="75"/>
        <v>0</v>
      </c>
      <c r="AV66" s="28">
        <f t="shared" si="75"/>
        <v>0</v>
      </c>
      <c r="AW66" s="28">
        <f t="shared" si="75"/>
        <v>0</v>
      </c>
      <c r="AX66" s="28">
        <f t="shared" si="75"/>
        <v>0</v>
      </c>
      <c r="AY66" s="28">
        <f t="shared" si="75"/>
        <v>0</v>
      </c>
      <c r="AZ66" s="28">
        <f t="shared" si="75"/>
        <v>0</v>
      </c>
      <c r="BA66" s="28">
        <f t="shared" si="75"/>
        <v>0</v>
      </c>
      <c r="BB66" s="28">
        <f t="shared" si="75"/>
        <v>0</v>
      </c>
      <c r="BC66" s="28">
        <f t="shared" si="75"/>
        <v>0</v>
      </c>
      <c r="BD66" s="28">
        <f t="shared" si="75"/>
        <v>0</v>
      </c>
      <c r="BE66" s="28">
        <f t="shared" si="75"/>
        <v>0</v>
      </c>
      <c r="BF66" s="28">
        <f t="shared" si="75"/>
        <v>0</v>
      </c>
      <c r="BG66" s="28">
        <f t="shared" si="75"/>
        <v>0</v>
      </c>
      <c r="BH66" s="28">
        <f t="shared" si="75"/>
        <v>0</v>
      </c>
      <c r="BI66" s="28">
        <f t="shared" si="75"/>
        <v>0</v>
      </c>
      <c r="BJ66" s="28">
        <f t="shared" si="75"/>
        <v>0</v>
      </c>
      <c r="BK66" s="28">
        <f t="shared" si="75"/>
        <v>0</v>
      </c>
      <c r="BL66" s="28">
        <f t="shared" ref="BL66:DU66" si="76">SUM(BL47:BL63)</f>
        <v>0</v>
      </c>
      <c r="BM66" s="28">
        <f t="shared" si="76"/>
        <v>0</v>
      </c>
      <c r="BN66" s="28">
        <f t="shared" si="76"/>
        <v>0</v>
      </c>
      <c r="BO66" s="28">
        <f t="shared" si="76"/>
        <v>0</v>
      </c>
      <c r="BP66" s="28">
        <f t="shared" si="76"/>
        <v>0</v>
      </c>
      <c r="BQ66" s="28">
        <f t="shared" si="76"/>
        <v>0</v>
      </c>
      <c r="BR66" s="28">
        <f t="shared" si="76"/>
        <v>0</v>
      </c>
      <c r="BS66" s="28">
        <f t="shared" si="76"/>
        <v>0</v>
      </c>
      <c r="BT66" s="28">
        <f t="shared" si="76"/>
        <v>0</v>
      </c>
      <c r="BU66" s="28">
        <f t="shared" si="76"/>
        <v>0</v>
      </c>
      <c r="BV66" s="28">
        <f t="shared" si="76"/>
        <v>0</v>
      </c>
      <c r="BW66" s="28">
        <f t="shared" si="76"/>
        <v>0</v>
      </c>
      <c r="BX66" s="28">
        <f t="shared" si="76"/>
        <v>0</v>
      </c>
      <c r="BY66" s="28">
        <f t="shared" si="76"/>
        <v>0</v>
      </c>
      <c r="BZ66" s="28">
        <f t="shared" si="76"/>
        <v>0</v>
      </c>
      <c r="CA66" s="28">
        <f t="shared" si="76"/>
        <v>0</v>
      </c>
      <c r="CB66" s="28">
        <f t="shared" si="76"/>
        <v>0</v>
      </c>
      <c r="CC66" s="28">
        <f t="shared" si="76"/>
        <v>0</v>
      </c>
      <c r="CD66" s="28">
        <f t="shared" si="76"/>
        <v>0</v>
      </c>
      <c r="CE66" s="28">
        <f t="shared" si="76"/>
        <v>0</v>
      </c>
      <c r="CF66" s="28">
        <f t="shared" si="76"/>
        <v>0</v>
      </c>
      <c r="CG66" s="28">
        <f t="shared" si="76"/>
        <v>0</v>
      </c>
      <c r="CH66" s="28">
        <f t="shared" si="76"/>
        <v>0</v>
      </c>
      <c r="CI66" s="28">
        <f t="shared" si="76"/>
        <v>0</v>
      </c>
      <c r="CJ66" s="28">
        <f t="shared" si="76"/>
        <v>0</v>
      </c>
      <c r="CK66" s="28">
        <f t="shared" si="76"/>
        <v>0</v>
      </c>
      <c r="CL66" s="28">
        <f t="shared" si="76"/>
        <v>0</v>
      </c>
      <c r="CM66" s="28">
        <f t="shared" si="76"/>
        <v>53.87</v>
      </c>
      <c r="CN66" s="28">
        <f t="shared" si="76"/>
        <v>0</v>
      </c>
      <c r="CO66" s="28">
        <f t="shared" si="76"/>
        <v>0</v>
      </c>
      <c r="CP66" s="28">
        <f t="shared" si="76"/>
        <v>0</v>
      </c>
      <c r="CQ66" s="28">
        <f t="shared" si="76"/>
        <v>0</v>
      </c>
      <c r="CR66" s="28">
        <f t="shared" si="76"/>
        <v>0</v>
      </c>
      <c r="CS66" s="28">
        <f t="shared" si="76"/>
        <v>0</v>
      </c>
      <c r="CT66" s="28">
        <f t="shared" si="76"/>
        <v>0</v>
      </c>
      <c r="CU66" s="28">
        <f t="shared" si="76"/>
        <v>0</v>
      </c>
      <c r="CV66" s="28">
        <f t="shared" si="76"/>
        <v>0</v>
      </c>
      <c r="CW66" s="28">
        <f t="shared" si="76"/>
        <v>0</v>
      </c>
      <c r="CX66" s="28">
        <f t="shared" si="76"/>
        <v>0</v>
      </c>
      <c r="CY66" s="28">
        <f t="shared" si="76"/>
        <v>0</v>
      </c>
      <c r="CZ66" s="28">
        <f t="shared" si="76"/>
        <v>0</v>
      </c>
      <c r="DA66" s="28">
        <f t="shared" si="76"/>
        <v>0</v>
      </c>
      <c r="DB66" s="28">
        <f t="shared" si="76"/>
        <v>0</v>
      </c>
      <c r="DC66" s="28">
        <f t="shared" si="76"/>
        <v>0</v>
      </c>
      <c r="DD66" s="28">
        <f t="shared" si="76"/>
        <v>0</v>
      </c>
      <c r="DE66" s="28">
        <f t="shared" si="76"/>
        <v>0</v>
      </c>
      <c r="DF66" s="28">
        <f t="shared" si="76"/>
        <v>0</v>
      </c>
      <c r="DG66" s="28">
        <f t="shared" si="76"/>
        <v>121</v>
      </c>
      <c r="DH66" s="28">
        <f t="shared" si="76"/>
        <v>0</v>
      </c>
      <c r="DI66" s="28">
        <f t="shared" si="76"/>
        <v>59</v>
      </c>
      <c r="DJ66" s="28">
        <f t="shared" si="76"/>
        <v>0</v>
      </c>
      <c r="DK66" s="28">
        <f t="shared" si="76"/>
        <v>0</v>
      </c>
      <c r="DL66" s="28">
        <f t="shared" si="76"/>
        <v>0</v>
      </c>
      <c r="DM66" s="28">
        <f t="shared" si="76"/>
        <v>0</v>
      </c>
      <c r="DN66" s="28">
        <f t="shared" si="76"/>
        <v>0</v>
      </c>
      <c r="DO66" s="28">
        <f t="shared" si="76"/>
        <v>0</v>
      </c>
      <c r="DP66" s="28">
        <f t="shared" si="76"/>
        <v>0</v>
      </c>
      <c r="DQ66" s="28">
        <f t="shared" si="76"/>
        <v>0</v>
      </c>
      <c r="DR66" s="28">
        <f>SUM(DR47:DR63)</f>
        <v>0</v>
      </c>
      <c r="DS66" s="28">
        <f>SUM(DS47:DS63)</f>
        <v>0</v>
      </c>
      <c r="DT66" s="28">
        <f>SUM(DT47:DT63)</f>
        <v>40</v>
      </c>
      <c r="DU66" s="28">
        <f t="shared" si="76"/>
        <v>41</v>
      </c>
      <c r="DV66" s="200"/>
      <c r="DW66" s="184"/>
      <c r="DX66" s="28">
        <f>SUM(D66:DW66)</f>
        <v>2442.71</v>
      </c>
      <c r="FD66" s="4" t="str">
        <f>+A67</f>
        <v>EUROS</v>
      </c>
      <c r="FE66" s="28">
        <f t="shared" ref="FE66:FL66" ca="1" si="77">SUM(FE47:FE63)</f>
        <v>2127.84</v>
      </c>
      <c r="FF66" s="28">
        <f t="shared" ca="1" si="77"/>
        <v>0</v>
      </c>
      <c r="FG66" s="28">
        <f t="shared" ca="1" si="77"/>
        <v>0</v>
      </c>
      <c r="FH66" s="28">
        <f t="shared" ca="1" si="77"/>
        <v>0</v>
      </c>
      <c r="FI66" s="28">
        <f t="shared" ca="1" si="77"/>
        <v>233.87</v>
      </c>
      <c r="FJ66" s="28">
        <f t="shared" ca="1" si="77"/>
        <v>81</v>
      </c>
      <c r="FK66" s="28" t="e">
        <f t="shared" ca="1" si="77"/>
        <v>#REF!</v>
      </c>
      <c r="FL66" s="28" t="e">
        <f t="shared" ca="1" si="77"/>
        <v>#REF!</v>
      </c>
      <c r="FM66" s="61" t="e">
        <f ca="1">SUM(FE66:FL66)</f>
        <v>#REF!</v>
      </c>
      <c r="FN66" s="28">
        <f t="shared" ca="1" si="71"/>
        <v>2442.71</v>
      </c>
    </row>
    <row r="67" spans="1:178">
      <c r="A67" s="9" t="s">
        <v>75</v>
      </c>
      <c r="FD67">
        <v>0</v>
      </c>
      <c r="FE67" s="28"/>
      <c r="FF67" s="28"/>
      <c r="FG67" s="28"/>
      <c r="FH67" s="28"/>
      <c r="FI67" s="28"/>
      <c r="FJ67" s="28"/>
      <c r="FK67" s="28"/>
      <c r="FL67" s="28"/>
    </row>
    <row r="68" spans="1:178">
      <c r="FD68">
        <v>0</v>
      </c>
    </row>
    <row r="69" spans="1:178" outlineLevel="1">
      <c r="E69" s="2" t="str">
        <f>E$8</f>
        <v>Sam</v>
      </c>
      <c r="F69" s="2" t="str">
        <f t="shared" ref="F69:BD69" si="78">F$8</f>
        <v>Dim</v>
      </c>
      <c r="G69" s="2" t="str">
        <f t="shared" si="78"/>
        <v>Lundi</v>
      </c>
      <c r="H69" s="2" t="str">
        <f t="shared" si="78"/>
        <v>mardi</v>
      </c>
      <c r="I69" s="2" t="str">
        <f t="shared" si="78"/>
        <v>Mer</v>
      </c>
      <c r="J69" s="2" t="str">
        <f t="shared" si="78"/>
        <v>Jeu</v>
      </c>
      <c r="K69" s="2" t="str">
        <f t="shared" si="78"/>
        <v>Ven</v>
      </c>
      <c r="L69" s="2" t="str">
        <f t="shared" si="78"/>
        <v>Sam</v>
      </c>
      <c r="M69" s="2" t="str">
        <f t="shared" si="78"/>
        <v>Dim</v>
      </c>
      <c r="N69" s="2" t="str">
        <f t="shared" si="78"/>
        <v>Lundi</v>
      </c>
      <c r="O69" s="2" t="str">
        <f t="shared" si="78"/>
        <v>mardi</v>
      </c>
      <c r="P69" s="2" t="str">
        <f t="shared" si="78"/>
        <v>Mer</v>
      </c>
      <c r="Q69" s="2" t="str">
        <f t="shared" si="78"/>
        <v>Jeu</v>
      </c>
      <c r="R69" s="2" t="str">
        <f t="shared" si="78"/>
        <v>Ven</v>
      </c>
      <c r="S69" s="2" t="str">
        <f t="shared" si="78"/>
        <v>Sam</v>
      </c>
      <c r="T69" s="2" t="str">
        <f t="shared" si="78"/>
        <v>Dim</v>
      </c>
      <c r="U69" s="2" t="str">
        <f t="shared" si="78"/>
        <v>Lundi</v>
      </c>
      <c r="V69" s="2" t="str">
        <f t="shared" si="78"/>
        <v>mardi</v>
      </c>
      <c r="W69" s="2" t="str">
        <f t="shared" si="78"/>
        <v>Mer</v>
      </c>
      <c r="X69" s="2" t="str">
        <f t="shared" si="78"/>
        <v>Jeu</v>
      </c>
      <c r="Y69" s="2" t="str">
        <f t="shared" si="78"/>
        <v>Ven</v>
      </c>
      <c r="Z69" s="2" t="str">
        <f t="shared" si="78"/>
        <v>Sam</v>
      </c>
      <c r="AA69" s="2" t="str">
        <f t="shared" si="78"/>
        <v>Dim</v>
      </c>
      <c r="AB69" s="2" t="str">
        <f t="shared" si="78"/>
        <v>Lundi</v>
      </c>
      <c r="AC69" s="2" t="str">
        <f t="shared" si="78"/>
        <v>mardi</v>
      </c>
      <c r="AD69" s="2" t="str">
        <f t="shared" si="78"/>
        <v>Mer</v>
      </c>
      <c r="AE69" s="2" t="str">
        <f t="shared" si="78"/>
        <v>Jeu</v>
      </c>
      <c r="AF69" s="2" t="str">
        <f t="shared" si="78"/>
        <v>Ven</v>
      </c>
      <c r="AG69" s="2" t="str">
        <f t="shared" si="78"/>
        <v>Sam</v>
      </c>
      <c r="AH69" s="2" t="str">
        <f t="shared" si="78"/>
        <v>Dim</v>
      </c>
      <c r="AI69" s="2" t="str">
        <f t="shared" si="78"/>
        <v>Lundi</v>
      </c>
      <c r="AJ69" s="2" t="str">
        <f t="shared" si="78"/>
        <v>mardi</v>
      </c>
      <c r="AK69" s="2" t="str">
        <f t="shared" si="78"/>
        <v>Mer</v>
      </c>
      <c r="AL69" s="2" t="str">
        <f t="shared" si="78"/>
        <v>Jeu</v>
      </c>
      <c r="AM69" s="2" t="str">
        <f t="shared" si="78"/>
        <v>Ven</v>
      </c>
      <c r="AN69" s="2" t="str">
        <f t="shared" si="78"/>
        <v>Sam</v>
      </c>
      <c r="AO69" s="2" t="str">
        <f t="shared" si="78"/>
        <v>Dim</v>
      </c>
      <c r="AP69" s="2" t="str">
        <f t="shared" si="78"/>
        <v>Lundi</v>
      </c>
      <c r="AQ69" s="2" t="str">
        <f t="shared" si="78"/>
        <v>mardi</v>
      </c>
      <c r="AR69" s="2" t="str">
        <f t="shared" si="78"/>
        <v>Mer</v>
      </c>
      <c r="AS69" s="2" t="str">
        <f t="shared" si="78"/>
        <v>Jeu</v>
      </c>
      <c r="AT69" s="2" t="str">
        <f t="shared" si="78"/>
        <v>Ven</v>
      </c>
      <c r="AU69" s="2" t="str">
        <f t="shared" si="78"/>
        <v>Sam</v>
      </c>
      <c r="AV69" s="2" t="str">
        <f t="shared" si="78"/>
        <v>Dim</v>
      </c>
      <c r="AW69" s="2" t="str">
        <f t="shared" si="78"/>
        <v>Lundi</v>
      </c>
      <c r="AX69" s="2" t="str">
        <f t="shared" si="78"/>
        <v>mardi</v>
      </c>
      <c r="AY69" s="2" t="str">
        <f t="shared" si="78"/>
        <v>Mer</v>
      </c>
      <c r="AZ69" s="2" t="str">
        <f t="shared" si="78"/>
        <v>Jeu</v>
      </c>
      <c r="BA69" s="2" t="str">
        <f t="shared" si="78"/>
        <v>Ven</v>
      </c>
      <c r="BB69" s="2" t="str">
        <f t="shared" si="78"/>
        <v>Sam</v>
      </c>
      <c r="BC69" s="2" t="str">
        <f t="shared" si="78"/>
        <v>Dim</v>
      </c>
      <c r="BD69" s="2" t="str">
        <f t="shared" si="78"/>
        <v>Lundi</v>
      </c>
      <c r="BE69" s="2" t="str">
        <f t="shared" ref="BE69:DW69" si="79">BE$8</f>
        <v>mardi</v>
      </c>
      <c r="BF69" s="2" t="str">
        <f t="shared" si="79"/>
        <v>Mer</v>
      </c>
      <c r="BG69" s="2" t="str">
        <f t="shared" si="79"/>
        <v>Jeu</v>
      </c>
      <c r="BH69" s="2" t="str">
        <f t="shared" si="79"/>
        <v>Ven</v>
      </c>
      <c r="BI69" s="2" t="str">
        <f t="shared" si="79"/>
        <v>Sam</v>
      </c>
      <c r="BJ69" s="2" t="str">
        <f t="shared" si="79"/>
        <v>Dim</v>
      </c>
      <c r="BK69" s="2" t="str">
        <f t="shared" si="79"/>
        <v>Lundi</v>
      </c>
      <c r="BL69" s="2" t="str">
        <f t="shared" si="79"/>
        <v>mardi</v>
      </c>
      <c r="BM69" s="2" t="str">
        <f t="shared" si="79"/>
        <v>Mer</v>
      </c>
      <c r="BN69" s="2" t="str">
        <f t="shared" si="79"/>
        <v>Jeu</v>
      </c>
      <c r="BO69" s="2" t="str">
        <f t="shared" si="79"/>
        <v>Ven</v>
      </c>
      <c r="BP69" s="2" t="str">
        <f t="shared" si="79"/>
        <v>Sam</v>
      </c>
      <c r="BQ69" s="2" t="str">
        <f t="shared" si="79"/>
        <v>Dim</v>
      </c>
      <c r="BR69" s="2" t="str">
        <f t="shared" si="79"/>
        <v>Lundi</v>
      </c>
      <c r="BS69" s="2" t="str">
        <f t="shared" si="79"/>
        <v>mardi</v>
      </c>
      <c r="BT69" s="2" t="str">
        <f t="shared" si="79"/>
        <v>Mer</v>
      </c>
      <c r="BU69" s="2" t="str">
        <f t="shared" si="79"/>
        <v>Jeu</v>
      </c>
      <c r="BV69" s="2" t="str">
        <f t="shared" si="79"/>
        <v>Ven</v>
      </c>
      <c r="BW69" s="2" t="str">
        <f t="shared" si="79"/>
        <v>Sam</v>
      </c>
      <c r="BX69" s="2" t="str">
        <f t="shared" si="79"/>
        <v>Dim</v>
      </c>
      <c r="BY69" s="2" t="str">
        <f t="shared" si="79"/>
        <v>Lundi</v>
      </c>
      <c r="BZ69" s="2" t="str">
        <f t="shared" si="79"/>
        <v>mardi</v>
      </c>
      <c r="CA69" s="2" t="str">
        <f t="shared" si="79"/>
        <v>Mer</v>
      </c>
      <c r="CB69" s="2" t="str">
        <f t="shared" si="79"/>
        <v>Jeu</v>
      </c>
      <c r="CC69" s="2" t="str">
        <f t="shared" si="79"/>
        <v>Ven</v>
      </c>
      <c r="CD69" s="2" t="str">
        <f t="shared" si="79"/>
        <v>Sam</v>
      </c>
      <c r="CE69" s="2" t="str">
        <f t="shared" si="79"/>
        <v>Dim</v>
      </c>
      <c r="CF69" s="2" t="str">
        <f t="shared" si="79"/>
        <v>Lundi</v>
      </c>
      <c r="CG69" s="2" t="str">
        <f t="shared" si="79"/>
        <v>mardi</v>
      </c>
      <c r="CH69" s="2" t="str">
        <f t="shared" si="79"/>
        <v>Mer</v>
      </c>
      <c r="CI69" s="2" t="str">
        <f t="shared" si="79"/>
        <v>Jeu</v>
      </c>
      <c r="CJ69" s="2" t="str">
        <f t="shared" si="79"/>
        <v>Ven</v>
      </c>
      <c r="CK69" s="2" t="str">
        <f t="shared" si="79"/>
        <v>Sam</v>
      </c>
      <c r="CL69" s="2" t="str">
        <f t="shared" si="79"/>
        <v>Dim</v>
      </c>
      <c r="CM69" s="2" t="str">
        <f t="shared" si="79"/>
        <v>Lundi</v>
      </c>
      <c r="CN69" s="2" t="str">
        <f t="shared" si="79"/>
        <v>mardi</v>
      </c>
      <c r="CO69" s="2" t="str">
        <f t="shared" si="79"/>
        <v>Mer</v>
      </c>
      <c r="CP69" s="2" t="str">
        <f t="shared" si="79"/>
        <v>Jeu</v>
      </c>
      <c r="CQ69" s="2" t="str">
        <f t="shared" si="79"/>
        <v>Ven</v>
      </c>
      <c r="CR69" s="2" t="str">
        <f t="shared" si="79"/>
        <v>Sam</v>
      </c>
      <c r="CS69" s="2" t="str">
        <f t="shared" si="79"/>
        <v>Dim</v>
      </c>
      <c r="CT69" s="2" t="str">
        <f t="shared" si="79"/>
        <v>Lundi</v>
      </c>
      <c r="CU69" s="2" t="str">
        <f t="shared" si="79"/>
        <v>mardi</v>
      </c>
      <c r="CV69" s="2" t="str">
        <f t="shared" si="79"/>
        <v>Mer</v>
      </c>
      <c r="CW69" s="2" t="str">
        <f t="shared" si="79"/>
        <v>Jeu</v>
      </c>
      <c r="CX69" s="2" t="str">
        <f t="shared" si="79"/>
        <v>Ven</v>
      </c>
      <c r="CY69" s="2" t="str">
        <f t="shared" si="79"/>
        <v>Sam</v>
      </c>
      <c r="CZ69" s="2" t="str">
        <f t="shared" si="79"/>
        <v>Dim</v>
      </c>
      <c r="DA69" s="2" t="str">
        <f t="shared" si="79"/>
        <v>Lundi</v>
      </c>
      <c r="DB69" s="2" t="str">
        <f t="shared" si="79"/>
        <v>mardi</v>
      </c>
      <c r="DC69" s="2" t="str">
        <f t="shared" si="79"/>
        <v>Mer</v>
      </c>
      <c r="DD69" s="2" t="str">
        <f t="shared" si="79"/>
        <v>Jeu</v>
      </c>
      <c r="DE69" s="2" t="str">
        <f t="shared" si="79"/>
        <v>Ven</v>
      </c>
      <c r="DF69" s="2" t="str">
        <f t="shared" si="79"/>
        <v>Sam</v>
      </c>
      <c r="DG69" s="2" t="str">
        <f t="shared" si="79"/>
        <v>Dim</v>
      </c>
      <c r="DH69" s="2" t="str">
        <f t="shared" si="79"/>
        <v>Lundi</v>
      </c>
      <c r="DI69" s="2" t="str">
        <f t="shared" si="79"/>
        <v>mardi</v>
      </c>
      <c r="DJ69" s="2" t="str">
        <f t="shared" si="79"/>
        <v>Mer</v>
      </c>
      <c r="DK69" s="2" t="str">
        <f t="shared" si="79"/>
        <v>Jeu</v>
      </c>
      <c r="DL69" s="2" t="str">
        <f t="shared" si="79"/>
        <v>Ven</v>
      </c>
      <c r="DM69" s="2" t="str">
        <f t="shared" si="79"/>
        <v>Sam</v>
      </c>
      <c r="DN69" s="2" t="str">
        <f t="shared" si="79"/>
        <v>Dim</v>
      </c>
      <c r="DO69" s="2" t="str">
        <f t="shared" si="79"/>
        <v>Lundi</v>
      </c>
      <c r="DP69" s="2" t="str">
        <f t="shared" si="79"/>
        <v>mardi</v>
      </c>
      <c r="DQ69" s="2" t="str">
        <f t="shared" si="79"/>
        <v>Mer</v>
      </c>
      <c r="DR69" s="2" t="str">
        <f t="shared" si="79"/>
        <v>Jeu</v>
      </c>
      <c r="DS69" s="2" t="str">
        <f t="shared" si="79"/>
        <v>Ven</v>
      </c>
      <c r="DT69" s="2" t="str">
        <f t="shared" si="79"/>
        <v>Sam</v>
      </c>
      <c r="DU69" s="2" t="str">
        <f t="shared" si="79"/>
        <v>Dim</v>
      </c>
      <c r="DV69" s="11">
        <f t="shared" si="79"/>
        <v>0</v>
      </c>
      <c r="DW69" s="177">
        <f t="shared" si="79"/>
        <v>0</v>
      </c>
      <c r="FD69">
        <v>0</v>
      </c>
    </row>
    <row r="70" spans="1:178" outlineLevel="1">
      <c r="E70" s="39">
        <f>E$9</f>
        <v>44877</v>
      </c>
      <c r="F70" s="39">
        <f t="shared" ref="F70:BD70" si="80">F$9</f>
        <v>44878</v>
      </c>
      <c r="G70" s="39">
        <f t="shared" si="80"/>
        <v>44879</v>
      </c>
      <c r="H70" s="39">
        <f t="shared" si="80"/>
        <v>44880</v>
      </c>
      <c r="I70" s="39">
        <f t="shared" si="80"/>
        <v>44881</v>
      </c>
      <c r="J70" s="39">
        <f t="shared" si="80"/>
        <v>44882</v>
      </c>
      <c r="K70" s="39">
        <f t="shared" si="80"/>
        <v>44883</v>
      </c>
      <c r="L70" s="39">
        <f t="shared" si="80"/>
        <v>44884</v>
      </c>
      <c r="M70" s="39">
        <f t="shared" si="80"/>
        <v>44885</v>
      </c>
      <c r="N70" s="39">
        <f t="shared" si="80"/>
        <v>44886</v>
      </c>
      <c r="O70" s="39">
        <f t="shared" si="80"/>
        <v>44887</v>
      </c>
      <c r="P70" s="39">
        <f t="shared" si="80"/>
        <v>44888</v>
      </c>
      <c r="Q70" s="39">
        <f t="shared" si="80"/>
        <v>44889</v>
      </c>
      <c r="R70" s="39">
        <f t="shared" si="80"/>
        <v>44890</v>
      </c>
      <c r="S70" s="39">
        <f t="shared" si="80"/>
        <v>44891</v>
      </c>
      <c r="T70" s="39">
        <f t="shared" si="80"/>
        <v>44892</v>
      </c>
      <c r="U70" s="39">
        <f t="shared" si="80"/>
        <v>44893</v>
      </c>
      <c r="V70" s="39">
        <f t="shared" si="80"/>
        <v>44894</v>
      </c>
      <c r="W70" s="39">
        <f t="shared" si="80"/>
        <v>44895</v>
      </c>
      <c r="X70" s="39">
        <f t="shared" si="80"/>
        <v>44896</v>
      </c>
      <c r="Y70" s="39">
        <f t="shared" si="80"/>
        <v>44897</v>
      </c>
      <c r="Z70" s="39">
        <f t="shared" si="80"/>
        <v>44898</v>
      </c>
      <c r="AA70" s="39">
        <f t="shared" si="80"/>
        <v>44899</v>
      </c>
      <c r="AB70" s="39">
        <f t="shared" si="80"/>
        <v>44900</v>
      </c>
      <c r="AC70" s="39">
        <f t="shared" si="80"/>
        <v>44901</v>
      </c>
      <c r="AD70" s="39">
        <f t="shared" si="80"/>
        <v>44902</v>
      </c>
      <c r="AE70" s="39">
        <f t="shared" si="80"/>
        <v>44903</v>
      </c>
      <c r="AF70" s="39">
        <f t="shared" si="80"/>
        <v>44904</v>
      </c>
      <c r="AG70" s="39">
        <f t="shared" si="80"/>
        <v>44905</v>
      </c>
      <c r="AH70" s="39">
        <f t="shared" si="80"/>
        <v>44906</v>
      </c>
      <c r="AI70" s="39">
        <f t="shared" si="80"/>
        <v>44907</v>
      </c>
      <c r="AJ70" s="39">
        <f t="shared" si="80"/>
        <v>44908</v>
      </c>
      <c r="AK70" s="39">
        <f t="shared" si="80"/>
        <v>44909</v>
      </c>
      <c r="AL70" s="39">
        <f t="shared" si="80"/>
        <v>44910</v>
      </c>
      <c r="AM70" s="39">
        <f t="shared" si="80"/>
        <v>44911</v>
      </c>
      <c r="AN70" s="39">
        <f t="shared" si="80"/>
        <v>44912</v>
      </c>
      <c r="AO70" s="39">
        <f t="shared" si="80"/>
        <v>44913</v>
      </c>
      <c r="AP70" s="39">
        <f t="shared" si="80"/>
        <v>44914</v>
      </c>
      <c r="AQ70" s="39">
        <f t="shared" si="80"/>
        <v>44915</v>
      </c>
      <c r="AR70" s="39">
        <f t="shared" si="80"/>
        <v>44916</v>
      </c>
      <c r="AS70" s="39">
        <f t="shared" si="80"/>
        <v>44917</v>
      </c>
      <c r="AT70" s="39">
        <f t="shared" si="80"/>
        <v>44918</v>
      </c>
      <c r="AU70" s="39">
        <f t="shared" si="80"/>
        <v>44919</v>
      </c>
      <c r="AV70" s="39">
        <f t="shared" si="80"/>
        <v>44920</v>
      </c>
      <c r="AW70" s="39">
        <f t="shared" si="80"/>
        <v>44921</v>
      </c>
      <c r="AX70" s="39">
        <f t="shared" si="80"/>
        <v>44922</v>
      </c>
      <c r="AY70" s="39">
        <f t="shared" si="80"/>
        <v>44923</v>
      </c>
      <c r="AZ70" s="39">
        <f t="shared" si="80"/>
        <v>44924</v>
      </c>
      <c r="BA70" s="39">
        <f t="shared" si="80"/>
        <v>44925</v>
      </c>
      <c r="BB70" s="39">
        <f t="shared" si="80"/>
        <v>44926</v>
      </c>
      <c r="BC70" s="39">
        <f t="shared" si="80"/>
        <v>44927</v>
      </c>
      <c r="BD70" s="39">
        <f t="shared" si="80"/>
        <v>44928</v>
      </c>
      <c r="BE70" s="39">
        <f t="shared" ref="BE70:DW70" si="81">BE$9</f>
        <v>44929</v>
      </c>
      <c r="BF70" s="39">
        <f t="shared" si="81"/>
        <v>44930</v>
      </c>
      <c r="BG70" s="39">
        <f t="shared" si="81"/>
        <v>44931</v>
      </c>
      <c r="BH70" s="39">
        <f t="shared" si="81"/>
        <v>44932</v>
      </c>
      <c r="BI70" s="39">
        <f t="shared" si="81"/>
        <v>44933</v>
      </c>
      <c r="BJ70" s="39">
        <f t="shared" si="81"/>
        <v>44934</v>
      </c>
      <c r="BK70" s="39">
        <f t="shared" si="81"/>
        <v>44935</v>
      </c>
      <c r="BL70" s="39">
        <f t="shared" si="81"/>
        <v>44936</v>
      </c>
      <c r="BM70" s="39">
        <f t="shared" si="81"/>
        <v>44937</v>
      </c>
      <c r="BN70" s="39">
        <f t="shared" si="81"/>
        <v>44938</v>
      </c>
      <c r="BO70" s="39">
        <f t="shared" si="81"/>
        <v>44939</v>
      </c>
      <c r="BP70" s="39">
        <f t="shared" si="81"/>
        <v>44940</v>
      </c>
      <c r="BQ70" s="39">
        <f t="shared" si="81"/>
        <v>44941</v>
      </c>
      <c r="BR70" s="39">
        <f t="shared" si="81"/>
        <v>44942</v>
      </c>
      <c r="BS70" s="39">
        <f t="shared" si="81"/>
        <v>44943</v>
      </c>
      <c r="BT70" s="39">
        <f t="shared" si="81"/>
        <v>44944</v>
      </c>
      <c r="BU70" s="39">
        <f t="shared" si="81"/>
        <v>44945</v>
      </c>
      <c r="BV70" s="39">
        <f t="shared" si="81"/>
        <v>44946</v>
      </c>
      <c r="BW70" s="39">
        <f t="shared" si="81"/>
        <v>44947</v>
      </c>
      <c r="BX70" s="39">
        <f t="shared" si="81"/>
        <v>44948</v>
      </c>
      <c r="BY70" s="39">
        <f t="shared" si="81"/>
        <v>44949</v>
      </c>
      <c r="BZ70" s="39">
        <f t="shared" si="81"/>
        <v>44950</v>
      </c>
      <c r="CA70" s="39">
        <f t="shared" si="81"/>
        <v>44951</v>
      </c>
      <c r="CB70" s="39">
        <f t="shared" si="81"/>
        <v>44952</v>
      </c>
      <c r="CC70" s="39">
        <f t="shared" si="81"/>
        <v>44953</v>
      </c>
      <c r="CD70" s="39">
        <f t="shared" si="81"/>
        <v>44954</v>
      </c>
      <c r="CE70" s="39">
        <f t="shared" si="81"/>
        <v>44955</v>
      </c>
      <c r="CF70" s="39">
        <f t="shared" si="81"/>
        <v>44956</v>
      </c>
      <c r="CG70" s="39">
        <f t="shared" si="81"/>
        <v>44957</v>
      </c>
      <c r="CH70" s="39">
        <f t="shared" si="81"/>
        <v>44958</v>
      </c>
      <c r="CI70" s="39">
        <f t="shared" si="81"/>
        <v>44959</v>
      </c>
      <c r="CJ70" s="39">
        <f t="shared" si="81"/>
        <v>44960</v>
      </c>
      <c r="CK70" s="39">
        <f t="shared" si="81"/>
        <v>44961</v>
      </c>
      <c r="CL70" s="39">
        <f t="shared" si="81"/>
        <v>44962</v>
      </c>
      <c r="CM70" s="39">
        <f t="shared" si="81"/>
        <v>44963</v>
      </c>
      <c r="CN70" s="39">
        <f t="shared" si="81"/>
        <v>44964</v>
      </c>
      <c r="CO70" s="39">
        <f t="shared" si="81"/>
        <v>44965</v>
      </c>
      <c r="CP70" s="39">
        <f t="shared" si="81"/>
        <v>44966</v>
      </c>
      <c r="CQ70" s="39">
        <f t="shared" si="81"/>
        <v>44967</v>
      </c>
      <c r="CR70" s="39">
        <f t="shared" si="81"/>
        <v>44968</v>
      </c>
      <c r="CS70" s="39">
        <f t="shared" si="81"/>
        <v>44969</v>
      </c>
      <c r="CT70" s="39">
        <f t="shared" si="81"/>
        <v>44970</v>
      </c>
      <c r="CU70" s="39">
        <f t="shared" si="81"/>
        <v>44971</v>
      </c>
      <c r="CV70" s="39">
        <f t="shared" si="81"/>
        <v>44972</v>
      </c>
      <c r="CW70" s="39">
        <f t="shared" si="81"/>
        <v>44973</v>
      </c>
      <c r="CX70" s="39">
        <f t="shared" si="81"/>
        <v>44974</v>
      </c>
      <c r="CY70" s="39">
        <f t="shared" si="81"/>
        <v>44975</v>
      </c>
      <c r="CZ70" s="39">
        <f t="shared" si="81"/>
        <v>44976</v>
      </c>
      <c r="DA70" s="39">
        <f t="shared" si="81"/>
        <v>44977</v>
      </c>
      <c r="DB70" s="39">
        <f t="shared" si="81"/>
        <v>44978</v>
      </c>
      <c r="DC70" s="39">
        <f t="shared" si="81"/>
        <v>44979</v>
      </c>
      <c r="DD70" s="39">
        <f t="shared" si="81"/>
        <v>44980</v>
      </c>
      <c r="DE70" s="39">
        <f t="shared" si="81"/>
        <v>44981</v>
      </c>
      <c r="DF70" s="39">
        <f t="shared" si="81"/>
        <v>44982</v>
      </c>
      <c r="DG70" s="39">
        <f t="shared" si="81"/>
        <v>44983</v>
      </c>
      <c r="DH70" s="39">
        <f t="shared" si="81"/>
        <v>44984</v>
      </c>
      <c r="DI70" s="39">
        <f t="shared" si="81"/>
        <v>44985</v>
      </c>
      <c r="DJ70" s="39">
        <f t="shared" si="81"/>
        <v>44986</v>
      </c>
      <c r="DK70" s="39">
        <f t="shared" si="81"/>
        <v>44987</v>
      </c>
      <c r="DL70" s="39">
        <f t="shared" si="81"/>
        <v>44988</v>
      </c>
      <c r="DM70" s="39">
        <f t="shared" si="81"/>
        <v>44989</v>
      </c>
      <c r="DN70" s="39">
        <f t="shared" si="81"/>
        <v>44990</v>
      </c>
      <c r="DO70" s="39">
        <f t="shared" si="81"/>
        <v>44991</v>
      </c>
      <c r="DP70" s="39">
        <f t="shared" si="81"/>
        <v>44992</v>
      </c>
      <c r="DQ70" s="39">
        <f t="shared" si="81"/>
        <v>44993</v>
      </c>
      <c r="DR70" s="39">
        <f t="shared" si="81"/>
        <v>44994</v>
      </c>
      <c r="DS70" s="39">
        <f t="shared" si="81"/>
        <v>44995</v>
      </c>
      <c r="DT70" s="39">
        <f t="shared" si="81"/>
        <v>44996</v>
      </c>
      <c r="DU70" s="39">
        <f t="shared" si="81"/>
        <v>44997</v>
      </c>
      <c r="DV70" s="197">
        <f t="shared" si="81"/>
        <v>0</v>
      </c>
      <c r="DW70" s="183">
        <f t="shared" si="81"/>
        <v>0</v>
      </c>
      <c r="FD70">
        <v>0</v>
      </c>
      <c r="FP70" s="2" t="s">
        <v>986</v>
      </c>
      <c r="FS70" s="2" t="s">
        <v>987</v>
      </c>
    </row>
    <row r="71" spans="1:178" ht="15" outlineLevel="1" thickBot="1">
      <c r="E71" s="2" t="str">
        <f>+E$7</f>
        <v>Nbre jours</v>
      </c>
      <c r="F71" s="2">
        <f t="shared" ref="F71:BD71" si="82">+F$7</f>
        <v>1</v>
      </c>
      <c r="G71" s="2">
        <f t="shared" si="82"/>
        <v>2</v>
      </c>
      <c r="H71" s="2">
        <f t="shared" si="82"/>
        <v>3</v>
      </c>
      <c r="I71" s="2">
        <f t="shared" si="82"/>
        <v>4</v>
      </c>
      <c r="J71" s="2">
        <f t="shared" si="82"/>
        <v>5</v>
      </c>
      <c r="K71" s="2">
        <f t="shared" si="82"/>
        <v>6</v>
      </c>
      <c r="L71" s="2">
        <f t="shared" si="82"/>
        <v>7</v>
      </c>
      <c r="M71" s="2">
        <f t="shared" si="82"/>
        <v>8</v>
      </c>
      <c r="N71" s="2">
        <f t="shared" si="82"/>
        <v>9</v>
      </c>
      <c r="O71" s="2">
        <f t="shared" si="82"/>
        <v>10</v>
      </c>
      <c r="P71" s="2">
        <f t="shared" si="82"/>
        <v>11</v>
      </c>
      <c r="Q71" s="2">
        <f t="shared" si="82"/>
        <v>12</v>
      </c>
      <c r="R71" s="2">
        <f t="shared" si="82"/>
        <v>13</v>
      </c>
      <c r="S71" s="2">
        <f t="shared" si="82"/>
        <v>14</v>
      </c>
      <c r="T71" s="2">
        <f t="shared" si="82"/>
        <v>15</v>
      </c>
      <c r="U71" s="2">
        <f t="shared" si="82"/>
        <v>16</v>
      </c>
      <c r="V71" s="2">
        <f t="shared" si="82"/>
        <v>17</v>
      </c>
      <c r="W71" s="2">
        <f t="shared" si="82"/>
        <v>18</v>
      </c>
      <c r="X71" s="2">
        <f t="shared" si="82"/>
        <v>19</v>
      </c>
      <c r="Y71" s="2">
        <f t="shared" si="82"/>
        <v>20</v>
      </c>
      <c r="Z71" s="2">
        <f t="shared" si="82"/>
        <v>21</v>
      </c>
      <c r="AA71" s="2">
        <f t="shared" si="82"/>
        <v>22</v>
      </c>
      <c r="AB71" s="2">
        <f t="shared" si="82"/>
        <v>23</v>
      </c>
      <c r="AC71" s="2">
        <f t="shared" si="82"/>
        <v>24</v>
      </c>
      <c r="AD71" s="2">
        <f t="shared" si="82"/>
        <v>25</v>
      </c>
      <c r="AE71" s="2">
        <f t="shared" si="82"/>
        <v>26</v>
      </c>
      <c r="AF71" s="2">
        <f t="shared" si="82"/>
        <v>27</v>
      </c>
      <c r="AG71" s="2">
        <f t="shared" si="82"/>
        <v>28</v>
      </c>
      <c r="AH71" s="2">
        <f t="shared" si="82"/>
        <v>29</v>
      </c>
      <c r="AI71" s="2">
        <f t="shared" si="82"/>
        <v>30</v>
      </c>
      <c r="AJ71" s="2">
        <f t="shared" si="82"/>
        <v>31</v>
      </c>
      <c r="AK71" s="2">
        <f t="shared" si="82"/>
        <v>32</v>
      </c>
      <c r="AL71" s="2">
        <f t="shared" si="82"/>
        <v>33</v>
      </c>
      <c r="AM71" s="2">
        <f t="shared" si="82"/>
        <v>34</v>
      </c>
      <c r="AN71" s="2">
        <f t="shared" si="82"/>
        <v>35</v>
      </c>
      <c r="AO71" s="2">
        <f t="shared" si="82"/>
        <v>36</v>
      </c>
      <c r="AP71" s="2">
        <f t="shared" si="82"/>
        <v>37</v>
      </c>
      <c r="AQ71" s="2">
        <f t="shared" si="82"/>
        <v>38</v>
      </c>
      <c r="AR71" s="2">
        <f t="shared" si="82"/>
        <v>39</v>
      </c>
      <c r="AS71" s="2">
        <f t="shared" si="82"/>
        <v>40</v>
      </c>
      <c r="AT71" s="2">
        <f t="shared" si="82"/>
        <v>41</v>
      </c>
      <c r="AU71" s="2">
        <f t="shared" si="82"/>
        <v>42</v>
      </c>
      <c r="AV71" s="2">
        <f t="shared" si="82"/>
        <v>43</v>
      </c>
      <c r="AW71" s="2">
        <f t="shared" si="82"/>
        <v>44</v>
      </c>
      <c r="AX71" s="2">
        <f t="shared" si="82"/>
        <v>45</v>
      </c>
      <c r="AY71" s="2">
        <f t="shared" si="82"/>
        <v>46</v>
      </c>
      <c r="AZ71" s="2">
        <f t="shared" si="82"/>
        <v>47</v>
      </c>
      <c r="BA71" s="2">
        <f t="shared" si="82"/>
        <v>48</v>
      </c>
      <c r="BB71" s="2">
        <f t="shared" si="82"/>
        <v>49</v>
      </c>
      <c r="BC71" s="2">
        <f t="shared" si="82"/>
        <v>50</v>
      </c>
      <c r="BD71" s="2">
        <f t="shared" si="82"/>
        <v>51</v>
      </c>
      <c r="BE71" s="2">
        <f t="shared" ref="BE71:DW71" si="83">BE$7</f>
        <v>52</v>
      </c>
      <c r="BF71" s="2">
        <f t="shared" si="83"/>
        <v>53</v>
      </c>
      <c r="BG71" s="2">
        <f t="shared" si="83"/>
        <v>54</v>
      </c>
      <c r="BH71" s="2">
        <f t="shared" si="83"/>
        <v>55</v>
      </c>
      <c r="BI71" s="2">
        <f t="shared" si="83"/>
        <v>56</v>
      </c>
      <c r="BJ71" s="2">
        <f t="shared" si="83"/>
        <v>57</v>
      </c>
      <c r="BK71" s="2">
        <f t="shared" si="83"/>
        <v>58</v>
      </c>
      <c r="BL71" s="2">
        <f t="shared" si="83"/>
        <v>59</v>
      </c>
      <c r="BM71" s="2">
        <f t="shared" si="83"/>
        <v>60</v>
      </c>
      <c r="BN71" s="2">
        <f t="shared" si="83"/>
        <v>61</v>
      </c>
      <c r="BO71" s="2">
        <f t="shared" si="83"/>
        <v>62</v>
      </c>
      <c r="BP71" s="2">
        <f t="shared" si="83"/>
        <v>63</v>
      </c>
      <c r="BQ71" s="2">
        <f t="shared" si="83"/>
        <v>64</v>
      </c>
      <c r="BR71" s="2">
        <f t="shared" si="83"/>
        <v>65</v>
      </c>
      <c r="BS71" s="2">
        <f t="shared" si="83"/>
        <v>66</v>
      </c>
      <c r="BT71" s="2">
        <f t="shared" si="83"/>
        <v>67</v>
      </c>
      <c r="BU71" s="2">
        <f t="shared" si="83"/>
        <v>68</v>
      </c>
      <c r="BV71" s="2">
        <f t="shared" si="83"/>
        <v>69</v>
      </c>
      <c r="BW71" s="2">
        <f t="shared" si="83"/>
        <v>70</v>
      </c>
      <c r="BX71" s="2">
        <f t="shared" si="83"/>
        <v>71</v>
      </c>
      <c r="BY71" s="2">
        <f t="shared" si="83"/>
        <v>72</v>
      </c>
      <c r="BZ71" s="2">
        <f t="shared" si="83"/>
        <v>73</v>
      </c>
      <c r="CA71" s="2">
        <f t="shared" si="83"/>
        <v>74</v>
      </c>
      <c r="CB71" s="2">
        <f t="shared" si="83"/>
        <v>75</v>
      </c>
      <c r="CC71" s="2">
        <f t="shared" si="83"/>
        <v>76</v>
      </c>
      <c r="CD71" s="2">
        <f t="shared" si="83"/>
        <v>77</v>
      </c>
      <c r="CE71" s="2">
        <f t="shared" si="83"/>
        <v>78</v>
      </c>
      <c r="CF71" s="2">
        <f t="shared" si="83"/>
        <v>79</v>
      </c>
      <c r="CG71" s="2">
        <f t="shared" si="83"/>
        <v>80</v>
      </c>
      <c r="CH71" s="2">
        <f t="shared" si="83"/>
        <v>81</v>
      </c>
      <c r="CI71" s="2">
        <f t="shared" si="83"/>
        <v>82</v>
      </c>
      <c r="CJ71" s="2">
        <f t="shared" si="83"/>
        <v>83</v>
      </c>
      <c r="CK71" s="2">
        <f t="shared" si="83"/>
        <v>84</v>
      </c>
      <c r="CL71" s="2">
        <f t="shared" si="83"/>
        <v>85</v>
      </c>
      <c r="CM71" s="2">
        <f t="shared" si="83"/>
        <v>86</v>
      </c>
      <c r="CN71" s="2">
        <f t="shared" si="83"/>
        <v>87</v>
      </c>
      <c r="CO71" s="2">
        <f t="shared" si="83"/>
        <v>88</v>
      </c>
      <c r="CP71" s="2">
        <f t="shared" si="83"/>
        <v>89</v>
      </c>
      <c r="CQ71" s="2">
        <f t="shared" si="83"/>
        <v>90</v>
      </c>
      <c r="CR71" s="2">
        <f t="shared" si="83"/>
        <v>91</v>
      </c>
      <c r="CS71" s="2">
        <f t="shared" si="83"/>
        <v>92</v>
      </c>
      <c r="CT71" s="2">
        <f t="shared" si="83"/>
        <v>93</v>
      </c>
      <c r="CU71" s="2">
        <f t="shared" si="83"/>
        <v>94</v>
      </c>
      <c r="CV71" s="2">
        <f t="shared" si="83"/>
        <v>95</v>
      </c>
      <c r="CW71" s="2">
        <f t="shared" si="83"/>
        <v>96</v>
      </c>
      <c r="CX71" s="2">
        <f t="shared" si="83"/>
        <v>97</v>
      </c>
      <c r="CY71" s="2">
        <f t="shared" si="83"/>
        <v>98</v>
      </c>
      <c r="CZ71" s="2">
        <f t="shared" si="83"/>
        <v>99</v>
      </c>
      <c r="DA71" s="2">
        <f t="shared" si="83"/>
        <v>100</v>
      </c>
      <c r="DB71" s="2">
        <f t="shared" si="83"/>
        <v>101</v>
      </c>
      <c r="DC71" s="2">
        <f t="shared" si="83"/>
        <v>102</v>
      </c>
      <c r="DD71" s="2">
        <f t="shared" si="83"/>
        <v>103</v>
      </c>
      <c r="DE71" s="2">
        <f t="shared" si="83"/>
        <v>104</v>
      </c>
      <c r="DF71" s="2">
        <f t="shared" si="83"/>
        <v>105</v>
      </c>
      <c r="DG71" s="2">
        <f t="shared" si="83"/>
        <v>106</v>
      </c>
      <c r="DH71" s="2">
        <f t="shared" si="83"/>
        <v>107</v>
      </c>
      <c r="DI71" s="2">
        <f t="shared" si="83"/>
        <v>108</v>
      </c>
      <c r="DJ71" s="2">
        <f t="shared" si="83"/>
        <v>109</v>
      </c>
      <c r="DK71" s="2">
        <f t="shared" si="83"/>
        <v>110</v>
      </c>
      <c r="DL71" s="2">
        <f t="shared" si="83"/>
        <v>111</v>
      </c>
      <c r="DM71" s="2">
        <f t="shared" si="83"/>
        <v>112</v>
      </c>
      <c r="DN71" s="2">
        <f t="shared" si="83"/>
        <v>113</v>
      </c>
      <c r="DO71" s="2">
        <f t="shared" si="83"/>
        <v>114</v>
      </c>
      <c r="DP71" s="2">
        <f t="shared" si="83"/>
        <v>115</v>
      </c>
      <c r="DQ71" s="2">
        <f t="shared" si="83"/>
        <v>116</v>
      </c>
      <c r="DR71" s="2">
        <f t="shared" si="83"/>
        <v>117</v>
      </c>
      <c r="DS71" s="2">
        <f t="shared" si="83"/>
        <v>118</v>
      </c>
      <c r="DT71" s="2">
        <f t="shared" si="83"/>
        <v>119</v>
      </c>
      <c r="DU71" s="2">
        <f t="shared" si="83"/>
        <v>120</v>
      </c>
      <c r="DV71" s="11">
        <f t="shared" si="83"/>
        <v>0</v>
      </c>
      <c r="DW71" s="177">
        <f t="shared" si="83"/>
        <v>0</v>
      </c>
      <c r="FD71">
        <v>0</v>
      </c>
      <c r="FE71" s="118" t="str">
        <f>+FE$11</f>
        <v>France</v>
      </c>
      <c r="FF71" s="118" t="str">
        <f>FF$33</f>
        <v>NOV 18 jrs</v>
      </c>
      <c r="FG71" s="118" t="str">
        <f>FG$33</f>
        <v>DEC 31 jrs</v>
      </c>
      <c r="FH71" s="118" t="str">
        <f>FH$33</f>
        <v>JAN 31 jrs</v>
      </c>
      <c r="FI71" s="118" t="str">
        <f>FI$33</f>
        <v>FEV 28 jrs</v>
      </c>
      <c r="FJ71" s="118" t="str">
        <f>FJ$33</f>
        <v>MAR 12 jrs</v>
      </c>
      <c r="FK71" s="118" t="str">
        <f>+FK$11</f>
        <v>SEPT</v>
      </c>
      <c r="FL71" s="118" t="str">
        <f>+FL$11</f>
        <v>OCT</v>
      </c>
      <c r="FP71" s="4">
        <v>120</v>
      </c>
      <c r="FS71" s="4">
        <v>45</v>
      </c>
    </row>
    <row r="72" spans="1:178" outlineLevel="1">
      <c r="A72" t="s">
        <v>205</v>
      </c>
      <c r="B72" t="s">
        <v>328</v>
      </c>
      <c r="C72" s="72" t="s">
        <v>205</v>
      </c>
      <c r="D72" s="6">
        <v>0</v>
      </c>
      <c r="E72" s="6">
        <f t="shared" ref="E72:E89" si="84">+SUMIF($C$12:$C$29,$C72,E$12:E$29)/E$6+SUMIF($C$47:$C$63,$C72,E$47:E$64)</f>
        <v>0</v>
      </c>
      <c r="F72" s="6">
        <f t="shared" ref="F72:AK72" si="85">+SUMIF($C$12:$C$29,$C72,F$12:F$29)/F$6+SUMIF($C$47:$C$63,$C72,F$47:F$64)</f>
        <v>2.8346456692913389</v>
      </c>
      <c r="G72" s="6">
        <f t="shared" si="85"/>
        <v>4.9212598425196852</v>
      </c>
      <c r="H72" s="6">
        <f t="shared" si="85"/>
        <v>8.1102362204724407</v>
      </c>
      <c r="I72" s="6">
        <f t="shared" si="85"/>
        <v>4.7244094488188981</v>
      </c>
      <c r="J72" s="6">
        <f t="shared" si="85"/>
        <v>1.5748031496062993</v>
      </c>
      <c r="K72" s="6">
        <f t="shared" si="85"/>
        <v>9.8425196850393704</v>
      </c>
      <c r="L72" s="6">
        <f t="shared" si="85"/>
        <v>0</v>
      </c>
      <c r="M72" s="6">
        <f t="shared" si="85"/>
        <v>5.5118110236220472</v>
      </c>
      <c r="N72" s="6">
        <f t="shared" si="85"/>
        <v>0</v>
      </c>
      <c r="O72" s="6">
        <f t="shared" si="85"/>
        <v>5.5118110236220472</v>
      </c>
      <c r="P72" s="6">
        <f t="shared" si="85"/>
        <v>2.1653543307086616</v>
      </c>
      <c r="Q72" s="6">
        <f t="shared" si="85"/>
        <v>0.94488188976377963</v>
      </c>
      <c r="R72" s="6">
        <f t="shared" si="85"/>
        <v>1.9685039370078741</v>
      </c>
      <c r="S72" s="6">
        <f t="shared" si="85"/>
        <v>2.8740157480314963</v>
      </c>
      <c r="T72" s="6">
        <f t="shared" si="85"/>
        <v>2.5590551181102366</v>
      </c>
      <c r="U72" s="6">
        <f t="shared" si="85"/>
        <v>7.4803149606299213</v>
      </c>
      <c r="V72" s="6">
        <f t="shared" si="85"/>
        <v>4.6456692913385833</v>
      </c>
      <c r="W72" s="6">
        <f t="shared" si="85"/>
        <v>0.98425196850393704</v>
      </c>
      <c r="X72" s="6">
        <f t="shared" si="85"/>
        <v>0.9055118110236221</v>
      </c>
      <c r="Y72" s="6">
        <f t="shared" si="85"/>
        <v>0</v>
      </c>
      <c r="Z72" s="6">
        <f t="shared" si="85"/>
        <v>0</v>
      </c>
      <c r="AA72" s="6">
        <f t="shared" si="85"/>
        <v>6.6929133858267722</v>
      </c>
      <c r="AB72" s="6">
        <f t="shared" si="85"/>
        <v>0</v>
      </c>
      <c r="AC72" s="6">
        <f t="shared" si="85"/>
        <v>13.818897637795276</v>
      </c>
      <c r="AD72" s="6">
        <f t="shared" si="85"/>
        <v>7.4409448818897639</v>
      </c>
      <c r="AE72" s="6">
        <f t="shared" si="85"/>
        <v>1.9685039370078741</v>
      </c>
      <c r="AF72" s="6">
        <f t="shared" si="85"/>
        <v>0</v>
      </c>
      <c r="AG72" s="6">
        <f t="shared" si="85"/>
        <v>1.5748031496062993</v>
      </c>
      <c r="AH72" s="6">
        <f t="shared" si="85"/>
        <v>12.20472440944882</v>
      </c>
      <c r="AI72" s="6">
        <f t="shared" si="85"/>
        <v>0.59055118110236227</v>
      </c>
      <c r="AJ72" s="6">
        <f t="shared" si="85"/>
        <v>0</v>
      </c>
      <c r="AK72" s="6">
        <f t="shared" si="85"/>
        <v>0</v>
      </c>
      <c r="AL72" s="6">
        <f t="shared" ref="AL72:BQ72" si="86">+SUMIF($C$12:$C$29,$C72,AL$12:AL$29)/AL$6+SUMIF($C$47:$C$63,$C72,AL$47:AL$64)</f>
        <v>4.2084168336673349</v>
      </c>
      <c r="AM72" s="6">
        <f t="shared" si="86"/>
        <v>6.4128256513026054</v>
      </c>
      <c r="AN72" s="6">
        <f t="shared" si="86"/>
        <v>8.8176352705410821</v>
      </c>
      <c r="AO72" s="6">
        <f t="shared" si="86"/>
        <v>0</v>
      </c>
      <c r="AP72" s="6">
        <f t="shared" si="86"/>
        <v>0</v>
      </c>
      <c r="AQ72" s="6">
        <f t="shared" si="86"/>
        <v>8.1763527054108227</v>
      </c>
      <c r="AR72" s="6">
        <f t="shared" si="86"/>
        <v>1.0020040080160322</v>
      </c>
      <c r="AS72" s="6">
        <f t="shared" si="86"/>
        <v>2.6052104208416833</v>
      </c>
      <c r="AT72" s="6">
        <f t="shared" si="86"/>
        <v>18.436873747494989</v>
      </c>
      <c r="AU72" s="6">
        <f t="shared" si="86"/>
        <v>26.212424849699399</v>
      </c>
      <c r="AV72" s="6">
        <f t="shared" si="86"/>
        <v>0</v>
      </c>
      <c r="AW72" s="6">
        <f t="shared" si="86"/>
        <v>0</v>
      </c>
      <c r="AX72" s="6">
        <f t="shared" si="86"/>
        <v>0</v>
      </c>
      <c r="AY72" s="6">
        <f t="shared" si="86"/>
        <v>1.2024048096192386</v>
      </c>
      <c r="AZ72" s="6">
        <f t="shared" si="86"/>
        <v>0</v>
      </c>
      <c r="BA72" s="6">
        <f t="shared" si="86"/>
        <v>3.2064128256513027</v>
      </c>
      <c r="BB72" s="6">
        <f t="shared" si="86"/>
        <v>0</v>
      </c>
      <c r="BC72" s="6">
        <f t="shared" si="86"/>
        <v>0</v>
      </c>
      <c r="BD72" s="6">
        <f t="shared" si="86"/>
        <v>0</v>
      </c>
      <c r="BE72" s="6">
        <f t="shared" si="86"/>
        <v>0.95087163232963556</v>
      </c>
      <c r="BF72" s="6">
        <f t="shared" si="86"/>
        <v>0</v>
      </c>
      <c r="BG72" s="6">
        <f t="shared" si="86"/>
        <v>10.301109350237718</v>
      </c>
      <c r="BH72" s="6">
        <f t="shared" si="86"/>
        <v>10.697305863708401</v>
      </c>
      <c r="BI72" s="6">
        <f t="shared" si="86"/>
        <v>0.79239302694136293</v>
      </c>
      <c r="BJ72" s="6">
        <f t="shared" si="86"/>
        <v>1.3866877971473852</v>
      </c>
      <c r="BK72" s="6">
        <f t="shared" si="86"/>
        <v>0</v>
      </c>
      <c r="BL72" s="6">
        <f t="shared" si="86"/>
        <v>6.8541996830427898</v>
      </c>
      <c r="BM72" s="6">
        <f t="shared" si="86"/>
        <v>20.206022187004756</v>
      </c>
      <c r="BN72" s="6">
        <f t="shared" si="86"/>
        <v>7.9239302694136295</v>
      </c>
      <c r="BO72" s="6">
        <f t="shared" si="86"/>
        <v>0.63391442155309041</v>
      </c>
      <c r="BP72" s="6">
        <f t="shared" si="86"/>
        <v>0</v>
      </c>
      <c r="BQ72" s="6">
        <f t="shared" si="86"/>
        <v>11.489698890649763</v>
      </c>
      <c r="BR72" s="6">
        <f t="shared" ref="BR72:CG72" si="87">+SUMIF($C$12:$C$29,$C72,BR$12:BR$29)/BR$6+SUMIF($C$47:$C$63,$C72,BR$47:BR$64)</f>
        <v>1.5847860538827259</v>
      </c>
      <c r="BS72" s="6">
        <f t="shared" si="87"/>
        <v>14.263074484944534</v>
      </c>
      <c r="BT72" s="6">
        <f t="shared" si="87"/>
        <v>17.591125198098258</v>
      </c>
      <c r="BU72" s="6">
        <f t="shared" si="87"/>
        <v>23.217115689381934</v>
      </c>
      <c r="BV72" s="6">
        <f t="shared" si="87"/>
        <v>50.31695721077655</v>
      </c>
      <c r="BW72" s="6">
        <f t="shared" si="87"/>
        <v>0.79239302694136293</v>
      </c>
      <c r="BX72" s="6">
        <f t="shared" si="87"/>
        <v>0</v>
      </c>
      <c r="BY72" s="6">
        <f t="shared" si="87"/>
        <v>3.4469096671949289</v>
      </c>
      <c r="BZ72" s="6">
        <f t="shared" si="87"/>
        <v>6.7353407290015852</v>
      </c>
      <c r="CA72" s="6">
        <f t="shared" si="87"/>
        <v>0</v>
      </c>
      <c r="CB72" s="6">
        <f t="shared" si="87"/>
        <v>1.1885895404120443</v>
      </c>
      <c r="CC72" s="6">
        <f t="shared" si="87"/>
        <v>3.1695721077654517</v>
      </c>
      <c r="CD72" s="6">
        <f t="shared" si="87"/>
        <v>1.1885895404120443</v>
      </c>
      <c r="CE72" s="6">
        <f t="shared" si="87"/>
        <v>2.8526148969889067</v>
      </c>
      <c r="CF72" s="6">
        <f t="shared" si="87"/>
        <v>0</v>
      </c>
      <c r="CG72" s="6">
        <f t="shared" si="87"/>
        <v>0.39619651347068147</v>
      </c>
      <c r="CH72" s="6">
        <f t="shared" ref="CH72:DA75" si="88">+SUMIF($C$12:$C$29,$C72,CH$12:CH$29)/CH$6+SUMIF($C$47:$C$63,$C72,CH$47:CH$64)</f>
        <v>0.91125198098256743</v>
      </c>
      <c r="CI72" s="6">
        <f t="shared" si="88"/>
        <v>4.199683042789224</v>
      </c>
      <c r="CJ72" s="6">
        <f t="shared" si="88"/>
        <v>3.0110935023771792</v>
      </c>
      <c r="CK72" s="6">
        <f t="shared" si="88"/>
        <v>9.6275752773375594</v>
      </c>
      <c r="CL72" s="6">
        <f t="shared" si="88"/>
        <v>0</v>
      </c>
      <c r="CM72" s="6">
        <f t="shared" si="88"/>
        <v>0</v>
      </c>
      <c r="CN72" s="6">
        <f t="shared" si="88"/>
        <v>0.75637516208039202</v>
      </c>
      <c r="CO72" s="6">
        <f t="shared" si="88"/>
        <v>8.1688517504682334</v>
      </c>
      <c r="CP72" s="6">
        <f t="shared" si="88"/>
        <v>0</v>
      </c>
      <c r="CQ72" s="6">
        <f t="shared" si="88"/>
        <v>5.8997262642270565</v>
      </c>
      <c r="CR72" s="6">
        <f t="shared" si="88"/>
        <v>10.963838063679596</v>
      </c>
      <c r="CS72" s="6">
        <f t="shared" si="88"/>
        <v>0</v>
      </c>
      <c r="CT72" s="6">
        <f t="shared" si="88"/>
        <v>0</v>
      </c>
      <c r="CU72" s="6">
        <f t="shared" si="88"/>
        <v>0</v>
      </c>
      <c r="CV72" s="6">
        <f t="shared" si="88"/>
        <v>5.9429477020602226</v>
      </c>
      <c r="CW72" s="6">
        <f t="shared" si="88"/>
        <v>0</v>
      </c>
      <c r="CX72" s="6">
        <f t="shared" si="88"/>
        <v>0.79239302694136293</v>
      </c>
      <c r="CY72" s="6">
        <f t="shared" si="88"/>
        <v>11.093502377179082</v>
      </c>
      <c r="CZ72" s="6">
        <f t="shared" si="88"/>
        <v>5.5467511885895409</v>
      </c>
      <c r="DA72" s="6">
        <f t="shared" si="88"/>
        <v>23.058637083993663</v>
      </c>
      <c r="DB72" s="6">
        <f t="shared" ref="DB72:DU75" si="89">+SUMIF($C$12:$C$29,$C72,DB$12:DB$29)/DB$6+SUMIF($C$46:$C$63,$C72,DB$47:DB$64)</f>
        <v>0.95087163232963556</v>
      </c>
      <c r="DC72" s="6">
        <f t="shared" si="89"/>
        <v>9.3106180665610143</v>
      </c>
      <c r="DD72" s="6">
        <f t="shared" si="89"/>
        <v>3.4469096671949289</v>
      </c>
      <c r="DE72" s="6">
        <f t="shared" si="89"/>
        <v>0</v>
      </c>
      <c r="DF72" s="6">
        <f t="shared" si="89"/>
        <v>0.79239302694136293</v>
      </c>
      <c r="DG72" s="6">
        <f t="shared" si="89"/>
        <v>1.5847860538827259</v>
      </c>
      <c r="DH72" s="6">
        <f t="shared" si="89"/>
        <v>0</v>
      </c>
      <c r="DI72" s="6">
        <f t="shared" si="89"/>
        <v>0</v>
      </c>
      <c r="DJ72" s="6">
        <f t="shared" si="89"/>
        <v>25.752773375594295</v>
      </c>
      <c r="DK72" s="6">
        <f t="shared" si="89"/>
        <v>0.95087163232963556</v>
      </c>
      <c r="DL72" s="6">
        <f t="shared" si="89"/>
        <v>2.3771790808240887</v>
      </c>
      <c r="DM72" s="6">
        <f t="shared" si="89"/>
        <v>0</v>
      </c>
      <c r="DN72" s="6">
        <f t="shared" si="89"/>
        <v>5.3486529318542004</v>
      </c>
      <c r="DO72" s="6">
        <f t="shared" si="89"/>
        <v>2.3771790808240887</v>
      </c>
      <c r="DP72" s="6">
        <f t="shared" si="89"/>
        <v>0</v>
      </c>
      <c r="DQ72" s="6">
        <f t="shared" si="89"/>
        <v>0</v>
      </c>
      <c r="DR72" s="6">
        <f t="shared" si="89"/>
        <v>9.9049128367670374</v>
      </c>
      <c r="DS72" s="6">
        <f t="shared" si="89"/>
        <v>3.1695721077654517</v>
      </c>
      <c r="DT72" s="6">
        <f t="shared" si="89"/>
        <v>8.5182250396196526</v>
      </c>
      <c r="DU72" s="6">
        <f t="shared" si="89"/>
        <v>0</v>
      </c>
      <c r="DV72" s="198"/>
      <c r="DW72" s="63"/>
      <c r="DX72" s="28">
        <f t="shared" ref="DX72:DX90" si="90">SUM(E72:DW72)</f>
        <v>554.5679235595253</v>
      </c>
      <c r="FD72" s="72" t="s">
        <v>205</v>
      </c>
      <c r="FE72" s="63">
        <f ca="1">SUM((INDIRECT(FE$9&amp;ROW()):(INDIRECT(FE$10&amp;ROW()))))</f>
        <v>0</v>
      </c>
      <c r="FF72" s="63">
        <f ca="1">SUM((INDIRECT(FF$9&amp;ROW()):(INDIRECT(FF$10&amp;ROW()))))</f>
        <v>66.653543307086608</v>
      </c>
      <c r="FG72" s="63">
        <f ca="1">SUM((INDIRECT(FG$9&amp;ROW()):(INDIRECT(FG$10&amp;ROW()))))</f>
        <v>125.47741151594528</v>
      </c>
      <c r="FH72" s="63">
        <f ca="1">SUM((INDIRECT(FH$9&amp;ROW()):(INDIRECT(FH$10&amp;ROW()))))</f>
        <v>197.9793977812995</v>
      </c>
      <c r="FI72" s="63">
        <f ca="1">SUM((INDIRECT(FI$9&amp;ROW()):(INDIRECT(FI$10&amp;ROW()))))</f>
        <v>106.05820486961535</v>
      </c>
      <c r="FJ72" s="63">
        <f ca="1">SUM((INDIRECT(FJ$9&amp;ROW()):(INDIRECT(FJ$10&amp;ROW()))))</f>
        <v>58.399366085578457</v>
      </c>
      <c r="FK72" s="63" t="e">
        <f ca="1">SUM((INDIRECT(FK$9&amp;ROW()):(INDIRECT(FK$10&amp;ROW()))))</f>
        <v>#REF!</v>
      </c>
      <c r="FL72" s="63" t="e">
        <f ca="1">SUM((INDIRECT(FL$9&amp;ROW()):(INDIRECT(FL$10&amp;ROW()))))</f>
        <v>#REF!</v>
      </c>
      <c r="FN72" s="28">
        <f t="shared" ref="FN72:FN91" ca="1" si="91">SUM(FE72:FJ72)</f>
        <v>554.56792355952518</v>
      </c>
      <c r="FP72" s="14">
        <f ca="1">+FN72/FP$71</f>
        <v>4.6213993629960433</v>
      </c>
    </row>
    <row r="73" spans="1:178" outlineLevel="1">
      <c r="A73" t="s">
        <v>203</v>
      </c>
      <c r="B73" t="s">
        <v>328</v>
      </c>
      <c r="C73" s="73" t="s">
        <v>203</v>
      </c>
      <c r="D73" s="6">
        <v>0</v>
      </c>
      <c r="E73" s="6">
        <f t="shared" si="84"/>
        <v>0</v>
      </c>
      <c r="F73" s="6">
        <f t="shared" ref="F73:F89" si="92">+SUMIF($C$12:$C$29,$C73,F$12:F$29)/F$6+SUMIF($C$47:$C$63,$C73,F$47:F$64)</f>
        <v>14.173228346456694</v>
      </c>
      <c r="G73" s="6">
        <f t="shared" ref="G73:BR76" si="93">+SUMIF($C$12:$C$29,$C73,G$12:G$29)/G$6+SUMIF($C$47:$C$63,$C73,G$47:G$64)</f>
        <v>18.503937007874018</v>
      </c>
      <c r="H73" s="6">
        <f t="shared" si="93"/>
        <v>8.2677165354330722</v>
      </c>
      <c r="I73" s="6">
        <f t="shared" si="93"/>
        <v>0</v>
      </c>
      <c r="J73" s="6">
        <f t="shared" si="93"/>
        <v>14.960629921259843</v>
      </c>
      <c r="K73" s="6">
        <f t="shared" si="93"/>
        <v>0</v>
      </c>
      <c r="L73" s="6">
        <f t="shared" si="93"/>
        <v>6.1023622047244102</v>
      </c>
      <c r="M73" s="6">
        <f t="shared" si="93"/>
        <v>8.4645669291338592</v>
      </c>
      <c r="N73" s="6">
        <f t="shared" si="93"/>
        <v>5.4330708661417324</v>
      </c>
      <c r="O73" s="6">
        <f t="shared" si="93"/>
        <v>0</v>
      </c>
      <c r="P73" s="6">
        <f t="shared" si="93"/>
        <v>0</v>
      </c>
      <c r="Q73" s="6">
        <f t="shared" si="93"/>
        <v>0</v>
      </c>
      <c r="R73" s="6">
        <f t="shared" si="93"/>
        <v>7.0866141732283472</v>
      </c>
      <c r="S73" s="6">
        <f t="shared" si="93"/>
        <v>3.9370078740157481</v>
      </c>
      <c r="T73" s="6">
        <f t="shared" si="93"/>
        <v>4.7244094488188981</v>
      </c>
      <c r="U73" s="6">
        <f t="shared" si="93"/>
        <v>0</v>
      </c>
      <c r="V73" s="6">
        <f t="shared" si="93"/>
        <v>4.3307086614173231</v>
      </c>
      <c r="W73" s="6">
        <f t="shared" si="93"/>
        <v>12.20472440944882</v>
      </c>
      <c r="X73" s="6">
        <f t="shared" si="93"/>
        <v>4.3307086614173231</v>
      </c>
      <c r="Y73" s="6">
        <f t="shared" si="93"/>
        <v>6.8897637795275593</v>
      </c>
      <c r="Z73" s="6">
        <f t="shared" si="93"/>
        <v>10.236220472440946</v>
      </c>
      <c r="AA73" s="6">
        <f t="shared" si="93"/>
        <v>0</v>
      </c>
      <c r="AB73" s="6">
        <f t="shared" si="93"/>
        <v>3.5433070866141736</v>
      </c>
      <c r="AC73" s="6">
        <f t="shared" si="93"/>
        <v>0</v>
      </c>
      <c r="AD73" s="6">
        <f t="shared" si="93"/>
        <v>0</v>
      </c>
      <c r="AE73" s="6">
        <f t="shared" si="93"/>
        <v>0</v>
      </c>
      <c r="AF73" s="6">
        <f t="shared" si="93"/>
        <v>5.7086614173228352</v>
      </c>
      <c r="AG73" s="6">
        <f t="shared" si="93"/>
        <v>0</v>
      </c>
      <c r="AH73" s="6">
        <f t="shared" si="93"/>
        <v>5.1181102362204731</v>
      </c>
      <c r="AI73" s="6">
        <f t="shared" si="93"/>
        <v>66.141732283464577</v>
      </c>
      <c r="AJ73" s="6">
        <f t="shared" si="93"/>
        <v>14.566929133858268</v>
      </c>
      <c r="AK73" s="6">
        <f t="shared" si="93"/>
        <v>9.0551181102362204</v>
      </c>
      <c r="AL73" s="6">
        <f t="shared" si="93"/>
        <v>16.23246492985972</v>
      </c>
      <c r="AM73" s="6">
        <f t="shared" si="93"/>
        <v>0</v>
      </c>
      <c r="AN73" s="6">
        <f t="shared" si="93"/>
        <v>8.8176352705410821</v>
      </c>
      <c r="AO73" s="6">
        <f t="shared" si="93"/>
        <v>6.4128256513026054</v>
      </c>
      <c r="AP73" s="6">
        <f t="shared" si="93"/>
        <v>12.424849699398798</v>
      </c>
      <c r="AQ73" s="6">
        <f t="shared" si="93"/>
        <v>4.2084168336673349</v>
      </c>
      <c r="AR73" s="6">
        <f t="shared" si="93"/>
        <v>6.0120240480961922</v>
      </c>
      <c r="AS73" s="6">
        <f t="shared" si="93"/>
        <v>5.2104208416833666</v>
      </c>
      <c r="AT73" s="6">
        <f t="shared" si="93"/>
        <v>5.4108216432865737</v>
      </c>
      <c r="AU73" s="6">
        <f t="shared" si="93"/>
        <v>0</v>
      </c>
      <c r="AV73" s="6">
        <f t="shared" si="93"/>
        <v>12.825651302605211</v>
      </c>
      <c r="AW73" s="6">
        <f t="shared" si="93"/>
        <v>15.831663326653308</v>
      </c>
      <c r="AX73" s="6">
        <f t="shared" si="93"/>
        <v>15.030060120240481</v>
      </c>
      <c r="AY73" s="6">
        <f t="shared" si="93"/>
        <v>12.024048096192384</v>
      </c>
      <c r="AZ73" s="6">
        <f t="shared" si="93"/>
        <v>4.0080160320641287</v>
      </c>
      <c r="BA73" s="6">
        <f t="shared" si="93"/>
        <v>12.024048096192384</v>
      </c>
      <c r="BB73" s="6">
        <f t="shared" si="93"/>
        <v>20.040080160320642</v>
      </c>
      <c r="BC73" s="6">
        <f t="shared" si="93"/>
        <v>0</v>
      </c>
      <c r="BD73" s="6">
        <f t="shared" si="93"/>
        <v>4.7543581616481774</v>
      </c>
      <c r="BE73" s="6">
        <f t="shared" si="93"/>
        <v>0</v>
      </c>
      <c r="BF73" s="6">
        <f t="shared" si="93"/>
        <v>17.828843106180667</v>
      </c>
      <c r="BG73" s="6">
        <f t="shared" si="93"/>
        <v>3.3676703645007926</v>
      </c>
      <c r="BH73" s="6">
        <f t="shared" si="93"/>
        <v>0</v>
      </c>
      <c r="BI73" s="6">
        <f t="shared" si="93"/>
        <v>7.7258320126782891</v>
      </c>
      <c r="BJ73" s="6">
        <f t="shared" si="93"/>
        <v>53.882725832012682</v>
      </c>
      <c r="BK73" s="6">
        <f t="shared" si="93"/>
        <v>10.301109350237718</v>
      </c>
      <c r="BL73" s="6">
        <f t="shared" si="93"/>
        <v>3.5657686212361335</v>
      </c>
      <c r="BM73" s="6">
        <f t="shared" si="93"/>
        <v>0</v>
      </c>
      <c r="BN73" s="6">
        <f t="shared" si="93"/>
        <v>6.9334389857369256</v>
      </c>
      <c r="BO73" s="6">
        <f t="shared" si="93"/>
        <v>8.399366085578448</v>
      </c>
      <c r="BP73" s="6">
        <f t="shared" si="93"/>
        <v>16.640253565768621</v>
      </c>
      <c r="BQ73" s="6">
        <f t="shared" si="93"/>
        <v>0</v>
      </c>
      <c r="BR73" s="6">
        <f t="shared" si="93"/>
        <v>13.866877971473851</v>
      </c>
      <c r="BS73" s="6">
        <f t="shared" ref="BS73:CG75" si="94">+SUMIF($C$12:$C$29,$C73,BS$12:BS$29)/BS$6+SUMIF($C$47:$C$63,$C73,BS$47:BS$64)</f>
        <v>3.5657686212361335</v>
      </c>
      <c r="BT73" s="6">
        <f t="shared" si="94"/>
        <v>0</v>
      </c>
      <c r="BU73" s="6">
        <f t="shared" si="94"/>
        <v>24.36608557844691</v>
      </c>
      <c r="BV73" s="6">
        <f t="shared" si="94"/>
        <v>0</v>
      </c>
      <c r="BW73" s="6">
        <f t="shared" si="94"/>
        <v>0</v>
      </c>
      <c r="BX73" s="6">
        <f t="shared" si="94"/>
        <v>3.9619651347068148</v>
      </c>
      <c r="BY73" s="6">
        <f t="shared" si="94"/>
        <v>0</v>
      </c>
      <c r="BZ73" s="6">
        <f t="shared" si="94"/>
        <v>0</v>
      </c>
      <c r="CA73" s="6">
        <f t="shared" si="94"/>
        <v>20.206022187004756</v>
      </c>
      <c r="CB73" s="6">
        <f t="shared" si="94"/>
        <v>0</v>
      </c>
      <c r="CC73" s="6">
        <f t="shared" si="94"/>
        <v>16.323296354992078</v>
      </c>
      <c r="CD73" s="6">
        <f t="shared" si="94"/>
        <v>0</v>
      </c>
      <c r="CE73" s="6">
        <f t="shared" si="94"/>
        <v>9.5087163232963547</v>
      </c>
      <c r="CF73" s="6">
        <f t="shared" si="94"/>
        <v>0</v>
      </c>
      <c r="CG73" s="6">
        <f t="shared" si="94"/>
        <v>17.036450079239305</v>
      </c>
      <c r="CH73" s="6">
        <f t="shared" si="88"/>
        <v>0</v>
      </c>
      <c r="CI73" s="6">
        <f t="shared" si="88"/>
        <v>0</v>
      </c>
      <c r="CJ73" s="6">
        <f t="shared" si="88"/>
        <v>0</v>
      </c>
      <c r="CK73" s="6">
        <f t="shared" si="88"/>
        <v>0</v>
      </c>
      <c r="CL73" s="6">
        <f t="shared" si="88"/>
        <v>20.206022187004756</v>
      </c>
      <c r="CM73" s="6">
        <f t="shared" si="88"/>
        <v>12.102002593286272</v>
      </c>
      <c r="CN73" s="6">
        <f t="shared" si="88"/>
        <v>11.043077366373723</v>
      </c>
      <c r="CO73" s="6">
        <f t="shared" si="88"/>
        <v>14.522403111943525</v>
      </c>
      <c r="CP73" s="6">
        <f t="shared" si="88"/>
        <v>14.21985304711137</v>
      </c>
      <c r="CQ73" s="6">
        <f t="shared" si="88"/>
        <v>3.0255006483215681</v>
      </c>
      <c r="CR73" s="6">
        <f t="shared" si="88"/>
        <v>3.9331508428180384</v>
      </c>
      <c r="CS73" s="6">
        <f t="shared" si="88"/>
        <v>13.866877971473851</v>
      </c>
      <c r="CT73" s="6">
        <f t="shared" si="88"/>
        <v>3.9619651347068148</v>
      </c>
      <c r="CU73" s="6">
        <f t="shared" si="88"/>
        <v>10.301109350237718</v>
      </c>
      <c r="CV73" s="6">
        <f t="shared" si="88"/>
        <v>0</v>
      </c>
      <c r="CW73" s="6">
        <f t="shared" si="88"/>
        <v>7.9239302694136295</v>
      </c>
      <c r="CX73" s="6">
        <f t="shared" si="88"/>
        <v>35.657686212361334</v>
      </c>
      <c r="CY73" s="6">
        <f t="shared" si="88"/>
        <v>0</v>
      </c>
      <c r="CZ73" s="6">
        <f t="shared" si="88"/>
        <v>8.3201267828843104</v>
      </c>
      <c r="DA73" s="6">
        <f t="shared" si="88"/>
        <v>0</v>
      </c>
      <c r="DB73" s="6">
        <f t="shared" si="89"/>
        <v>0</v>
      </c>
      <c r="DC73" s="6">
        <f t="shared" si="89"/>
        <v>7.9239302694136295</v>
      </c>
      <c r="DD73" s="6">
        <f t="shared" si="89"/>
        <v>0</v>
      </c>
      <c r="DE73" s="6">
        <f t="shared" si="89"/>
        <v>9.5087163232963547</v>
      </c>
      <c r="DF73" s="6">
        <f t="shared" si="89"/>
        <v>15.451664025356578</v>
      </c>
      <c r="DG73" s="6">
        <f t="shared" si="89"/>
        <v>4.7543581616481774</v>
      </c>
      <c r="DH73" s="6">
        <f t="shared" si="89"/>
        <v>17.036450079239305</v>
      </c>
      <c r="DI73" s="6">
        <f t="shared" si="89"/>
        <v>4.7543581616481774</v>
      </c>
      <c r="DJ73" s="6">
        <f t="shared" si="89"/>
        <v>19.017432646592709</v>
      </c>
      <c r="DK73" s="6">
        <f t="shared" si="89"/>
        <v>8.12202852614897</v>
      </c>
      <c r="DL73" s="6">
        <f t="shared" si="89"/>
        <v>1.9809825673534074</v>
      </c>
      <c r="DM73" s="6">
        <f t="shared" si="89"/>
        <v>4.1600633914421552</v>
      </c>
      <c r="DN73" s="6">
        <f t="shared" si="89"/>
        <v>29.71473851030111</v>
      </c>
      <c r="DO73" s="6">
        <f t="shared" si="89"/>
        <v>18.819334389857371</v>
      </c>
      <c r="DP73" s="6">
        <f t="shared" si="89"/>
        <v>6.9334389857369256</v>
      </c>
      <c r="DQ73" s="6">
        <f t="shared" si="89"/>
        <v>31.695721077654518</v>
      </c>
      <c r="DR73" s="6">
        <f t="shared" si="89"/>
        <v>7.9239302694136295</v>
      </c>
      <c r="DS73" s="6">
        <f t="shared" si="89"/>
        <v>9.9049128367670374</v>
      </c>
      <c r="DT73" s="6">
        <f t="shared" si="89"/>
        <v>20.522979397781302</v>
      </c>
      <c r="DU73" s="6">
        <f t="shared" si="89"/>
        <v>0</v>
      </c>
      <c r="DV73" s="198">
        <f t="shared" ref="DV73:DW87" si="95">+SUMIF($C$12:$C$27,$C73,DV$12:DV$27)/TAUXmoyen+SUMIF($C$46:$C$63,$C73,DV$46:DV$63)</f>
        <v>0</v>
      </c>
      <c r="DW73" s="63">
        <f t="shared" si="95"/>
        <v>0</v>
      </c>
      <c r="DX73" s="28">
        <f t="shared" si="90"/>
        <v>1009.835847084722</v>
      </c>
      <c r="FD73" s="73" t="s">
        <v>203</v>
      </c>
      <c r="FE73" s="63">
        <f ca="1">SUM((INDIRECT(FE$9&amp;ROW()):(INDIRECT(FE$10&amp;ROW()))))</f>
        <v>0</v>
      </c>
      <c r="FF73" s="63">
        <f ca="1">SUM((INDIRECT(FF$9&amp;ROW()):(INDIRECT(FF$10&amp;ROW()))))</f>
        <v>108.18897637795276</v>
      </c>
      <c r="FG73" s="63">
        <f ca="1">SUM((INDIRECT(FG$9&amp;ROW()):(INDIRECT(FG$10&amp;ROW()))))</f>
        <v>282.10357723320658</v>
      </c>
      <c r="FH73" s="63">
        <f ca="1">SUM((INDIRECT(FH$9&amp;ROW()):(INDIRECT(FH$10&amp;ROW()))))</f>
        <v>242.23454833597467</v>
      </c>
      <c r="FI73" s="63">
        <f ca="1">SUM((INDIRECT(FI$9&amp;ROW()):(INDIRECT(FI$10&amp;ROW()))))</f>
        <v>218.51318253853916</v>
      </c>
      <c r="FJ73" s="63">
        <f ca="1">SUM((INDIRECT(FJ$9&amp;ROW()):(INDIRECT(FJ$10&amp;ROW()))))</f>
        <v>158.79556259904916</v>
      </c>
      <c r="FK73" s="63" t="e">
        <f ca="1">SUM((INDIRECT(FK$9&amp;ROW()):(INDIRECT(FK$10&amp;ROW()))))</f>
        <v>#REF!</v>
      </c>
      <c r="FL73" s="63" t="e">
        <f ca="1">SUM((INDIRECT(FL$9&amp;ROW()):(INDIRECT(FL$10&amp;ROW()))))</f>
        <v>#REF!</v>
      </c>
      <c r="FN73" s="28">
        <f t="shared" ca="1" si="91"/>
        <v>1009.8358470847223</v>
      </c>
      <c r="FP73" s="14">
        <f t="shared" ref="FP73:FP89" ca="1" si="96">+FN73/FP$71</f>
        <v>8.4152987257060197</v>
      </c>
    </row>
    <row r="74" spans="1:178" outlineLevel="1">
      <c r="A74" t="s">
        <v>204</v>
      </c>
      <c r="B74" t="s">
        <v>328</v>
      </c>
      <c r="C74" s="73" t="s">
        <v>204</v>
      </c>
      <c r="D74" s="6"/>
      <c r="E74" s="6">
        <f t="shared" si="84"/>
        <v>0</v>
      </c>
      <c r="F74" s="6">
        <f t="shared" si="92"/>
        <v>5.5118110236220472</v>
      </c>
      <c r="G74" s="6">
        <f t="shared" si="93"/>
        <v>3.7401574803149606</v>
      </c>
      <c r="H74" s="6">
        <f t="shared" si="93"/>
        <v>8.5826771653543314</v>
      </c>
      <c r="I74" s="6">
        <f t="shared" si="93"/>
        <v>3.7401574803149606</v>
      </c>
      <c r="J74" s="6">
        <f t="shared" si="93"/>
        <v>4.7244094488188981</v>
      </c>
      <c r="K74" s="6">
        <f t="shared" si="93"/>
        <v>3.3464566929133861</v>
      </c>
      <c r="L74" s="6">
        <f t="shared" si="93"/>
        <v>4.7244094488188981</v>
      </c>
      <c r="M74" s="6">
        <f t="shared" si="93"/>
        <v>0</v>
      </c>
      <c r="N74" s="6">
        <f t="shared" si="93"/>
        <v>0</v>
      </c>
      <c r="O74" s="6">
        <f t="shared" si="93"/>
        <v>5.9055118110236222</v>
      </c>
      <c r="P74" s="6">
        <f t="shared" si="93"/>
        <v>4.7244094488188981</v>
      </c>
      <c r="Q74" s="6">
        <f t="shared" si="93"/>
        <v>1.7716535433070868</v>
      </c>
      <c r="R74" s="6">
        <f t="shared" si="93"/>
        <v>6.6929133858267722</v>
      </c>
      <c r="S74" s="6">
        <f t="shared" si="93"/>
        <v>5.7086614173228352</v>
      </c>
      <c r="T74" s="6">
        <f t="shared" si="93"/>
        <v>0.78740157480314965</v>
      </c>
      <c r="U74" s="6">
        <f t="shared" si="93"/>
        <v>17.716535433070867</v>
      </c>
      <c r="V74" s="6">
        <f t="shared" si="93"/>
        <v>6.2992125984251972</v>
      </c>
      <c r="W74" s="6">
        <f t="shared" si="93"/>
        <v>6.4960629921259843</v>
      </c>
      <c r="X74" s="6">
        <f t="shared" si="93"/>
        <v>5.5118110236220472</v>
      </c>
      <c r="Y74" s="6">
        <f t="shared" si="93"/>
        <v>14.173228346456694</v>
      </c>
      <c r="Z74" s="6">
        <f t="shared" si="93"/>
        <v>0</v>
      </c>
      <c r="AA74" s="6">
        <f t="shared" si="93"/>
        <v>9.4488188976377963</v>
      </c>
      <c r="AB74" s="6">
        <f t="shared" si="93"/>
        <v>8.6614173228346463</v>
      </c>
      <c r="AC74" s="6">
        <f t="shared" si="93"/>
        <v>8.6614173228346463</v>
      </c>
      <c r="AD74" s="6">
        <f t="shared" si="93"/>
        <v>7.8740157480314963</v>
      </c>
      <c r="AE74" s="6">
        <f t="shared" si="93"/>
        <v>3.7401574803149606</v>
      </c>
      <c r="AF74" s="6">
        <f t="shared" si="93"/>
        <v>5.5118110236220472</v>
      </c>
      <c r="AG74" s="6">
        <f t="shared" si="93"/>
        <v>32.519685039370081</v>
      </c>
      <c r="AH74" s="6">
        <f t="shared" si="93"/>
        <v>6.6929133858267722</v>
      </c>
      <c r="AI74" s="6">
        <f t="shared" si="93"/>
        <v>0</v>
      </c>
      <c r="AJ74" s="6">
        <f t="shared" si="93"/>
        <v>0</v>
      </c>
      <c r="AK74" s="6">
        <f t="shared" si="93"/>
        <v>0</v>
      </c>
      <c r="AL74" s="6">
        <f t="shared" si="93"/>
        <v>6.0120240480961922</v>
      </c>
      <c r="AM74" s="6">
        <f t="shared" si="93"/>
        <v>3.6072144288577155</v>
      </c>
      <c r="AN74" s="6">
        <f t="shared" si="93"/>
        <v>6.0120240480961922</v>
      </c>
      <c r="AO74" s="6">
        <f t="shared" si="93"/>
        <v>4.0080160320641287</v>
      </c>
      <c r="AP74" s="6">
        <f t="shared" si="93"/>
        <v>5.2104208416833666</v>
      </c>
      <c r="AQ74" s="6">
        <f t="shared" si="93"/>
        <v>0</v>
      </c>
      <c r="AR74" s="6">
        <f t="shared" si="93"/>
        <v>4.0080160320641287</v>
      </c>
      <c r="AS74" s="6">
        <f t="shared" si="93"/>
        <v>0</v>
      </c>
      <c r="AT74" s="6">
        <f t="shared" si="93"/>
        <v>4.6092184368737472</v>
      </c>
      <c r="AU74" s="6">
        <f t="shared" si="93"/>
        <v>7.214428857715431</v>
      </c>
      <c r="AV74" s="6">
        <f t="shared" si="93"/>
        <v>6.0120240480961922</v>
      </c>
      <c r="AW74" s="6">
        <f t="shared" si="93"/>
        <v>7.0941883767535074</v>
      </c>
      <c r="AX74" s="6">
        <f t="shared" si="93"/>
        <v>8.4168336673346698</v>
      </c>
      <c r="AY74" s="6">
        <f t="shared" si="93"/>
        <v>10.420841683366733</v>
      </c>
      <c r="AZ74" s="6">
        <f t="shared" si="93"/>
        <v>3.6072144288577155</v>
      </c>
      <c r="BA74" s="6">
        <f t="shared" si="93"/>
        <v>4.408817635270541</v>
      </c>
      <c r="BB74" s="6">
        <f t="shared" si="93"/>
        <v>10.020040080160321</v>
      </c>
      <c r="BC74" s="6">
        <f t="shared" si="93"/>
        <v>16.633266533066134</v>
      </c>
      <c r="BD74" s="6">
        <f t="shared" si="93"/>
        <v>7.3296354992076074</v>
      </c>
      <c r="BE74" s="6">
        <f t="shared" si="93"/>
        <v>8.9144215530903335</v>
      </c>
      <c r="BF74" s="6">
        <f t="shared" si="93"/>
        <v>5.5467511885895409</v>
      </c>
      <c r="BG74" s="6">
        <f t="shared" si="93"/>
        <v>14.064976228209193</v>
      </c>
      <c r="BH74" s="6">
        <f t="shared" si="93"/>
        <v>0</v>
      </c>
      <c r="BI74" s="6">
        <f t="shared" si="93"/>
        <v>0</v>
      </c>
      <c r="BJ74" s="6">
        <f t="shared" si="93"/>
        <v>3.7638668779714739</v>
      </c>
      <c r="BK74" s="6">
        <f t="shared" si="93"/>
        <v>5.9429477020602226</v>
      </c>
      <c r="BL74" s="6">
        <f t="shared" si="93"/>
        <v>3.8431061806656102</v>
      </c>
      <c r="BM74" s="6">
        <f t="shared" si="93"/>
        <v>0</v>
      </c>
      <c r="BN74" s="6">
        <f t="shared" si="93"/>
        <v>0.99049128367670369</v>
      </c>
      <c r="BO74" s="6">
        <f t="shared" si="93"/>
        <v>0</v>
      </c>
      <c r="BP74" s="6">
        <f t="shared" si="93"/>
        <v>7.1315372424722669</v>
      </c>
      <c r="BQ74" s="6">
        <f t="shared" si="93"/>
        <v>9.1125198098256739</v>
      </c>
      <c r="BR74" s="6">
        <f t="shared" si="93"/>
        <v>5.3486529318542004</v>
      </c>
      <c r="BS74" s="6">
        <f t="shared" si="94"/>
        <v>1.7828843106180667</v>
      </c>
      <c r="BT74" s="6">
        <f t="shared" si="94"/>
        <v>5.9429477020602226</v>
      </c>
      <c r="BU74" s="6">
        <f t="shared" si="94"/>
        <v>0.19809825673534073</v>
      </c>
      <c r="BV74" s="6">
        <f t="shared" si="94"/>
        <v>1.1885895404120443</v>
      </c>
      <c r="BW74" s="6">
        <f t="shared" si="94"/>
        <v>18.621236133122029</v>
      </c>
      <c r="BX74" s="6">
        <f t="shared" si="94"/>
        <v>0</v>
      </c>
      <c r="BY74" s="6">
        <f t="shared" si="94"/>
        <v>2.3771790808240887</v>
      </c>
      <c r="BZ74" s="6">
        <f t="shared" si="94"/>
        <v>0</v>
      </c>
      <c r="CA74" s="6">
        <f t="shared" si="94"/>
        <v>5.9429477020602226</v>
      </c>
      <c r="CB74" s="6">
        <f t="shared" si="94"/>
        <v>6.7353407290015852</v>
      </c>
      <c r="CC74" s="6">
        <f t="shared" si="94"/>
        <v>0</v>
      </c>
      <c r="CD74" s="6">
        <f t="shared" si="94"/>
        <v>6.7353407290015852</v>
      </c>
      <c r="CE74" s="6">
        <f t="shared" si="94"/>
        <v>4.4374009508716323</v>
      </c>
      <c r="CF74" s="6">
        <f t="shared" si="94"/>
        <v>5.1505546751188591</v>
      </c>
      <c r="CG74" s="6">
        <f t="shared" si="94"/>
        <v>4.9524564183835187</v>
      </c>
      <c r="CH74" s="6">
        <f t="shared" si="88"/>
        <v>11.489698890649763</v>
      </c>
      <c r="CI74" s="6">
        <f t="shared" si="88"/>
        <v>0</v>
      </c>
      <c r="CJ74" s="6">
        <f t="shared" si="88"/>
        <v>4.1600633914421552</v>
      </c>
      <c r="CK74" s="6">
        <f t="shared" si="88"/>
        <v>32.091917591125203</v>
      </c>
      <c r="CL74" s="6">
        <f t="shared" si="88"/>
        <v>4.1600633914421552</v>
      </c>
      <c r="CM74" s="6">
        <f t="shared" si="88"/>
        <v>11.496902463621957</v>
      </c>
      <c r="CN74" s="6">
        <f t="shared" si="88"/>
        <v>16.337703500936467</v>
      </c>
      <c r="CO74" s="6">
        <f t="shared" si="88"/>
        <v>18.153003889929405</v>
      </c>
      <c r="CP74" s="6">
        <f t="shared" si="88"/>
        <v>7.5637516208039193</v>
      </c>
      <c r="CQ74" s="6">
        <f t="shared" si="88"/>
        <v>5.1433511021466645</v>
      </c>
      <c r="CR74" s="6">
        <f t="shared" si="88"/>
        <v>4.3581616481774965</v>
      </c>
      <c r="CS74" s="6">
        <f t="shared" si="88"/>
        <v>6.7353407290015852</v>
      </c>
      <c r="CT74" s="6">
        <f t="shared" si="88"/>
        <v>6.9334389857369256</v>
      </c>
      <c r="CU74" s="6">
        <f t="shared" si="88"/>
        <v>21.19651347068146</v>
      </c>
      <c r="CV74" s="6">
        <f t="shared" si="88"/>
        <v>7.1315372424722669</v>
      </c>
      <c r="CW74" s="6">
        <f t="shared" si="88"/>
        <v>4.9524564183835187</v>
      </c>
      <c r="CX74" s="6">
        <f t="shared" si="88"/>
        <v>21.790808240887483</v>
      </c>
      <c r="CY74" s="6">
        <f t="shared" si="88"/>
        <v>1.3866877971473852</v>
      </c>
      <c r="CZ74" s="6">
        <f t="shared" si="88"/>
        <v>0</v>
      </c>
      <c r="DA74" s="6">
        <f t="shared" si="88"/>
        <v>0</v>
      </c>
      <c r="DB74" s="6">
        <f t="shared" si="89"/>
        <v>3.1695721077654517</v>
      </c>
      <c r="DC74" s="6">
        <f t="shared" si="89"/>
        <v>4.7543581616481774</v>
      </c>
      <c r="DD74" s="6">
        <f t="shared" si="89"/>
        <v>2.3771790808240887</v>
      </c>
      <c r="DE74" s="6">
        <f t="shared" si="89"/>
        <v>2.1790808240887483</v>
      </c>
      <c r="DF74" s="6">
        <f t="shared" si="89"/>
        <v>5.5467511885895409</v>
      </c>
      <c r="DG74" s="6">
        <f t="shared" si="89"/>
        <v>4.5562599049128369</v>
      </c>
      <c r="DH74" s="6">
        <f t="shared" si="89"/>
        <v>7.5277337559429478</v>
      </c>
      <c r="DI74" s="6">
        <f t="shared" si="89"/>
        <v>5.3486529318542004</v>
      </c>
      <c r="DJ74" s="6">
        <f t="shared" si="89"/>
        <v>5.5467511885895409</v>
      </c>
      <c r="DK74" s="6">
        <f t="shared" si="89"/>
        <v>4.7543581616481774</v>
      </c>
      <c r="DL74" s="6">
        <f t="shared" si="89"/>
        <v>0</v>
      </c>
      <c r="DM74" s="6">
        <f t="shared" si="89"/>
        <v>4.9524564183835187</v>
      </c>
      <c r="DN74" s="6">
        <f t="shared" si="89"/>
        <v>5.9429477020602226</v>
      </c>
      <c r="DO74" s="6">
        <f t="shared" si="89"/>
        <v>7.5277337559429478</v>
      </c>
      <c r="DP74" s="6">
        <f t="shared" si="89"/>
        <v>31.299524564183837</v>
      </c>
      <c r="DQ74" s="6">
        <f t="shared" si="89"/>
        <v>4.3581616481774965</v>
      </c>
      <c r="DR74" s="6">
        <f t="shared" si="89"/>
        <v>11.093502377179082</v>
      </c>
      <c r="DS74" s="6">
        <f t="shared" si="89"/>
        <v>7.1315372424722669</v>
      </c>
      <c r="DT74" s="6">
        <f t="shared" si="89"/>
        <v>3.9619651347068148</v>
      </c>
      <c r="DU74" s="6">
        <f t="shared" si="89"/>
        <v>7</v>
      </c>
      <c r="DV74" s="198">
        <f t="shared" si="95"/>
        <v>0</v>
      </c>
      <c r="DW74" s="63">
        <f t="shared" si="95"/>
        <v>0</v>
      </c>
      <c r="DX74" s="28">
        <f t="shared" si="90"/>
        <v>750.72611496317722</v>
      </c>
      <c r="FD74" s="73" t="s">
        <v>204</v>
      </c>
      <c r="FE74" s="63">
        <f ca="1">SUM((INDIRECT(FE$9&amp;ROW()):(INDIRECT(FE$10&amp;ROW()))))</f>
        <v>0</v>
      </c>
      <c r="FF74" s="63">
        <f ca="1">SUM((INDIRECT(FF$9&amp;ROW()):(INDIRECT(FF$10&amp;ROW()))))</f>
        <v>90.472440944881896</v>
      </c>
      <c r="FG74" s="63">
        <f ca="1">SUM((INDIRECT(FG$9&amp;ROW()):(INDIRECT(FG$10&amp;ROW()))))</f>
        <v>193.4565982358418</v>
      </c>
      <c r="FH74" s="63">
        <f ca="1">SUM((INDIRECT(FH$9&amp;ROW()):(INDIRECT(FH$10&amp;ROW()))))</f>
        <v>152.68714925889813</v>
      </c>
      <c r="FI74" s="63">
        <f ca="1">SUM((INDIRECT(FI$9&amp;ROW()):(INDIRECT(FI$10&amp;ROW()))))</f>
        <v>220.5409883302118</v>
      </c>
      <c r="FJ74" s="63">
        <f ca="1">SUM((INDIRECT(FJ$9&amp;ROW()):(INDIRECT(FJ$10&amp;ROW()))))</f>
        <v>93.568938193343897</v>
      </c>
      <c r="FK74" s="63" t="e">
        <f ca="1">SUM((INDIRECT(FK$9&amp;ROW()):(INDIRECT(FK$10&amp;ROW()))))</f>
        <v>#REF!</v>
      </c>
      <c r="FL74" s="63" t="e">
        <f ca="1">SUM((INDIRECT(FL$9&amp;ROW()):(INDIRECT(FL$10&amp;ROW()))))</f>
        <v>#REF!</v>
      </c>
      <c r="FN74" s="28">
        <f t="shared" ca="1" si="91"/>
        <v>750.72611496317757</v>
      </c>
      <c r="FP74" s="14">
        <f t="shared" ca="1" si="96"/>
        <v>6.2560509580264796</v>
      </c>
    </row>
    <row r="75" spans="1:178" outlineLevel="1">
      <c r="A75" t="s">
        <v>146</v>
      </c>
      <c r="B75" t="s">
        <v>328</v>
      </c>
      <c r="C75" s="73" t="s">
        <v>146</v>
      </c>
      <c r="D75" s="6"/>
      <c r="E75" s="6">
        <f t="shared" si="84"/>
        <v>0</v>
      </c>
      <c r="F75" s="6">
        <f t="shared" si="92"/>
        <v>3.3464566929133861</v>
      </c>
      <c r="G75" s="6">
        <f t="shared" si="93"/>
        <v>0.9055118110236221</v>
      </c>
      <c r="H75" s="6">
        <f t="shared" si="93"/>
        <v>3.7401574803149606</v>
      </c>
      <c r="I75" s="6">
        <f t="shared" si="93"/>
        <v>0.9055118110236221</v>
      </c>
      <c r="J75" s="6">
        <f t="shared" si="93"/>
        <v>2.3622047244094491</v>
      </c>
      <c r="K75" s="6">
        <f t="shared" si="93"/>
        <v>4.4488188976377954</v>
      </c>
      <c r="L75" s="6">
        <f t="shared" si="93"/>
        <v>1.5748031496062993</v>
      </c>
      <c r="M75" s="6">
        <f t="shared" si="93"/>
        <v>34.4488188976378</v>
      </c>
      <c r="N75" s="6">
        <f t="shared" si="93"/>
        <v>0.98425196850393704</v>
      </c>
      <c r="O75" s="6">
        <f t="shared" si="93"/>
        <v>5.1181102362204731</v>
      </c>
      <c r="P75" s="6">
        <f t="shared" si="93"/>
        <v>5.2362204724409454</v>
      </c>
      <c r="Q75" s="6">
        <f t="shared" si="93"/>
        <v>0.98425196850393704</v>
      </c>
      <c r="R75" s="6">
        <f t="shared" si="93"/>
        <v>2.5590551181102366</v>
      </c>
      <c r="S75" s="6">
        <f t="shared" si="93"/>
        <v>2.5590551181102366</v>
      </c>
      <c r="T75" s="6">
        <f t="shared" si="93"/>
        <v>1.1811023622047245</v>
      </c>
      <c r="U75" s="6">
        <f t="shared" si="93"/>
        <v>3.9370078740157481</v>
      </c>
      <c r="V75" s="6">
        <f t="shared" si="93"/>
        <v>5.3149606299212602</v>
      </c>
      <c r="W75" s="6">
        <f t="shared" si="93"/>
        <v>3.9370078740157481</v>
      </c>
      <c r="X75" s="6">
        <f t="shared" si="93"/>
        <v>1.9685039370078741</v>
      </c>
      <c r="Y75" s="6">
        <f t="shared" si="93"/>
        <v>0</v>
      </c>
      <c r="Z75" s="6">
        <f t="shared" si="93"/>
        <v>0.78740157480314965</v>
      </c>
      <c r="AA75" s="6">
        <f t="shared" si="93"/>
        <v>3.5433070866141736</v>
      </c>
      <c r="AB75" s="6">
        <f t="shared" si="93"/>
        <v>7.0866141732283472</v>
      </c>
      <c r="AC75" s="6">
        <f t="shared" si="93"/>
        <v>2.3622047244094491</v>
      </c>
      <c r="AD75" s="6">
        <f t="shared" si="93"/>
        <v>0</v>
      </c>
      <c r="AE75" s="6">
        <f t="shared" si="93"/>
        <v>0</v>
      </c>
      <c r="AF75" s="6">
        <f t="shared" si="93"/>
        <v>3.9370078740157481</v>
      </c>
      <c r="AG75" s="6">
        <f t="shared" si="93"/>
        <v>0.98425196850393704</v>
      </c>
      <c r="AH75" s="6">
        <f t="shared" si="93"/>
        <v>2.8740157480314963</v>
      </c>
      <c r="AI75" s="6">
        <f t="shared" si="93"/>
        <v>0</v>
      </c>
      <c r="AJ75" s="6">
        <f t="shared" si="93"/>
        <v>4.9212598425196852</v>
      </c>
      <c r="AK75" s="6">
        <f t="shared" si="93"/>
        <v>5.7086614173228352</v>
      </c>
      <c r="AL75" s="6">
        <f t="shared" si="93"/>
        <v>1.0020040080160322</v>
      </c>
      <c r="AM75" s="6">
        <f t="shared" si="93"/>
        <v>3.2064128256513027</v>
      </c>
      <c r="AN75" s="6">
        <f t="shared" si="93"/>
        <v>3.0060120240480961</v>
      </c>
      <c r="AO75" s="6">
        <f t="shared" si="93"/>
        <v>4.0080160320641287</v>
      </c>
      <c r="AP75" s="6">
        <f t="shared" si="93"/>
        <v>0.92184368737474953</v>
      </c>
      <c r="AQ75" s="6">
        <f t="shared" si="93"/>
        <v>1.0020040080160322</v>
      </c>
      <c r="AR75" s="6">
        <f t="shared" si="93"/>
        <v>0.60120240480961928</v>
      </c>
      <c r="AS75" s="6">
        <f t="shared" si="93"/>
        <v>1.56312625250501</v>
      </c>
      <c r="AT75" s="6">
        <f t="shared" si="93"/>
        <v>1.0020040080160322</v>
      </c>
      <c r="AU75" s="6">
        <f t="shared" si="93"/>
        <v>0</v>
      </c>
      <c r="AV75" s="6">
        <f t="shared" si="93"/>
        <v>1.0020040080160322</v>
      </c>
      <c r="AW75" s="6">
        <f t="shared" si="93"/>
        <v>1.0020040080160322</v>
      </c>
      <c r="AX75" s="6">
        <f t="shared" si="93"/>
        <v>1.0020040080160322</v>
      </c>
      <c r="AY75" s="6">
        <f t="shared" si="93"/>
        <v>1.0020040080160322</v>
      </c>
      <c r="AZ75" s="6">
        <f t="shared" si="93"/>
        <v>3.5270541082164328</v>
      </c>
      <c r="BA75" s="6">
        <f t="shared" si="93"/>
        <v>4.6092184368737472</v>
      </c>
      <c r="BB75" s="6">
        <f t="shared" si="93"/>
        <v>3.2064128256513027</v>
      </c>
      <c r="BC75" s="6">
        <f t="shared" si="93"/>
        <v>4.0080160320641287</v>
      </c>
      <c r="BD75" s="6">
        <f t="shared" si="93"/>
        <v>0.99049128367670369</v>
      </c>
      <c r="BE75" s="6">
        <f t="shared" si="93"/>
        <v>0.99049128367670369</v>
      </c>
      <c r="BF75" s="6">
        <f t="shared" si="93"/>
        <v>1.9809825673534074</v>
      </c>
      <c r="BG75" s="6">
        <f t="shared" si="93"/>
        <v>0.99049128367670369</v>
      </c>
      <c r="BH75" s="6">
        <f t="shared" si="93"/>
        <v>0</v>
      </c>
      <c r="BI75" s="6">
        <f t="shared" si="93"/>
        <v>0.99049128367670369</v>
      </c>
      <c r="BJ75" s="6">
        <f t="shared" si="93"/>
        <v>0.99049128367670369</v>
      </c>
      <c r="BK75" s="6">
        <f t="shared" si="93"/>
        <v>0.99049128367670369</v>
      </c>
      <c r="BL75" s="6">
        <f t="shared" si="93"/>
        <v>0.99049128367670369</v>
      </c>
      <c r="BM75" s="6">
        <f t="shared" si="93"/>
        <v>0.99049128367670369</v>
      </c>
      <c r="BN75" s="6">
        <f t="shared" si="93"/>
        <v>0.59429477020602217</v>
      </c>
      <c r="BO75" s="6">
        <f t="shared" si="93"/>
        <v>0.99049128367670369</v>
      </c>
      <c r="BP75" s="6">
        <f t="shared" si="93"/>
        <v>0.99049128367670369</v>
      </c>
      <c r="BQ75" s="6">
        <f t="shared" si="93"/>
        <v>0</v>
      </c>
      <c r="BR75" s="6">
        <f t="shared" si="93"/>
        <v>0.99049128367670369</v>
      </c>
      <c r="BS75" s="6">
        <f t="shared" si="94"/>
        <v>1.1885895404120443</v>
      </c>
      <c r="BT75" s="6">
        <f t="shared" si="94"/>
        <v>0</v>
      </c>
      <c r="BU75" s="6">
        <f t="shared" si="94"/>
        <v>21.790808240887483</v>
      </c>
      <c r="BV75" s="6">
        <f t="shared" si="94"/>
        <v>1.9809825673534074</v>
      </c>
      <c r="BW75" s="6">
        <f t="shared" si="94"/>
        <v>0</v>
      </c>
      <c r="BX75" s="6">
        <f t="shared" si="94"/>
        <v>0.39619651347068147</v>
      </c>
      <c r="BY75" s="6">
        <f t="shared" si="94"/>
        <v>0.99049128367670369</v>
      </c>
      <c r="BZ75" s="6">
        <f t="shared" si="94"/>
        <v>0.99049128367670369</v>
      </c>
      <c r="CA75" s="6">
        <f t="shared" si="94"/>
        <v>0</v>
      </c>
      <c r="CB75" s="6">
        <f t="shared" si="94"/>
        <v>0.99049128367670369</v>
      </c>
      <c r="CC75" s="6">
        <f t="shared" si="94"/>
        <v>1.9809825673534074</v>
      </c>
      <c r="CD75" s="6">
        <f t="shared" si="94"/>
        <v>0.99049128367670369</v>
      </c>
      <c r="CE75" s="6">
        <f t="shared" si="94"/>
        <v>4.1600633914421552</v>
      </c>
      <c r="CF75" s="6">
        <f t="shared" si="94"/>
        <v>2.9714738510301113</v>
      </c>
      <c r="CG75" s="6">
        <f t="shared" si="94"/>
        <v>0.99049128367670369</v>
      </c>
      <c r="CH75" s="6">
        <f t="shared" si="88"/>
        <v>0.99049128367670369</v>
      </c>
      <c r="CI75" s="6">
        <f t="shared" si="88"/>
        <v>0.79239302694136293</v>
      </c>
      <c r="CJ75" s="6">
        <f t="shared" si="88"/>
        <v>0.99049128367670369</v>
      </c>
      <c r="CK75" s="6">
        <f t="shared" si="88"/>
        <v>2.1790808240887483</v>
      </c>
      <c r="CL75" s="6">
        <f t="shared" si="88"/>
        <v>1.1885895404120443</v>
      </c>
      <c r="CM75" s="6">
        <f t="shared" si="88"/>
        <v>3.6306007779858813</v>
      </c>
      <c r="CN75" s="6">
        <f t="shared" si="88"/>
        <v>1.512750324160784</v>
      </c>
      <c r="CO75" s="6">
        <f t="shared" si="88"/>
        <v>2.2691254862411756</v>
      </c>
      <c r="CP75" s="6">
        <f t="shared" si="88"/>
        <v>0</v>
      </c>
      <c r="CQ75" s="6">
        <f t="shared" si="88"/>
        <v>0</v>
      </c>
      <c r="CR75" s="6">
        <f t="shared" si="88"/>
        <v>1.3614752917447055</v>
      </c>
      <c r="CS75" s="6">
        <f t="shared" si="88"/>
        <v>0</v>
      </c>
      <c r="CT75" s="6">
        <f t="shared" si="88"/>
        <v>1.7828843106180667</v>
      </c>
      <c r="CU75" s="6">
        <f t="shared" si="88"/>
        <v>2.3771790808240887</v>
      </c>
      <c r="CV75" s="6">
        <f t="shared" si="88"/>
        <v>0.99049128367670369</v>
      </c>
      <c r="CW75" s="6">
        <f t="shared" si="88"/>
        <v>0.99049128367670369</v>
      </c>
      <c r="CX75" s="6">
        <f t="shared" si="88"/>
        <v>2.9714738510301113</v>
      </c>
      <c r="CY75" s="6">
        <f t="shared" si="88"/>
        <v>0.99049128367670369</v>
      </c>
      <c r="CZ75" s="6">
        <f t="shared" si="88"/>
        <v>0.99049128367670369</v>
      </c>
      <c r="DA75" s="6">
        <f t="shared" si="88"/>
        <v>12.876386687797147</v>
      </c>
      <c r="DB75" s="6">
        <f t="shared" si="89"/>
        <v>6.141045958795563</v>
      </c>
      <c r="DC75" s="6">
        <f t="shared" si="89"/>
        <v>0.99049128367670369</v>
      </c>
      <c r="DD75" s="6">
        <f t="shared" si="89"/>
        <v>0.99049128367670369</v>
      </c>
      <c r="DE75" s="6">
        <f t="shared" si="89"/>
        <v>0</v>
      </c>
      <c r="DF75" s="6">
        <f t="shared" si="89"/>
        <v>0.99049128367670369</v>
      </c>
      <c r="DG75" s="6">
        <f t="shared" si="89"/>
        <v>5.3486529318542004</v>
      </c>
      <c r="DH75" s="6">
        <f t="shared" si="89"/>
        <v>2.4564183835182254</v>
      </c>
      <c r="DI75" s="6">
        <f t="shared" si="89"/>
        <v>2.1790808240887483</v>
      </c>
      <c r="DJ75" s="6">
        <f t="shared" si="89"/>
        <v>0.99049128367670369</v>
      </c>
      <c r="DK75" s="6">
        <f t="shared" si="89"/>
        <v>0.99049128367670369</v>
      </c>
      <c r="DL75" s="6">
        <f t="shared" si="89"/>
        <v>0</v>
      </c>
      <c r="DM75" s="6">
        <f t="shared" si="89"/>
        <v>2.3771790808240887</v>
      </c>
      <c r="DN75" s="6">
        <f t="shared" si="89"/>
        <v>1.9809825673534074</v>
      </c>
      <c r="DO75" s="6">
        <f t="shared" si="89"/>
        <v>0.99049128367670369</v>
      </c>
      <c r="DP75" s="6">
        <f t="shared" si="89"/>
        <v>3.1695721077654517</v>
      </c>
      <c r="DQ75" s="6">
        <f t="shared" si="89"/>
        <v>1.9809825673534074</v>
      </c>
      <c r="DR75" s="6">
        <f t="shared" si="89"/>
        <v>0</v>
      </c>
      <c r="DS75" s="6">
        <f t="shared" si="89"/>
        <v>2.3771790808240887</v>
      </c>
      <c r="DT75" s="6">
        <f t="shared" si="89"/>
        <v>0</v>
      </c>
      <c r="DU75" s="6">
        <f t="shared" si="89"/>
        <v>0</v>
      </c>
      <c r="DV75" s="198">
        <f t="shared" si="95"/>
        <v>0</v>
      </c>
      <c r="DW75" s="63">
        <f t="shared" si="95"/>
        <v>0</v>
      </c>
      <c r="DX75" s="28">
        <f t="shared" si="90"/>
        <v>279.11904077511934</v>
      </c>
      <c r="FD75" s="73" t="s">
        <v>146</v>
      </c>
      <c r="FE75" s="63">
        <f ca="1">SUM((INDIRECT(FE$9&amp;ROW()):(INDIRECT(FE$10&amp;ROW()))))</f>
        <v>0</v>
      </c>
      <c r="FF75" s="63">
        <f ca="1">SUM((INDIRECT(FF$9&amp;ROW()):(INDIRECT(FF$10&amp;ROW()))))</f>
        <v>83.543307086614192</v>
      </c>
      <c r="FG75" s="63">
        <f ca="1">SUM((INDIRECT(FG$9&amp;ROW()):(INDIRECT(FG$10&amp;ROW()))))</f>
        <v>65.836554999763294</v>
      </c>
      <c r="FH75" s="63">
        <f ca="1">SUM((INDIRECT(FH$9&amp;ROW()):(INDIRECT(FH$10&amp;ROW()))))</f>
        <v>56.900250580400119</v>
      </c>
      <c r="FI75" s="63">
        <f ca="1">SUM((INDIRECT(FI$9&amp;ROW()):(INDIRECT(FI$10&amp;ROW()))))</f>
        <v>57.981558853191196</v>
      </c>
      <c r="FJ75" s="63">
        <f ca="1">SUM((INDIRECT(FJ$9&amp;ROW()):(INDIRECT(FJ$10&amp;ROW()))))</f>
        <v>14.857369255150557</v>
      </c>
      <c r="FK75" s="63" t="e">
        <f ca="1">SUM((INDIRECT(FK$9&amp;ROW()):(INDIRECT(FK$10&amp;ROW()))))</f>
        <v>#REF!</v>
      </c>
      <c r="FL75" s="63" t="e">
        <f ca="1">SUM((INDIRECT(FL$9&amp;ROW()):(INDIRECT(FL$10&amp;ROW()))))</f>
        <v>#REF!</v>
      </c>
      <c r="FN75" s="28">
        <f t="shared" ca="1" si="91"/>
        <v>279.1190407751194</v>
      </c>
      <c r="FP75" s="14">
        <f t="shared" ca="1" si="96"/>
        <v>2.3259920064593285</v>
      </c>
    </row>
    <row r="76" spans="1:178" ht="15" outlineLevel="1" thickBot="1">
      <c r="A76" t="s">
        <v>630</v>
      </c>
      <c r="B76" t="s">
        <v>328</v>
      </c>
      <c r="C76" s="73" t="s">
        <v>630</v>
      </c>
      <c r="D76" s="6">
        <v>0</v>
      </c>
      <c r="E76" s="6">
        <f t="shared" si="84"/>
        <v>0</v>
      </c>
      <c r="F76" s="6">
        <f t="shared" si="92"/>
        <v>3.7401574803149606</v>
      </c>
      <c r="G76" s="6">
        <f t="shared" si="93"/>
        <v>0</v>
      </c>
      <c r="H76" s="6">
        <f t="shared" si="93"/>
        <v>0</v>
      </c>
      <c r="I76" s="6">
        <f t="shared" si="93"/>
        <v>0</v>
      </c>
      <c r="J76" s="6">
        <f t="shared" si="93"/>
        <v>0</v>
      </c>
      <c r="K76" s="6">
        <f t="shared" si="93"/>
        <v>3.9370078740157481</v>
      </c>
      <c r="L76" s="6">
        <f t="shared" si="93"/>
        <v>0.59055118110236227</v>
      </c>
      <c r="M76" s="6">
        <f t="shared" si="93"/>
        <v>0.59055118110236227</v>
      </c>
      <c r="N76" s="6">
        <f t="shared" si="93"/>
        <v>0</v>
      </c>
      <c r="O76" s="6">
        <f t="shared" si="93"/>
        <v>0</v>
      </c>
      <c r="P76" s="6">
        <f t="shared" si="93"/>
        <v>0</v>
      </c>
      <c r="Q76" s="6">
        <f t="shared" si="93"/>
        <v>0</v>
      </c>
      <c r="R76" s="6">
        <f t="shared" si="93"/>
        <v>11.220472440944883</v>
      </c>
      <c r="S76" s="6">
        <f t="shared" si="93"/>
        <v>0</v>
      </c>
      <c r="T76" s="6">
        <f t="shared" si="93"/>
        <v>0.59055118110236227</v>
      </c>
      <c r="U76" s="6">
        <f t="shared" si="93"/>
        <v>0</v>
      </c>
      <c r="V76" s="6">
        <f t="shared" si="93"/>
        <v>0</v>
      </c>
      <c r="W76" s="6">
        <f t="shared" si="93"/>
        <v>3.5433070866141736</v>
      </c>
      <c r="X76" s="6">
        <f t="shared" si="93"/>
        <v>7.6771653543307092</v>
      </c>
      <c r="Y76" s="6">
        <f t="shared" si="93"/>
        <v>0</v>
      </c>
      <c r="Z76" s="6">
        <f t="shared" si="93"/>
        <v>0</v>
      </c>
      <c r="AA76" s="6">
        <f t="shared" si="93"/>
        <v>0.59055118110236227</v>
      </c>
      <c r="AB76" s="6">
        <f t="shared" si="93"/>
        <v>0</v>
      </c>
      <c r="AC76" s="6">
        <f t="shared" si="93"/>
        <v>0.59055118110236227</v>
      </c>
      <c r="AD76" s="6">
        <f t="shared" si="93"/>
        <v>0</v>
      </c>
      <c r="AE76" s="6">
        <f t="shared" si="93"/>
        <v>0</v>
      </c>
      <c r="AF76" s="6">
        <f t="shared" si="93"/>
        <v>3.1496062992125986</v>
      </c>
      <c r="AG76" s="6">
        <f t="shared" si="93"/>
        <v>7.0866141732283472</v>
      </c>
      <c r="AH76" s="6">
        <f t="shared" si="93"/>
        <v>7.6771653543307092</v>
      </c>
      <c r="AI76" s="6">
        <f t="shared" si="93"/>
        <v>0</v>
      </c>
      <c r="AJ76" s="6">
        <f t="shared" si="93"/>
        <v>0</v>
      </c>
      <c r="AK76" s="6">
        <f t="shared" si="93"/>
        <v>6.4960629921259843</v>
      </c>
      <c r="AL76" s="6">
        <f t="shared" si="93"/>
        <v>0.60120240480961928</v>
      </c>
      <c r="AM76" s="6">
        <f t="shared" si="93"/>
        <v>0</v>
      </c>
      <c r="AN76" s="6">
        <f t="shared" si="93"/>
        <v>8.4168336673346698</v>
      </c>
      <c r="AO76" s="6">
        <f t="shared" si="93"/>
        <v>5.4108216432865737</v>
      </c>
      <c r="AP76" s="6">
        <f t="shared" si="93"/>
        <v>0</v>
      </c>
      <c r="AQ76" s="6">
        <f t="shared" si="93"/>
        <v>10.220440881763528</v>
      </c>
      <c r="AR76" s="6">
        <f t="shared" si="93"/>
        <v>0</v>
      </c>
      <c r="AS76" s="6">
        <f t="shared" si="93"/>
        <v>2.0040080160320644</v>
      </c>
      <c r="AT76" s="6">
        <f t="shared" si="93"/>
        <v>7.214428857715431</v>
      </c>
      <c r="AU76" s="6">
        <f t="shared" si="93"/>
        <v>4.6092184368737472</v>
      </c>
      <c r="AV76" s="6">
        <f t="shared" si="93"/>
        <v>0</v>
      </c>
      <c r="AW76" s="6">
        <f t="shared" si="93"/>
        <v>0.60120240480961928</v>
      </c>
      <c r="AX76" s="6">
        <f t="shared" si="93"/>
        <v>0</v>
      </c>
      <c r="AY76" s="6">
        <f t="shared" si="93"/>
        <v>0</v>
      </c>
      <c r="AZ76" s="6">
        <f t="shared" si="93"/>
        <v>0</v>
      </c>
      <c r="BA76" s="6">
        <f t="shared" si="93"/>
        <v>0</v>
      </c>
      <c r="BB76" s="6">
        <f t="shared" si="93"/>
        <v>2.8056112224448899</v>
      </c>
      <c r="BC76" s="6">
        <f t="shared" si="93"/>
        <v>2.0040080160320644</v>
      </c>
      <c r="BD76" s="6">
        <f t="shared" si="93"/>
        <v>0.59429477020602217</v>
      </c>
      <c r="BE76" s="6">
        <f t="shared" si="93"/>
        <v>0</v>
      </c>
      <c r="BF76" s="6">
        <f t="shared" si="93"/>
        <v>0.59429477020602217</v>
      </c>
      <c r="BG76" s="6">
        <f t="shared" si="93"/>
        <v>0</v>
      </c>
      <c r="BH76" s="6">
        <f t="shared" si="93"/>
        <v>0</v>
      </c>
      <c r="BI76" s="6">
        <f t="shared" si="93"/>
        <v>12.717908082408876</v>
      </c>
      <c r="BJ76" s="6">
        <f t="shared" si="93"/>
        <v>0</v>
      </c>
      <c r="BK76" s="6">
        <f t="shared" si="93"/>
        <v>0.59429477020602217</v>
      </c>
      <c r="BL76" s="6">
        <f t="shared" si="93"/>
        <v>5.5467511885895409</v>
      </c>
      <c r="BM76" s="6">
        <f t="shared" si="93"/>
        <v>0</v>
      </c>
      <c r="BN76" s="6">
        <f t="shared" si="93"/>
        <v>3.1695721077654517</v>
      </c>
      <c r="BO76" s="6">
        <f t="shared" si="93"/>
        <v>0.59429477020602217</v>
      </c>
      <c r="BP76" s="6">
        <f t="shared" si="93"/>
        <v>5.3486529318542004</v>
      </c>
      <c r="BQ76" s="6">
        <f t="shared" si="93"/>
        <v>5.5863708399366088</v>
      </c>
      <c r="BR76" s="6">
        <f t="shared" ref="BR76:DA79" si="97">+SUMIF($C$12:$C$29,$C76,BR$12:BR$29)/BR$6+SUMIF($C$47:$C$63,$C76,BR$47:BR$64)</f>
        <v>0</v>
      </c>
      <c r="BS76" s="6">
        <f t="shared" si="97"/>
        <v>30.705229793977814</v>
      </c>
      <c r="BT76" s="6">
        <f t="shared" si="97"/>
        <v>0.59429477020602217</v>
      </c>
      <c r="BU76" s="6">
        <f t="shared" si="97"/>
        <v>0.59429477020602217</v>
      </c>
      <c r="BV76" s="6">
        <f t="shared" si="97"/>
        <v>0</v>
      </c>
      <c r="BW76" s="6">
        <f t="shared" si="97"/>
        <v>0.59429477020602217</v>
      </c>
      <c r="BX76" s="6">
        <f t="shared" si="97"/>
        <v>0</v>
      </c>
      <c r="BY76" s="6">
        <f t="shared" si="97"/>
        <v>6.5372424722662448</v>
      </c>
      <c r="BZ76" s="6">
        <f t="shared" si="97"/>
        <v>0</v>
      </c>
      <c r="CA76" s="6">
        <f t="shared" si="97"/>
        <v>0.79239302694136293</v>
      </c>
      <c r="CB76" s="6">
        <f t="shared" si="97"/>
        <v>0.59429477020602217</v>
      </c>
      <c r="CC76" s="6">
        <f t="shared" si="97"/>
        <v>0</v>
      </c>
      <c r="CD76" s="6">
        <f t="shared" si="97"/>
        <v>6.5372424722662448</v>
      </c>
      <c r="CE76" s="6">
        <f t="shared" si="97"/>
        <v>0.59429477020602217</v>
      </c>
      <c r="CF76" s="6">
        <f t="shared" si="97"/>
        <v>3.5657686212361335</v>
      </c>
      <c r="CG76" s="6">
        <f t="shared" si="97"/>
        <v>15.887480190174328</v>
      </c>
      <c r="CH76" s="6">
        <f t="shared" si="97"/>
        <v>0</v>
      </c>
      <c r="CI76" s="6">
        <f t="shared" si="97"/>
        <v>7.1315372424722669</v>
      </c>
      <c r="CJ76" s="6">
        <f t="shared" si="97"/>
        <v>0</v>
      </c>
      <c r="CK76" s="6">
        <f t="shared" si="97"/>
        <v>0.59429477020602217</v>
      </c>
      <c r="CL76" s="6">
        <f t="shared" si="97"/>
        <v>0</v>
      </c>
      <c r="CM76" s="6">
        <f t="shared" si="97"/>
        <v>12.253277625702351</v>
      </c>
      <c r="CN76" s="6">
        <f t="shared" si="97"/>
        <v>5.5366661864284694</v>
      </c>
      <c r="CO76" s="6">
        <f t="shared" si="97"/>
        <v>12.465062671084858</v>
      </c>
      <c r="CP76" s="6">
        <f t="shared" si="97"/>
        <v>3.8121308168851753</v>
      </c>
      <c r="CQ76" s="6">
        <f t="shared" si="97"/>
        <v>12.828122748883448</v>
      </c>
      <c r="CR76" s="6">
        <f t="shared" si="97"/>
        <v>0.59429477020602217</v>
      </c>
      <c r="CS76" s="6">
        <f t="shared" si="97"/>
        <v>0.59429477020602217</v>
      </c>
      <c r="CT76" s="6">
        <f t="shared" si="97"/>
        <v>15.253565768621238</v>
      </c>
      <c r="CU76" s="6">
        <f t="shared" si="97"/>
        <v>0</v>
      </c>
      <c r="CV76" s="6">
        <f t="shared" si="97"/>
        <v>0.59429477020602217</v>
      </c>
      <c r="CW76" s="6">
        <f t="shared" si="97"/>
        <v>0</v>
      </c>
      <c r="CX76" s="6">
        <f t="shared" si="97"/>
        <v>6.5372424722662448</v>
      </c>
      <c r="CY76" s="6">
        <f t="shared" si="97"/>
        <v>7.7258320126782891</v>
      </c>
      <c r="CZ76" s="6">
        <f t="shared" si="97"/>
        <v>0.59429477020602217</v>
      </c>
      <c r="DA76" s="6">
        <f t="shared" si="97"/>
        <v>0</v>
      </c>
      <c r="DB76" s="6">
        <f t="shared" ref="DB76:DU80" si="98">+SUMIF($C$12:$C$29,$C76,DB$12:DB$29)/DB$6+SUMIF($C$46:$C$63,$C76,DB$47:DB$64)</f>
        <v>0</v>
      </c>
      <c r="DC76" s="6">
        <f t="shared" si="98"/>
        <v>0.59429477020602217</v>
      </c>
      <c r="DD76" s="6">
        <f t="shared" si="98"/>
        <v>6.5372424722662448</v>
      </c>
      <c r="DE76" s="6">
        <f t="shared" si="98"/>
        <v>4.5562599049128369</v>
      </c>
      <c r="DF76" s="6">
        <f t="shared" si="98"/>
        <v>0</v>
      </c>
      <c r="DG76" s="6">
        <f t="shared" si="98"/>
        <v>7.7258320126782891</v>
      </c>
      <c r="DH76" s="6">
        <f t="shared" si="98"/>
        <v>5.1109350237717912</v>
      </c>
      <c r="DI76" s="6">
        <f t="shared" si="98"/>
        <v>0</v>
      </c>
      <c r="DJ76" s="6">
        <f t="shared" si="98"/>
        <v>5.1505546751188591</v>
      </c>
      <c r="DK76" s="6">
        <f t="shared" si="98"/>
        <v>4.9524564183835187</v>
      </c>
      <c r="DL76" s="6">
        <f t="shared" si="98"/>
        <v>0</v>
      </c>
      <c r="DM76" s="6">
        <f t="shared" si="98"/>
        <v>0</v>
      </c>
      <c r="DN76" s="6">
        <f t="shared" si="98"/>
        <v>0</v>
      </c>
      <c r="DO76" s="6">
        <f t="shared" si="98"/>
        <v>0</v>
      </c>
      <c r="DP76" s="6">
        <f t="shared" si="98"/>
        <v>0.59429477020602217</v>
      </c>
      <c r="DQ76" s="6">
        <f t="shared" si="98"/>
        <v>0</v>
      </c>
      <c r="DR76" s="6">
        <f t="shared" si="98"/>
        <v>0</v>
      </c>
      <c r="DS76" s="6">
        <f t="shared" si="98"/>
        <v>0.59429477020602217</v>
      </c>
      <c r="DT76" s="6">
        <f t="shared" si="98"/>
        <v>0</v>
      </c>
      <c r="DU76" s="6">
        <f t="shared" si="98"/>
        <v>0</v>
      </c>
      <c r="DV76" s="198">
        <f t="shared" si="95"/>
        <v>0</v>
      </c>
      <c r="DW76" s="63">
        <f t="shared" si="95"/>
        <v>0</v>
      </c>
      <c r="DX76" s="28">
        <f t="shared" si="90"/>
        <v>325.44243138480539</v>
      </c>
      <c r="FD76" s="73" t="s">
        <v>630</v>
      </c>
      <c r="FE76" s="63">
        <f ca="1">SUM((INDIRECT(FE$9&amp;ROW()):(INDIRECT(FE$10&amp;ROW()))))</f>
        <v>0</v>
      </c>
      <c r="FF76" s="63">
        <f ca="1">SUM((INDIRECT(FF$9&amp;ROW()):(INDIRECT(FF$10&amp;ROW()))))</f>
        <v>24.212598425196855</v>
      </c>
      <c r="FG76" s="63">
        <f ca="1">SUM((INDIRECT(FG$9&amp;ROW()):(INDIRECT(FG$10&amp;ROW()))))</f>
        <v>75.151484070503216</v>
      </c>
      <c r="FH76" s="63">
        <f ca="1">SUM((INDIRECT(FH$9&amp;ROW()):(INDIRECT(FH$10&amp;ROW()))))</f>
        <v>103.74727267530307</v>
      </c>
      <c r="FI76" s="63">
        <f ca="1">SUM((INDIRECT(FI$9&amp;ROW()):(INDIRECT(FI$10&amp;ROW()))))</f>
        <v>111.03947557988764</v>
      </c>
      <c r="FJ76" s="63">
        <f ca="1">SUM((INDIRECT(FJ$9&amp;ROW()):(INDIRECT(FJ$10&amp;ROW()))))</f>
        <v>11.291600633914424</v>
      </c>
      <c r="FK76" s="63" t="e">
        <f ca="1">SUM((INDIRECT(FK$9&amp;ROW()):(INDIRECT(FK$10&amp;ROW()))))</f>
        <v>#REF!</v>
      </c>
      <c r="FL76" s="63" t="e">
        <f ca="1">SUM((INDIRECT(FL$9&amp;ROW()):(INDIRECT(FL$10&amp;ROW()))))</f>
        <v>#REF!</v>
      </c>
      <c r="FN76" s="28">
        <f t="shared" ca="1" si="91"/>
        <v>325.44243138480522</v>
      </c>
      <c r="FP76" s="14">
        <f t="shared" ca="1" si="96"/>
        <v>2.7120202615400433</v>
      </c>
      <c r="FQ76" s="14">
        <f ca="1">SUM(FP72:FP76)</f>
        <v>24.330761314727919</v>
      </c>
      <c r="FS76" s="142">
        <f ca="1">FQ76*FS$71</f>
        <v>1094.8842591627563</v>
      </c>
      <c r="FV76">
        <v>1100</v>
      </c>
    </row>
    <row r="77" spans="1:178" outlineLevel="1">
      <c r="A77" t="s">
        <v>560</v>
      </c>
      <c r="B77" t="s">
        <v>559</v>
      </c>
      <c r="C77" s="72" t="s">
        <v>149</v>
      </c>
      <c r="D77" s="6">
        <v>0</v>
      </c>
      <c r="E77" s="6">
        <f t="shared" si="84"/>
        <v>0</v>
      </c>
      <c r="F77" s="6">
        <f t="shared" si="92"/>
        <v>0</v>
      </c>
      <c r="G77" s="6">
        <f t="shared" ref="G77:BR80" si="99">+SUMIF($C$12:$C$29,$C77,G$12:G$29)/G$6+SUMIF($C$47:$C$63,$C77,G$47:G$64)</f>
        <v>0</v>
      </c>
      <c r="H77" s="6">
        <f t="shared" si="99"/>
        <v>0</v>
      </c>
      <c r="I77" s="6">
        <f t="shared" si="99"/>
        <v>0</v>
      </c>
      <c r="J77" s="6">
        <f t="shared" si="99"/>
        <v>0</v>
      </c>
      <c r="K77" s="6">
        <f t="shared" si="99"/>
        <v>0</v>
      </c>
      <c r="L77" s="6">
        <f t="shared" si="99"/>
        <v>0</v>
      </c>
      <c r="M77" s="6">
        <f t="shared" si="99"/>
        <v>1.5748031496062993</v>
      </c>
      <c r="N77" s="6">
        <f t="shared" si="99"/>
        <v>1.0629921259842521</v>
      </c>
      <c r="O77" s="6">
        <f t="shared" si="99"/>
        <v>2.3622047244094491</v>
      </c>
      <c r="P77" s="6">
        <f t="shared" si="99"/>
        <v>1.1811023622047245</v>
      </c>
      <c r="Q77" s="6">
        <f t="shared" si="99"/>
        <v>0</v>
      </c>
      <c r="R77" s="6">
        <f t="shared" si="99"/>
        <v>0</v>
      </c>
      <c r="S77" s="6">
        <f t="shared" si="99"/>
        <v>3.7795275590551185</v>
      </c>
      <c r="T77" s="6">
        <f t="shared" si="99"/>
        <v>0</v>
      </c>
      <c r="U77" s="6">
        <f t="shared" si="99"/>
        <v>4.1338582677165361</v>
      </c>
      <c r="V77" s="6">
        <f t="shared" si="99"/>
        <v>3.3464566929133861</v>
      </c>
      <c r="W77" s="6">
        <f t="shared" si="99"/>
        <v>0.98425196850393704</v>
      </c>
      <c r="X77" s="6">
        <f t="shared" si="99"/>
        <v>3.3464566929133861</v>
      </c>
      <c r="Y77" s="6">
        <f t="shared" si="99"/>
        <v>0</v>
      </c>
      <c r="Z77" s="6">
        <f t="shared" si="99"/>
        <v>1.7716535433070868</v>
      </c>
      <c r="AA77" s="6">
        <f t="shared" si="99"/>
        <v>0</v>
      </c>
      <c r="AB77" s="6">
        <f t="shared" si="99"/>
        <v>4.5275590551181102</v>
      </c>
      <c r="AC77" s="6">
        <f t="shared" si="99"/>
        <v>1.1811023622047245</v>
      </c>
      <c r="AD77" s="6">
        <f t="shared" si="99"/>
        <v>1.1811023622047245</v>
      </c>
      <c r="AE77" s="6">
        <f t="shared" si="99"/>
        <v>0.98425196850393704</v>
      </c>
      <c r="AF77" s="6">
        <f t="shared" si="99"/>
        <v>6.4960629921259843</v>
      </c>
      <c r="AG77" s="6">
        <f t="shared" si="99"/>
        <v>1.1811023622047245</v>
      </c>
      <c r="AH77" s="6">
        <f t="shared" si="99"/>
        <v>0</v>
      </c>
      <c r="AI77" s="6">
        <f t="shared" si="99"/>
        <v>1.5748031496062993</v>
      </c>
      <c r="AJ77" s="6">
        <f t="shared" si="99"/>
        <v>1.1811023622047245</v>
      </c>
      <c r="AK77" s="6">
        <f t="shared" si="99"/>
        <v>5.9055118110236222</v>
      </c>
      <c r="AL77" s="6">
        <f t="shared" si="99"/>
        <v>1.402805611222445</v>
      </c>
      <c r="AM77" s="6">
        <f t="shared" si="99"/>
        <v>2.8056112224448899</v>
      </c>
      <c r="AN77" s="6">
        <f t="shared" si="99"/>
        <v>1.6032064128256514</v>
      </c>
      <c r="AO77" s="6">
        <f t="shared" si="99"/>
        <v>2.0040080160320644</v>
      </c>
      <c r="AP77" s="6">
        <f t="shared" si="99"/>
        <v>2.2044088176352705</v>
      </c>
      <c r="AQ77" s="6">
        <f t="shared" si="99"/>
        <v>2.2044088176352705</v>
      </c>
      <c r="AR77" s="6">
        <f t="shared" si="99"/>
        <v>0.96192384769539085</v>
      </c>
      <c r="AS77" s="6">
        <f t="shared" si="99"/>
        <v>0.96192384769539085</v>
      </c>
      <c r="AT77" s="6">
        <f t="shared" si="99"/>
        <v>4.0080160320641287</v>
      </c>
      <c r="AU77" s="6">
        <f t="shared" si="99"/>
        <v>0</v>
      </c>
      <c r="AV77" s="6">
        <f t="shared" si="99"/>
        <v>6.6132264529058116</v>
      </c>
      <c r="AW77" s="6">
        <f t="shared" si="99"/>
        <v>3.6072144288577155</v>
      </c>
      <c r="AX77" s="6">
        <f t="shared" si="99"/>
        <v>3.6072144288577155</v>
      </c>
      <c r="AY77" s="6">
        <f t="shared" si="99"/>
        <v>1.6032064128256514</v>
      </c>
      <c r="AZ77" s="6">
        <f t="shared" si="99"/>
        <v>3.6072144288577155</v>
      </c>
      <c r="BA77" s="6">
        <f t="shared" si="99"/>
        <v>1.6032064128256514</v>
      </c>
      <c r="BB77" s="6">
        <f t="shared" si="99"/>
        <v>0</v>
      </c>
      <c r="BC77" s="6">
        <f t="shared" si="99"/>
        <v>5.2104208416833666</v>
      </c>
      <c r="BD77" s="6">
        <f t="shared" si="99"/>
        <v>1.5847860538827259</v>
      </c>
      <c r="BE77" s="6">
        <f t="shared" si="99"/>
        <v>3.1695721077654517</v>
      </c>
      <c r="BF77" s="6">
        <f t="shared" si="99"/>
        <v>1.5847860538827259</v>
      </c>
      <c r="BG77" s="6">
        <f t="shared" si="99"/>
        <v>2.7733755942947704</v>
      </c>
      <c r="BH77" s="6">
        <f t="shared" si="99"/>
        <v>0</v>
      </c>
      <c r="BI77" s="6">
        <f t="shared" si="99"/>
        <v>1.9809825673534074</v>
      </c>
      <c r="BJ77" s="6">
        <f t="shared" si="99"/>
        <v>1.5847860538827259</v>
      </c>
      <c r="BK77" s="6">
        <f t="shared" si="99"/>
        <v>0.99049128367670369</v>
      </c>
      <c r="BL77" s="6">
        <f t="shared" si="99"/>
        <v>2.9714738510301113</v>
      </c>
      <c r="BM77" s="6">
        <f t="shared" si="99"/>
        <v>3.1695721077654517</v>
      </c>
      <c r="BN77" s="6">
        <f t="shared" si="99"/>
        <v>0</v>
      </c>
      <c r="BO77" s="6">
        <f t="shared" si="99"/>
        <v>1.9809825673534074</v>
      </c>
      <c r="BP77" s="6">
        <f t="shared" si="99"/>
        <v>1.5847860538827259</v>
      </c>
      <c r="BQ77" s="6">
        <f t="shared" si="99"/>
        <v>1.9809825673534074</v>
      </c>
      <c r="BR77" s="6">
        <f t="shared" si="99"/>
        <v>2.1790808240887483</v>
      </c>
      <c r="BS77" s="6">
        <f t="shared" si="97"/>
        <v>3.5657686212361335</v>
      </c>
      <c r="BT77" s="6">
        <f t="shared" si="97"/>
        <v>0</v>
      </c>
      <c r="BU77" s="6">
        <f t="shared" si="97"/>
        <v>0</v>
      </c>
      <c r="BV77" s="6">
        <f t="shared" si="97"/>
        <v>0</v>
      </c>
      <c r="BW77" s="6">
        <f t="shared" si="97"/>
        <v>0.35657686212361334</v>
      </c>
      <c r="BX77" s="6">
        <f t="shared" si="97"/>
        <v>0.35657686212361334</v>
      </c>
      <c r="BY77" s="6">
        <f t="shared" si="97"/>
        <v>0</v>
      </c>
      <c r="BZ77" s="6">
        <f t="shared" si="97"/>
        <v>0</v>
      </c>
      <c r="CA77" s="6">
        <f t="shared" si="97"/>
        <v>0.59429477020602217</v>
      </c>
      <c r="CB77" s="6">
        <f t="shared" si="97"/>
        <v>0</v>
      </c>
      <c r="CC77" s="6">
        <f t="shared" si="97"/>
        <v>3.9619651347068148</v>
      </c>
      <c r="CD77" s="6">
        <f t="shared" si="97"/>
        <v>0</v>
      </c>
      <c r="CE77" s="6">
        <f t="shared" si="97"/>
        <v>0</v>
      </c>
      <c r="CF77" s="6">
        <f t="shared" si="97"/>
        <v>0</v>
      </c>
      <c r="CG77" s="6">
        <f t="shared" si="97"/>
        <v>0</v>
      </c>
      <c r="CH77" s="6">
        <f t="shared" si="97"/>
        <v>0</v>
      </c>
      <c r="CI77" s="6">
        <f t="shared" si="97"/>
        <v>0</v>
      </c>
      <c r="CJ77" s="6">
        <f t="shared" si="97"/>
        <v>0</v>
      </c>
      <c r="CK77" s="6">
        <f t="shared" si="97"/>
        <v>0</v>
      </c>
      <c r="CL77" s="6">
        <f t="shared" si="97"/>
        <v>0</v>
      </c>
      <c r="CM77" s="6">
        <f t="shared" si="97"/>
        <v>0</v>
      </c>
      <c r="CN77" s="6">
        <f t="shared" si="97"/>
        <v>0</v>
      </c>
      <c r="CO77" s="6">
        <f t="shared" si="97"/>
        <v>0</v>
      </c>
      <c r="CP77" s="6">
        <f t="shared" si="97"/>
        <v>5.1433511021466645</v>
      </c>
      <c r="CQ77" s="6">
        <f t="shared" si="97"/>
        <v>2.722950583489411</v>
      </c>
      <c r="CR77" s="6">
        <f t="shared" si="97"/>
        <v>0</v>
      </c>
      <c r="CS77" s="6">
        <f t="shared" si="97"/>
        <v>0</v>
      </c>
      <c r="CT77" s="6">
        <f t="shared" si="97"/>
        <v>0</v>
      </c>
      <c r="CU77" s="6">
        <f t="shared" si="97"/>
        <v>0</v>
      </c>
      <c r="CV77" s="6">
        <f t="shared" si="97"/>
        <v>0</v>
      </c>
      <c r="CW77" s="6">
        <f t="shared" si="97"/>
        <v>0</v>
      </c>
      <c r="CX77" s="6">
        <f t="shared" si="97"/>
        <v>0</v>
      </c>
      <c r="CY77" s="6">
        <f t="shared" si="97"/>
        <v>0</v>
      </c>
      <c r="CZ77" s="6">
        <f t="shared" si="97"/>
        <v>9.1125198098256739</v>
      </c>
      <c r="DA77" s="6">
        <f t="shared" si="97"/>
        <v>0</v>
      </c>
      <c r="DB77" s="6">
        <f t="shared" si="98"/>
        <v>0</v>
      </c>
      <c r="DC77" s="6">
        <f t="shared" si="98"/>
        <v>0</v>
      </c>
      <c r="DD77" s="6">
        <f t="shared" si="98"/>
        <v>0.39619651347068147</v>
      </c>
      <c r="DE77" s="6">
        <f t="shared" si="98"/>
        <v>4.3581616481774965</v>
      </c>
      <c r="DF77" s="6">
        <f t="shared" si="98"/>
        <v>1.1885895404120443</v>
      </c>
      <c r="DG77" s="6">
        <f t="shared" si="98"/>
        <v>0</v>
      </c>
      <c r="DH77" s="6">
        <f t="shared" si="98"/>
        <v>0</v>
      </c>
      <c r="DI77" s="6">
        <f t="shared" si="98"/>
        <v>1.1885895404120443</v>
      </c>
      <c r="DJ77" s="6">
        <f t="shared" si="98"/>
        <v>0</v>
      </c>
      <c r="DK77" s="6">
        <f t="shared" si="98"/>
        <v>0</v>
      </c>
      <c r="DL77" s="6">
        <f t="shared" si="98"/>
        <v>0</v>
      </c>
      <c r="DM77" s="6">
        <f t="shared" si="98"/>
        <v>1.1885895404120443</v>
      </c>
      <c r="DN77" s="6">
        <f t="shared" si="98"/>
        <v>1.1885895404120443</v>
      </c>
      <c r="DO77" s="6">
        <f t="shared" si="98"/>
        <v>0</v>
      </c>
      <c r="DP77" s="6">
        <f t="shared" si="98"/>
        <v>2.1790808240887483</v>
      </c>
      <c r="DQ77" s="6">
        <f t="shared" si="98"/>
        <v>0</v>
      </c>
      <c r="DR77" s="6">
        <f t="shared" si="98"/>
        <v>79.239302694136299</v>
      </c>
      <c r="DS77" s="6">
        <f t="shared" si="98"/>
        <v>0</v>
      </c>
      <c r="DT77" s="6">
        <f t="shared" si="98"/>
        <v>0</v>
      </c>
      <c r="DU77" s="6">
        <f t="shared" si="98"/>
        <v>0</v>
      </c>
      <c r="DV77" s="198">
        <f t="shared" si="95"/>
        <v>0</v>
      </c>
      <c r="DW77" s="63">
        <f t="shared" si="95"/>
        <v>0</v>
      </c>
      <c r="DX77" s="28">
        <f t="shared" si="90"/>
        <v>236.0406828174668</v>
      </c>
      <c r="FD77" s="72" t="s">
        <v>149</v>
      </c>
      <c r="FE77" s="63">
        <f ca="1">SUM((INDIRECT(FE$9&amp;ROW()):(INDIRECT(FE$10&amp;ROW()))))</f>
        <v>0</v>
      </c>
      <c r="FF77" s="63">
        <f ca="1">SUM((INDIRECT(FF$9&amp;ROW()):(INDIRECT(FF$10&amp;ROW()))))</f>
        <v>18.4251968503937</v>
      </c>
      <c r="FG77" s="63">
        <f ca="1">SUM((INDIRECT(FG$9&amp;ROW()):(INDIRECT(FG$10&amp;ROW()))))</f>
        <v>68.12830385179808</v>
      </c>
      <c r="FH77" s="63">
        <f ca="1">SUM((INDIRECT(FH$9&amp;ROW()):(INDIRECT(FH$10&amp;ROW()))))</f>
        <v>41.58126077829192</v>
      </c>
      <c r="FI77" s="63">
        <f ca="1">SUM((INDIRECT(FI$9&amp;ROW()):(INDIRECT(FI$10&amp;ROW()))))</f>
        <v>24.110358737934021</v>
      </c>
      <c r="FJ77" s="63">
        <f ca="1">SUM((INDIRECT(FJ$9&amp;ROW()):(INDIRECT(FJ$10&amp;ROW()))))</f>
        <v>83.795562599049134</v>
      </c>
      <c r="FK77" s="63" t="e">
        <f ca="1">SUM((INDIRECT(FK$9&amp;ROW()):(INDIRECT(FK$10&amp;ROW()))))</f>
        <v>#REF!</v>
      </c>
      <c r="FL77" s="63" t="e">
        <f ca="1">SUM((INDIRECT(FL$9&amp;ROW()):(INDIRECT(FL$10&amp;ROW()))))</f>
        <v>#REF!</v>
      </c>
      <c r="FN77" s="28">
        <f t="shared" ca="1" si="91"/>
        <v>236.04068281746683</v>
      </c>
      <c r="FP77" s="14">
        <f t="shared" ca="1" si="96"/>
        <v>1.9670056901455568</v>
      </c>
    </row>
    <row r="78" spans="1:178" outlineLevel="1">
      <c r="A78" t="s">
        <v>629</v>
      </c>
      <c r="B78" t="s">
        <v>559</v>
      </c>
      <c r="C78" s="73" t="s">
        <v>632</v>
      </c>
      <c r="D78" s="6">
        <v>0</v>
      </c>
      <c r="E78" s="6">
        <f t="shared" si="84"/>
        <v>0</v>
      </c>
      <c r="F78" s="6">
        <f t="shared" si="92"/>
        <v>13.385826771653544</v>
      </c>
      <c r="G78" s="6">
        <f t="shared" si="99"/>
        <v>0</v>
      </c>
      <c r="H78" s="6">
        <f t="shared" si="99"/>
        <v>0</v>
      </c>
      <c r="I78" s="6">
        <f t="shared" si="99"/>
        <v>0</v>
      </c>
      <c r="J78" s="6">
        <f t="shared" si="99"/>
        <v>0</v>
      </c>
      <c r="K78" s="6">
        <f t="shared" si="99"/>
        <v>0</v>
      </c>
      <c r="L78" s="6">
        <f t="shared" si="99"/>
        <v>0</v>
      </c>
      <c r="M78" s="6">
        <f t="shared" si="99"/>
        <v>0</v>
      </c>
      <c r="N78" s="6">
        <f t="shared" si="99"/>
        <v>17.598425196850396</v>
      </c>
      <c r="O78" s="6">
        <f t="shared" si="99"/>
        <v>0</v>
      </c>
      <c r="P78" s="6">
        <f t="shared" si="99"/>
        <v>0</v>
      </c>
      <c r="Q78" s="6">
        <f t="shared" si="99"/>
        <v>0</v>
      </c>
      <c r="R78" s="6">
        <f t="shared" si="99"/>
        <v>0</v>
      </c>
      <c r="S78" s="6">
        <f t="shared" si="99"/>
        <v>0</v>
      </c>
      <c r="T78" s="6">
        <f t="shared" si="99"/>
        <v>0</v>
      </c>
      <c r="U78" s="6">
        <f t="shared" si="99"/>
        <v>4.3307086614173231</v>
      </c>
      <c r="V78" s="6">
        <f t="shared" si="99"/>
        <v>0</v>
      </c>
      <c r="W78" s="6">
        <f t="shared" si="99"/>
        <v>0</v>
      </c>
      <c r="X78" s="6">
        <f t="shared" si="99"/>
        <v>0</v>
      </c>
      <c r="Y78" s="6">
        <f t="shared" si="99"/>
        <v>3.9370078740157481</v>
      </c>
      <c r="Z78" s="6">
        <f t="shared" si="99"/>
        <v>1.9685039370078741</v>
      </c>
      <c r="AA78" s="6">
        <f t="shared" si="99"/>
        <v>0</v>
      </c>
      <c r="AB78" s="6">
        <f t="shared" si="99"/>
        <v>0</v>
      </c>
      <c r="AC78" s="6">
        <f t="shared" si="99"/>
        <v>0</v>
      </c>
      <c r="AD78" s="6">
        <f t="shared" si="99"/>
        <v>0</v>
      </c>
      <c r="AE78" s="6">
        <f t="shared" si="99"/>
        <v>0</v>
      </c>
      <c r="AF78" s="6">
        <f t="shared" si="99"/>
        <v>0</v>
      </c>
      <c r="AG78" s="6">
        <f t="shared" si="99"/>
        <v>0</v>
      </c>
      <c r="AH78" s="6">
        <f t="shared" si="99"/>
        <v>0</v>
      </c>
      <c r="AI78" s="6">
        <f t="shared" si="99"/>
        <v>0</v>
      </c>
      <c r="AJ78" s="6">
        <f t="shared" si="99"/>
        <v>2.7559055118110236</v>
      </c>
      <c r="AK78" s="6">
        <f t="shared" si="99"/>
        <v>7.8740157480314963</v>
      </c>
      <c r="AL78" s="6">
        <f t="shared" si="99"/>
        <v>69.579158316633269</v>
      </c>
      <c r="AM78" s="6">
        <f t="shared" si="99"/>
        <v>3.2064128256513027</v>
      </c>
      <c r="AN78" s="6">
        <f t="shared" si="99"/>
        <v>0</v>
      </c>
      <c r="AO78" s="6">
        <f t="shared" si="99"/>
        <v>0</v>
      </c>
      <c r="AP78" s="6">
        <f t="shared" si="99"/>
        <v>0</v>
      </c>
      <c r="AQ78" s="6">
        <f t="shared" si="99"/>
        <v>0</v>
      </c>
      <c r="AR78" s="6">
        <f t="shared" si="99"/>
        <v>0</v>
      </c>
      <c r="AS78" s="6">
        <f t="shared" si="99"/>
        <v>1.402805611222445</v>
      </c>
      <c r="AT78" s="6">
        <f t="shared" si="99"/>
        <v>0</v>
      </c>
      <c r="AU78" s="6">
        <f t="shared" si="99"/>
        <v>0</v>
      </c>
      <c r="AV78" s="6">
        <f t="shared" si="99"/>
        <v>0</v>
      </c>
      <c r="AW78" s="6">
        <f t="shared" si="99"/>
        <v>0</v>
      </c>
      <c r="AX78" s="6">
        <f t="shared" si="99"/>
        <v>2.0040080160320644</v>
      </c>
      <c r="AY78" s="6">
        <f t="shared" si="99"/>
        <v>0</v>
      </c>
      <c r="AZ78" s="6">
        <f t="shared" si="99"/>
        <v>4.0080160320641287</v>
      </c>
      <c r="BA78" s="6">
        <f t="shared" si="99"/>
        <v>0</v>
      </c>
      <c r="BB78" s="6">
        <f t="shared" si="99"/>
        <v>0</v>
      </c>
      <c r="BC78" s="6">
        <f t="shared" si="99"/>
        <v>0</v>
      </c>
      <c r="BD78" s="6">
        <f t="shared" si="99"/>
        <v>0</v>
      </c>
      <c r="BE78" s="6">
        <f t="shared" si="99"/>
        <v>1.5847860538827259</v>
      </c>
      <c r="BF78" s="6">
        <f t="shared" si="99"/>
        <v>0</v>
      </c>
      <c r="BG78" s="6">
        <f t="shared" si="99"/>
        <v>1.1885895404120443</v>
      </c>
      <c r="BH78" s="6">
        <f t="shared" si="99"/>
        <v>0</v>
      </c>
      <c r="BI78" s="6">
        <f t="shared" si="99"/>
        <v>0</v>
      </c>
      <c r="BJ78" s="6">
        <f t="shared" si="99"/>
        <v>0</v>
      </c>
      <c r="BK78" s="6">
        <f t="shared" si="99"/>
        <v>0</v>
      </c>
      <c r="BL78" s="6">
        <f t="shared" si="99"/>
        <v>0</v>
      </c>
      <c r="BM78" s="6">
        <f t="shared" si="99"/>
        <v>0</v>
      </c>
      <c r="BN78" s="6">
        <f t="shared" si="99"/>
        <v>0</v>
      </c>
      <c r="BO78" s="6">
        <f t="shared" si="99"/>
        <v>51.267828843106187</v>
      </c>
      <c r="BP78" s="6">
        <f t="shared" si="99"/>
        <v>0</v>
      </c>
      <c r="BQ78" s="6">
        <f t="shared" si="99"/>
        <v>0</v>
      </c>
      <c r="BR78" s="6">
        <f t="shared" si="99"/>
        <v>0</v>
      </c>
      <c r="BS78" s="6">
        <f t="shared" si="97"/>
        <v>0</v>
      </c>
      <c r="BT78" s="6">
        <f t="shared" si="97"/>
        <v>0</v>
      </c>
      <c r="BU78" s="6">
        <f t="shared" si="97"/>
        <v>0</v>
      </c>
      <c r="BV78" s="6">
        <f t="shared" si="97"/>
        <v>0</v>
      </c>
      <c r="BW78" s="6">
        <f t="shared" si="97"/>
        <v>0</v>
      </c>
      <c r="BX78" s="6">
        <f t="shared" si="97"/>
        <v>0</v>
      </c>
      <c r="BY78" s="6">
        <f t="shared" si="97"/>
        <v>0</v>
      </c>
      <c r="BZ78" s="6">
        <f t="shared" si="97"/>
        <v>31.695721077654518</v>
      </c>
      <c r="CA78" s="6">
        <f t="shared" si="97"/>
        <v>7.1315372424722669</v>
      </c>
      <c r="CB78" s="6">
        <f t="shared" si="97"/>
        <v>0</v>
      </c>
      <c r="CC78" s="6">
        <f t="shared" si="97"/>
        <v>0</v>
      </c>
      <c r="CD78" s="6">
        <f t="shared" si="97"/>
        <v>0</v>
      </c>
      <c r="CE78" s="6">
        <f t="shared" si="97"/>
        <v>0</v>
      </c>
      <c r="CF78" s="6">
        <f t="shared" si="97"/>
        <v>0</v>
      </c>
      <c r="CG78" s="6">
        <f t="shared" si="97"/>
        <v>0</v>
      </c>
      <c r="CH78" s="6">
        <f t="shared" si="97"/>
        <v>23.77179080824089</v>
      </c>
      <c r="CI78" s="6">
        <f t="shared" si="97"/>
        <v>1.1885895404120443</v>
      </c>
      <c r="CJ78" s="6">
        <f t="shared" si="97"/>
        <v>0</v>
      </c>
      <c r="CK78" s="6">
        <f t="shared" si="97"/>
        <v>0</v>
      </c>
      <c r="CL78" s="6">
        <f t="shared" si="97"/>
        <v>0</v>
      </c>
      <c r="CM78" s="6">
        <f t="shared" si="97"/>
        <v>10.589252269125488</v>
      </c>
      <c r="CN78" s="6">
        <f t="shared" si="97"/>
        <v>1.6640253565768621</v>
      </c>
      <c r="CO78" s="6">
        <f t="shared" si="97"/>
        <v>0</v>
      </c>
      <c r="CP78" s="6">
        <f t="shared" si="97"/>
        <v>0</v>
      </c>
      <c r="CQ78" s="6">
        <f t="shared" si="97"/>
        <v>0</v>
      </c>
      <c r="CR78" s="6">
        <f t="shared" si="97"/>
        <v>3.4490707390865873</v>
      </c>
      <c r="CS78" s="6">
        <f t="shared" si="97"/>
        <v>0</v>
      </c>
      <c r="CT78" s="6">
        <f t="shared" si="97"/>
        <v>0</v>
      </c>
      <c r="CU78" s="6">
        <f t="shared" si="97"/>
        <v>0</v>
      </c>
      <c r="CV78" s="6">
        <f t="shared" si="97"/>
        <v>0</v>
      </c>
      <c r="CW78" s="6">
        <f t="shared" si="97"/>
        <v>0</v>
      </c>
      <c r="CX78" s="6">
        <f t="shared" si="97"/>
        <v>0</v>
      </c>
      <c r="CY78" s="6">
        <f t="shared" si="97"/>
        <v>1.5847860538827259</v>
      </c>
      <c r="CZ78" s="6">
        <f t="shared" si="97"/>
        <v>0</v>
      </c>
      <c r="DA78" s="6">
        <f t="shared" si="97"/>
        <v>0</v>
      </c>
      <c r="DB78" s="6">
        <f t="shared" si="98"/>
        <v>1.9809825673534074</v>
      </c>
      <c r="DC78" s="6">
        <f t="shared" si="98"/>
        <v>0</v>
      </c>
      <c r="DD78" s="6">
        <f t="shared" si="98"/>
        <v>0</v>
      </c>
      <c r="DE78" s="6">
        <f t="shared" si="98"/>
        <v>0</v>
      </c>
      <c r="DF78" s="6">
        <f t="shared" si="98"/>
        <v>1.9809825673534074</v>
      </c>
      <c r="DG78" s="6">
        <f t="shared" si="98"/>
        <v>0</v>
      </c>
      <c r="DH78" s="6">
        <f t="shared" si="98"/>
        <v>0</v>
      </c>
      <c r="DI78" s="6">
        <f t="shared" si="98"/>
        <v>0</v>
      </c>
      <c r="DJ78" s="6">
        <f t="shared" si="98"/>
        <v>0</v>
      </c>
      <c r="DK78" s="6">
        <f t="shared" si="98"/>
        <v>2.3771790808240887</v>
      </c>
      <c r="DL78" s="6">
        <f t="shared" si="98"/>
        <v>0</v>
      </c>
      <c r="DM78" s="6">
        <f t="shared" si="98"/>
        <v>0</v>
      </c>
      <c r="DN78" s="6">
        <f t="shared" si="98"/>
        <v>0</v>
      </c>
      <c r="DO78" s="6">
        <f t="shared" si="98"/>
        <v>0</v>
      </c>
      <c r="DP78" s="6">
        <f t="shared" si="98"/>
        <v>0</v>
      </c>
      <c r="DQ78" s="6">
        <f t="shared" si="98"/>
        <v>0</v>
      </c>
      <c r="DR78" s="6">
        <f t="shared" si="98"/>
        <v>0</v>
      </c>
      <c r="DS78" s="6">
        <f t="shared" si="98"/>
        <v>0</v>
      </c>
      <c r="DT78" s="6">
        <f t="shared" si="98"/>
        <v>0</v>
      </c>
      <c r="DU78" s="6">
        <f t="shared" si="98"/>
        <v>0</v>
      </c>
      <c r="DV78" s="198">
        <f t="shared" si="95"/>
        <v>0</v>
      </c>
      <c r="DW78" s="63">
        <f t="shared" si="95"/>
        <v>0</v>
      </c>
      <c r="DX78" s="28">
        <f t="shared" si="90"/>
        <v>273.50591624277388</v>
      </c>
      <c r="FD78" s="73" t="s">
        <v>632</v>
      </c>
      <c r="FE78" s="63">
        <f ca="1">SUM((INDIRECT(FE$9&amp;ROW()):(INDIRECT(FE$10&amp;ROW()))))</f>
        <v>0</v>
      </c>
      <c r="FF78" s="63">
        <f ca="1">SUM((INDIRECT(FF$9&amp;ROW()):(INDIRECT(FF$10&amp;ROW()))))</f>
        <v>35.314960629921266</v>
      </c>
      <c r="FG78" s="63">
        <f ca="1">SUM((INDIRECT(FG$9&amp;ROW()):(INDIRECT(FG$10&amp;ROW()))))</f>
        <v>96.735833872469357</v>
      </c>
      <c r="FH78" s="63">
        <f ca="1">SUM((INDIRECT(FH$9&amp;ROW()):(INDIRECT(FH$10&amp;ROW()))))</f>
        <v>92.868462757527737</v>
      </c>
      <c r="FI78" s="63">
        <f ca="1">SUM((INDIRECT(FI$9&amp;ROW()):(INDIRECT(FI$10&amp;ROW()))))</f>
        <v>46.209479902031411</v>
      </c>
      <c r="FJ78" s="63">
        <f ca="1">SUM((INDIRECT(FJ$9&amp;ROW()):(INDIRECT(FJ$10&amp;ROW()))))</f>
        <v>2.3771790808240887</v>
      </c>
      <c r="FK78" s="63" t="e">
        <f ca="1">SUM((INDIRECT(FK$9&amp;ROW()):(INDIRECT(FK$10&amp;ROW()))))</f>
        <v>#REF!</v>
      </c>
      <c r="FL78" s="63" t="e">
        <f ca="1">SUM((INDIRECT(FL$9&amp;ROW()):(INDIRECT(FL$10&amp;ROW()))))</f>
        <v>#REF!</v>
      </c>
      <c r="FN78" s="28">
        <f t="shared" ca="1" si="91"/>
        <v>273.50591624277388</v>
      </c>
      <c r="FP78" s="14">
        <f t="shared" ca="1" si="96"/>
        <v>2.2792159686897824</v>
      </c>
    </row>
    <row r="79" spans="1:178" ht="15" outlineLevel="1" thickBot="1">
      <c r="A79" t="s">
        <v>149</v>
      </c>
      <c r="B79" t="s">
        <v>559</v>
      </c>
      <c r="C79" s="74" t="s">
        <v>629</v>
      </c>
      <c r="D79" s="6">
        <v>0</v>
      </c>
      <c r="E79" s="6">
        <f t="shared" si="84"/>
        <v>0</v>
      </c>
      <c r="F79" s="6">
        <f t="shared" si="92"/>
        <v>42.913385826771659</v>
      </c>
      <c r="G79" s="6">
        <f t="shared" si="99"/>
        <v>42.913385826771659</v>
      </c>
      <c r="H79" s="6">
        <f t="shared" si="99"/>
        <v>42.99212598425197</v>
      </c>
      <c r="I79" s="6">
        <f t="shared" si="99"/>
        <v>42.99212598425197</v>
      </c>
      <c r="J79" s="6">
        <f t="shared" si="99"/>
        <v>42.99212598425197</v>
      </c>
      <c r="K79" s="6">
        <f t="shared" si="99"/>
        <v>42.99212598425197</v>
      </c>
      <c r="L79" s="6">
        <f t="shared" si="99"/>
        <v>42.99212598425197</v>
      </c>
      <c r="M79" s="6">
        <f t="shared" si="99"/>
        <v>0</v>
      </c>
      <c r="N79" s="6">
        <f t="shared" si="99"/>
        <v>15.748031496062993</v>
      </c>
      <c r="O79" s="6">
        <f t="shared" si="99"/>
        <v>15.748031496062993</v>
      </c>
      <c r="P79" s="6">
        <f t="shared" si="99"/>
        <v>15.748031496062993</v>
      </c>
      <c r="Q79" s="6">
        <f t="shared" si="99"/>
        <v>15.748031496062993</v>
      </c>
      <c r="R79" s="6">
        <f t="shared" si="99"/>
        <v>15.748031496062993</v>
      </c>
      <c r="S79" s="6">
        <f t="shared" si="99"/>
        <v>15.748031496062993</v>
      </c>
      <c r="T79" s="6">
        <f t="shared" si="99"/>
        <v>15.748031496062993</v>
      </c>
      <c r="U79" s="6">
        <f t="shared" si="99"/>
        <v>15.748031496062993</v>
      </c>
      <c r="V79" s="6">
        <f t="shared" si="99"/>
        <v>15.748031496062993</v>
      </c>
      <c r="W79" s="6">
        <f t="shared" si="99"/>
        <v>15.748031496062993</v>
      </c>
      <c r="X79" s="6">
        <f t="shared" si="99"/>
        <v>15.240157480314963</v>
      </c>
      <c r="Y79" s="6">
        <f t="shared" si="99"/>
        <v>15.240157480314963</v>
      </c>
      <c r="Z79" s="6">
        <f t="shared" si="99"/>
        <v>15.240157480314963</v>
      </c>
      <c r="AA79" s="6">
        <f t="shared" si="99"/>
        <v>15.240157480314963</v>
      </c>
      <c r="AB79" s="6">
        <f t="shared" si="99"/>
        <v>15.240157480314963</v>
      </c>
      <c r="AC79" s="6">
        <f t="shared" si="99"/>
        <v>15.240157480314963</v>
      </c>
      <c r="AD79" s="6">
        <f t="shared" si="99"/>
        <v>15.240157480314963</v>
      </c>
      <c r="AE79" s="6">
        <f t="shared" si="99"/>
        <v>15.240157480314963</v>
      </c>
      <c r="AF79" s="6">
        <f t="shared" si="99"/>
        <v>15.240157480314963</v>
      </c>
      <c r="AG79" s="6">
        <f t="shared" si="99"/>
        <v>15.240157480314963</v>
      </c>
      <c r="AH79" s="6">
        <f t="shared" si="99"/>
        <v>15.240157480314963</v>
      </c>
      <c r="AI79" s="6">
        <f t="shared" si="99"/>
        <v>15.240157480314963</v>
      </c>
      <c r="AJ79" s="6">
        <f t="shared" si="99"/>
        <v>15.240157480314963</v>
      </c>
      <c r="AK79" s="6">
        <f t="shared" si="99"/>
        <v>15.240157480314963</v>
      </c>
      <c r="AL79" s="6">
        <f t="shared" si="99"/>
        <v>15.515030060120242</v>
      </c>
      <c r="AM79" s="6">
        <f t="shared" si="99"/>
        <v>15.515030060120242</v>
      </c>
      <c r="AN79" s="6">
        <f t="shared" si="99"/>
        <v>15.515030060120242</v>
      </c>
      <c r="AO79" s="6">
        <f t="shared" si="99"/>
        <v>15.515030060120242</v>
      </c>
      <c r="AP79" s="6">
        <f t="shared" si="99"/>
        <v>15.515030060120242</v>
      </c>
      <c r="AQ79" s="6">
        <f t="shared" si="99"/>
        <v>15.515030060120242</v>
      </c>
      <c r="AR79" s="6">
        <f t="shared" si="99"/>
        <v>15.515030060120242</v>
      </c>
      <c r="AS79" s="6">
        <f t="shared" si="99"/>
        <v>15.515030060120242</v>
      </c>
      <c r="AT79" s="6">
        <f t="shared" si="99"/>
        <v>15.515030060120242</v>
      </c>
      <c r="AU79" s="6">
        <f t="shared" si="99"/>
        <v>15.515030060120242</v>
      </c>
      <c r="AV79" s="6">
        <f t="shared" si="99"/>
        <v>15.515030060120242</v>
      </c>
      <c r="AW79" s="6">
        <f t="shared" si="99"/>
        <v>15.515030060120242</v>
      </c>
      <c r="AX79" s="6">
        <f t="shared" si="99"/>
        <v>15.515030060120242</v>
      </c>
      <c r="AY79" s="6">
        <f t="shared" si="99"/>
        <v>15.515030060120242</v>
      </c>
      <c r="AZ79" s="6">
        <f t="shared" si="99"/>
        <v>15.515030060120242</v>
      </c>
      <c r="BA79" s="6">
        <f t="shared" si="99"/>
        <v>15.515030060120242</v>
      </c>
      <c r="BB79" s="6">
        <f t="shared" si="99"/>
        <v>53.987975951903593</v>
      </c>
      <c r="BC79" s="6">
        <f t="shared" si="99"/>
        <v>15.515030060120242</v>
      </c>
      <c r="BD79" s="6">
        <f t="shared" si="99"/>
        <v>15.33676703645008</v>
      </c>
      <c r="BE79" s="6">
        <f t="shared" si="99"/>
        <v>15.33676703645008</v>
      </c>
      <c r="BF79" s="6">
        <f t="shared" si="99"/>
        <v>15.33676703645008</v>
      </c>
      <c r="BG79" s="6">
        <f t="shared" si="99"/>
        <v>15.33676703645008</v>
      </c>
      <c r="BH79" s="6">
        <f t="shared" si="99"/>
        <v>15.33676703645008</v>
      </c>
      <c r="BI79" s="6">
        <f t="shared" si="99"/>
        <v>15.33676703645008</v>
      </c>
      <c r="BJ79" s="6">
        <f t="shared" si="99"/>
        <v>15.33676703645008</v>
      </c>
      <c r="BK79" s="6">
        <f t="shared" si="99"/>
        <v>15.33676703645008</v>
      </c>
      <c r="BL79" s="6">
        <f t="shared" si="99"/>
        <v>15.33676703645008</v>
      </c>
      <c r="BM79" s="6">
        <f t="shared" si="99"/>
        <v>15.33676703645008</v>
      </c>
      <c r="BN79" s="6">
        <f t="shared" si="99"/>
        <v>15.33676703645008</v>
      </c>
      <c r="BO79" s="6">
        <f t="shared" si="99"/>
        <v>15.33676703645008</v>
      </c>
      <c r="BP79" s="6">
        <f t="shared" si="99"/>
        <v>15.33676703645008</v>
      </c>
      <c r="BQ79" s="6">
        <f t="shared" si="99"/>
        <v>15.33676703645008</v>
      </c>
      <c r="BR79" s="6">
        <f t="shared" si="99"/>
        <v>15.33676703645008</v>
      </c>
      <c r="BS79" s="6">
        <f t="shared" si="97"/>
        <v>15.33676703645008</v>
      </c>
      <c r="BT79" s="6">
        <f t="shared" si="97"/>
        <v>15.33676703645008</v>
      </c>
      <c r="BU79" s="6">
        <f t="shared" si="97"/>
        <v>15.33676703645008</v>
      </c>
      <c r="BV79" s="6">
        <f t="shared" si="97"/>
        <v>15.33676703645008</v>
      </c>
      <c r="BW79" s="6">
        <f t="shared" si="97"/>
        <v>15.33676703645008</v>
      </c>
      <c r="BX79" s="6">
        <f t="shared" si="97"/>
        <v>15.33676703645008</v>
      </c>
      <c r="BY79" s="6">
        <f t="shared" si="97"/>
        <v>15.33676703645008</v>
      </c>
      <c r="BZ79" s="6">
        <f t="shared" si="97"/>
        <v>15.33676703645008</v>
      </c>
      <c r="CA79" s="6">
        <f t="shared" si="97"/>
        <v>15.33676703645008</v>
      </c>
      <c r="CB79" s="6">
        <f t="shared" si="97"/>
        <v>15.33676703645008</v>
      </c>
      <c r="CC79" s="6">
        <f t="shared" si="97"/>
        <v>15.33676703645008</v>
      </c>
      <c r="CD79" s="6">
        <f t="shared" si="97"/>
        <v>15.33676703645008</v>
      </c>
      <c r="CE79" s="6">
        <f t="shared" si="97"/>
        <v>15.33676703645008</v>
      </c>
      <c r="CF79" s="6">
        <f t="shared" si="97"/>
        <v>15.33676703645008</v>
      </c>
      <c r="CG79" s="6">
        <f t="shared" si="97"/>
        <v>67.076069730586369</v>
      </c>
      <c r="CH79" s="6">
        <f t="shared" si="97"/>
        <v>16.979793977812996</v>
      </c>
      <c r="CI79" s="6">
        <f t="shared" si="97"/>
        <v>16.979793977812996</v>
      </c>
      <c r="CJ79" s="6">
        <f t="shared" si="97"/>
        <v>16.979793977812996</v>
      </c>
      <c r="CK79" s="6">
        <f t="shared" si="97"/>
        <v>16.979793977812996</v>
      </c>
      <c r="CL79" s="6">
        <f t="shared" si="97"/>
        <v>16.979793977812996</v>
      </c>
      <c r="CM79" s="6">
        <f t="shared" si="97"/>
        <v>16.979793977812996</v>
      </c>
      <c r="CN79" s="6">
        <f t="shared" si="97"/>
        <v>16.979793977812996</v>
      </c>
      <c r="CO79" s="6">
        <f t="shared" si="97"/>
        <v>16.979793977812996</v>
      </c>
      <c r="CP79" s="6">
        <f t="shared" si="97"/>
        <v>16.979793977812996</v>
      </c>
      <c r="CQ79" s="6">
        <f t="shared" si="97"/>
        <v>16.979793977812996</v>
      </c>
      <c r="CR79" s="6">
        <f t="shared" si="97"/>
        <v>16.979793977812996</v>
      </c>
      <c r="CS79" s="6">
        <f t="shared" si="97"/>
        <v>16.979793977812996</v>
      </c>
      <c r="CT79" s="6">
        <f t="shared" si="97"/>
        <v>16.979793977812996</v>
      </c>
      <c r="CU79" s="6">
        <f t="shared" si="97"/>
        <v>16.979793977812996</v>
      </c>
      <c r="CV79" s="6">
        <f t="shared" si="97"/>
        <v>16.979793977812996</v>
      </c>
      <c r="CW79" s="6">
        <f t="shared" si="97"/>
        <v>16.979793977812996</v>
      </c>
      <c r="CX79" s="6">
        <f t="shared" si="97"/>
        <v>16.979793977812996</v>
      </c>
      <c r="CY79" s="6">
        <f t="shared" si="97"/>
        <v>16.979793977812996</v>
      </c>
      <c r="CZ79" s="6">
        <f t="shared" si="97"/>
        <v>16.979793977812996</v>
      </c>
      <c r="DA79" s="6">
        <f t="shared" si="97"/>
        <v>16.979793977812996</v>
      </c>
      <c r="DB79" s="6">
        <f t="shared" si="98"/>
        <v>16.979793977812996</v>
      </c>
      <c r="DC79" s="6">
        <f t="shared" si="98"/>
        <v>16.979793977812996</v>
      </c>
      <c r="DD79" s="6">
        <f t="shared" si="98"/>
        <v>16.979793977812996</v>
      </c>
      <c r="DE79" s="6">
        <f t="shared" si="98"/>
        <v>16.979793977812996</v>
      </c>
      <c r="DF79" s="6">
        <f t="shared" si="98"/>
        <v>16.979793977812996</v>
      </c>
      <c r="DG79" s="6">
        <f t="shared" si="98"/>
        <v>16.979793977812996</v>
      </c>
      <c r="DH79" s="6">
        <f t="shared" si="98"/>
        <v>16.979793977812996</v>
      </c>
      <c r="DI79" s="6">
        <f t="shared" si="98"/>
        <v>16.981378763867045</v>
      </c>
      <c r="DJ79" s="6">
        <f t="shared" si="98"/>
        <v>15.847860538827259</v>
      </c>
      <c r="DK79" s="6">
        <f t="shared" si="98"/>
        <v>15.847860538827259</v>
      </c>
      <c r="DL79" s="6">
        <f t="shared" si="98"/>
        <v>15.847860538827259</v>
      </c>
      <c r="DM79" s="6">
        <f t="shared" si="98"/>
        <v>15.847860538827259</v>
      </c>
      <c r="DN79" s="6">
        <f t="shared" si="98"/>
        <v>15.847860538827259</v>
      </c>
      <c r="DO79" s="6">
        <f t="shared" si="98"/>
        <v>15.847860538827259</v>
      </c>
      <c r="DP79" s="6">
        <f t="shared" si="98"/>
        <v>15.847860538827259</v>
      </c>
      <c r="DQ79" s="6">
        <f t="shared" si="98"/>
        <v>15.847860538827259</v>
      </c>
      <c r="DR79" s="6">
        <f t="shared" si="98"/>
        <v>15.847860538827259</v>
      </c>
      <c r="DS79" s="6">
        <f t="shared" si="98"/>
        <v>47.860538827258324</v>
      </c>
      <c r="DT79" s="6">
        <f t="shared" si="98"/>
        <v>0</v>
      </c>
      <c r="DU79" s="6">
        <f t="shared" si="98"/>
        <v>0</v>
      </c>
      <c r="DV79" s="198">
        <f t="shared" si="95"/>
        <v>0</v>
      </c>
      <c r="DW79" s="63">
        <f t="shared" si="95"/>
        <v>0</v>
      </c>
      <c r="DX79" s="28">
        <f t="shared" si="90"/>
        <v>2167.1428218629489</v>
      </c>
      <c r="FD79" s="74" t="s">
        <v>629</v>
      </c>
      <c r="FE79" s="63">
        <f ca="1">SUM((INDIRECT(FE$9&amp;ROW()):(INDIRECT(FE$10&amp;ROW()))))</f>
        <v>0</v>
      </c>
      <c r="FF79" s="63">
        <f ca="1">SUM((INDIRECT(FF$9&amp;ROW()):(INDIRECT(FF$10&amp;ROW()))))</f>
        <v>458.26771653543312</v>
      </c>
      <c r="FG79" s="63">
        <f ca="1">SUM((INDIRECT(FG$9&amp;ROW()):(INDIRECT(FG$10&amp;ROW()))))</f>
        <v>515.59066163823695</v>
      </c>
      <c r="FH79" s="63">
        <f ca="1">SUM((INDIRECT(FH$9&amp;ROW()):(INDIRECT(FH$10&amp;ROW()))))</f>
        <v>527.35734384775867</v>
      </c>
      <c r="FI79" s="63">
        <f ca="1">SUM((INDIRECT(FI$9&amp;ROW()):(INDIRECT(FI$10&amp;ROW()))))</f>
        <v>475.43581616481811</v>
      </c>
      <c r="FJ79" s="63">
        <f ca="1">SUM((INDIRECT(FJ$9&amp;ROW()):(INDIRECT(FJ$10&amp;ROW()))))</f>
        <v>190.49128367670366</v>
      </c>
      <c r="FK79" s="63" t="e">
        <f ca="1">SUM((INDIRECT(FK$9&amp;ROW()):(INDIRECT(FK$10&amp;ROW()))))</f>
        <v>#REF!</v>
      </c>
      <c r="FL79" s="63" t="e">
        <f ca="1">SUM((INDIRECT(FL$9&amp;ROW()):(INDIRECT(FL$10&amp;ROW()))))</f>
        <v>#REF!</v>
      </c>
      <c r="FN79" s="28">
        <f t="shared" ca="1" si="91"/>
        <v>2167.1428218629503</v>
      </c>
      <c r="FP79" s="14">
        <f t="shared" ca="1" si="96"/>
        <v>18.059523515524585</v>
      </c>
      <c r="FQ79" s="14">
        <f ca="1">SUM(FP77:FP79)</f>
        <v>22.305745174359924</v>
      </c>
      <c r="FS79" s="142">
        <f ca="1">FQ79*FS$71</f>
        <v>1003.7585328461965</v>
      </c>
      <c r="FV79">
        <v>750</v>
      </c>
    </row>
    <row r="80" spans="1:178" outlineLevel="1">
      <c r="A80" t="s">
        <v>23</v>
      </c>
      <c r="B80" t="s">
        <v>23</v>
      </c>
      <c r="C80" s="72" t="s">
        <v>23</v>
      </c>
      <c r="D80" s="6">
        <v>0</v>
      </c>
      <c r="E80" s="6">
        <f t="shared" si="84"/>
        <v>0</v>
      </c>
      <c r="F80" s="6">
        <f t="shared" si="92"/>
        <v>0</v>
      </c>
      <c r="G80" s="6">
        <f t="shared" si="99"/>
        <v>0</v>
      </c>
      <c r="H80" s="6">
        <f t="shared" si="99"/>
        <v>0</v>
      </c>
      <c r="I80" s="6">
        <f t="shared" si="99"/>
        <v>0</v>
      </c>
      <c r="J80" s="6">
        <f t="shared" si="99"/>
        <v>0</v>
      </c>
      <c r="K80" s="6">
        <f t="shared" si="99"/>
        <v>0</v>
      </c>
      <c r="L80" s="6">
        <f t="shared" si="99"/>
        <v>0</v>
      </c>
      <c r="M80" s="6">
        <f t="shared" si="99"/>
        <v>0</v>
      </c>
      <c r="N80" s="6">
        <f t="shared" si="99"/>
        <v>0</v>
      </c>
      <c r="O80" s="6">
        <f t="shared" si="99"/>
        <v>0</v>
      </c>
      <c r="P80" s="6">
        <f t="shared" si="99"/>
        <v>0</v>
      </c>
      <c r="Q80" s="6">
        <f t="shared" si="99"/>
        <v>0</v>
      </c>
      <c r="R80" s="6">
        <f t="shared" si="99"/>
        <v>18.897637795275593</v>
      </c>
      <c r="S80" s="6">
        <f t="shared" si="99"/>
        <v>18.346456692913385</v>
      </c>
      <c r="T80" s="6">
        <f t="shared" si="99"/>
        <v>14.566929133858268</v>
      </c>
      <c r="U80" s="6">
        <f t="shared" si="99"/>
        <v>0</v>
      </c>
      <c r="V80" s="6">
        <f t="shared" si="99"/>
        <v>0</v>
      </c>
      <c r="W80" s="6">
        <f t="shared" si="99"/>
        <v>0</v>
      </c>
      <c r="X80" s="6">
        <f t="shared" si="99"/>
        <v>0</v>
      </c>
      <c r="Y80" s="6">
        <f t="shared" si="99"/>
        <v>0</v>
      </c>
      <c r="Z80" s="6">
        <f t="shared" si="99"/>
        <v>0</v>
      </c>
      <c r="AA80" s="6">
        <f t="shared" si="99"/>
        <v>0</v>
      </c>
      <c r="AB80" s="6">
        <f t="shared" si="99"/>
        <v>0</v>
      </c>
      <c r="AC80" s="6">
        <f t="shared" si="99"/>
        <v>0</v>
      </c>
      <c r="AD80" s="6">
        <f t="shared" si="99"/>
        <v>29.133858267716537</v>
      </c>
      <c r="AE80" s="6">
        <f t="shared" si="99"/>
        <v>0</v>
      </c>
      <c r="AF80" s="6">
        <f t="shared" si="99"/>
        <v>0</v>
      </c>
      <c r="AG80" s="6">
        <f t="shared" si="99"/>
        <v>0</v>
      </c>
      <c r="AH80" s="6">
        <f t="shared" si="99"/>
        <v>0</v>
      </c>
      <c r="AI80" s="6">
        <f t="shared" si="99"/>
        <v>0</v>
      </c>
      <c r="AJ80" s="6">
        <f t="shared" si="99"/>
        <v>0</v>
      </c>
      <c r="AK80" s="6">
        <f t="shared" si="99"/>
        <v>0</v>
      </c>
      <c r="AL80" s="6">
        <f t="shared" si="99"/>
        <v>0</v>
      </c>
      <c r="AM80" s="6">
        <f t="shared" si="99"/>
        <v>0</v>
      </c>
      <c r="AN80" s="6">
        <f t="shared" si="99"/>
        <v>0</v>
      </c>
      <c r="AO80" s="6">
        <f t="shared" si="99"/>
        <v>0</v>
      </c>
      <c r="AP80" s="6">
        <f t="shared" si="99"/>
        <v>0</v>
      </c>
      <c r="AQ80" s="6">
        <f t="shared" si="99"/>
        <v>0</v>
      </c>
      <c r="AR80" s="6">
        <f t="shared" si="99"/>
        <v>0</v>
      </c>
      <c r="AS80" s="6">
        <f t="shared" si="99"/>
        <v>0</v>
      </c>
      <c r="AT80" s="6">
        <f t="shared" si="99"/>
        <v>0</v>
      </c>
      <c r="AU80" s="6">
        <f t="shared" si="99"/>
        <v>0</v>
      </c>
      <c r="AV80" s="6">
        <f t="shared" si="99"/>
        <v>0</v>
      </c>
      <c r="AW80" s="6">
        <f t="shared" si="99"/>
        <v>0</v>
      </c>
      <c r="AX80" s="6">
        <f t="shared" si="99"/>
        <v>0</v>
      </c>
      <c r="AY80" s="6">
        <f t="shared" si="99"/>
        <v>0</v>
      </c>
      <c r="AZ80" s="6">
        <f t="shared" si="99"/>
        <v>0</v>
      </c>
      <c r="BA80" s="6">
        <f t="shared" si="99"/>
        <v>0</v>
      </c>
      <c r="BB80" s="6">
        <f t="shared" si="99"/>
        <v>0</v>
      </c>
      <c r="BC80" s="6">
        <f t="shared" si="99"/>
        <v>0</v>
      </c>
      <c r="BD80" s="6">
        <f t="shared" si="99"/>
        <v>0</v>
      </c>
      <c r="BE80" s="6">
        <f t="shared" si="99"/>
        <v>0</v>
      </c>
      <c r="BF80" s="6">
        <f t="shared" si="99"/>
        <v>0</v>
      </c>
      <c r="BG80" s="6">
        <f t="shared" si="99"/>
        <v>0</v>
      </c>
      <c r="BH80" s="6">
        <f t="shared" si="99"/>
        <v>0</v>
      </c>
      <c r="BI80" s="6">
        <f t="shared" si="99"/>
        <v>0</v>
      </c>
      <c r="BJ80" s="6">
        <f t="shared" si="99"/>
        <v>0</v>
      </c>
      <c r="BK80" s="6">
        <f t="shared" si="99"/>
        <v>0</v>
      </c>
      <c r="BL80" s="6">
        <f t="shared" si="99"/>
        <v>0</v>
      </c>
      <c r="BM80" s="6">
        <f t="shared" si="99"/>
        <v>0</v>
      </c>
      <c r="BN80" s="6">
        <f t="shared" si="99"/>
        <v>0</v>
      </c>
      <c r="BO80" s="6">
        <f t="shared" si="99"/>
        <v>0</v>
      </c>
      <c r="BP80" s="6">
        <f t="shared" si="99"/>
        <v>0</v>
      </c>
      <c r="BQ80" s="6">
        <f t="shared" si="99"/>
        <v>0</v>
      </c>
      <c r="BR80" s="6">
        <f t="shared" ref="BR80:DA83" si="100">+SUMIF($C$12:$C$29,$C80,BR$12:BR$29)/BR$6+SUMIF($C$47:$C$63,$C80,BR$47:BR$64)</f>
        <v>0</v>
      </c>
      <c r="BS80" s="6">
        <f t="shared" si="100"/>
        <v>0</v>
      </c>
      <c r="BT80" s="6">
        <f t="shared" si="100"/>
        <v>0</v>
      </c>
      <c r="BU80" s="6">
        <f t="shared" si="100"/>
        <v>0</v>
      </c>
      <c r="BV80" s="6">
        <f t="shared" si="100"/>
        <v>7.9239302694136295</v>
      </c>
      <c r="BW80" s="6">
        <f t="shared" si="100"/>
        <v>0</v>
      </c>
      <c r="BX80" s="6">
        <f t="shared" si="100"/>
        <v>0</v>
      </c>
      <c r="BY80" s="6">
        <f t="shared" si="100"/>
        <v>0</v>
      </c>
      <c r="BZ80" s="6">
        <f t="shared" si="100"/>
        <v>0</v>
      </c>
      <c r="CA80" s="6">
        <f t="shared" si="100"/>
        <v>0</v>
      </c>
      <c r="CB80" s="6">
        <f t="shared" si="100"/>
        <v>0</v>
      </c>
      <c r="CC80" s="6">
        <f t="shared" si="100"/>
        <v>0</v>
      </c>
      <c r="CD80" s="6">
        <f t="shared" si="100"/>
        <v>0</v>
      </c>
      <c r="CE80" s="6">
        <f t="shared" si="100"/>
        <v>0</v>
      </c>
      <c r="CF80" s="6">
        <f t="shared" si="100"/>
        <v>0</v>
      </c>
      <c r="CG80" s="6">
        <f t="shared" si="100"/>
        <v>0</v>
      </c>
      <c r="CH80" s="6">
        <f t="shared" si="100"/>
        <v>0</v>
      </c>
      <c r="CI80" s="6">
        <f t="shared" si="100"/>
        <v>0</v>
      </c>
      <c r="CJ80" s="6">
        <f t="shared" si="100"/>
        <v>0</v>
      </c>
      <c r="CK80" s="6">
        <f t="shared" si="100"/>
        <v>0</v>
      </c>
      <c r="CL80" s="6">
        <f t="shared" si="100"/>
        <v>0</v>
      </c>
      <c r="CM80" s="6">
        <f t="shared" si="100"/>
        <v>18.153003889929405</v>
      </c>
      <c r="CN80" s="6">
        <f t="shared" si="100"/>
        <v>0</v>
      </c>
      <c r="CO80" s="6">
        <f t="shared" si="100"/>
        <v>0</v>
      </c>
      <c r="CP80" s="6">
        <f t="shared" si="100"/>
        <v>0</v>
      </c>
      <c r="CQ80" s="6">
        <f t="shared" si="100"/>
        <v>10.589252269125488</v>
      </c>
      <c r="CR80" s="6">
        <f t="shared" si="100"/>
        <v>0</v>
      </c>
      <c r="CS80" s="6">
        <f t="shared" si="100"/>
        <v>0</v>
      </c>
      <c r="CT80" s="6">
        <f t="shared" si="100"/>
        <v>0</v>
      </c>
      <c r="CU80" s="6">
        <f t="shared" si="100"/>
        <v>0</v>
      </c>
      <c r="CV80" s="6">
        <f t="shared" si="100"/>
        <v>0</v>
      </c>
      <c r="CW80" s="6">
        <f t="shared" si="100"/>
        <v>0</v>
      </c>
      <c r="CX80" s="6">
        <f t="shared" si="100"/>
        <v>0</v>
      </c>
      <c r="CY80" s="6">
        <f t="shared" si="100"/>
        <v>0</v>
      </c>
      <c r="CZ80" s="6">
        <f t="shared" si="100"/>
        <v>0</v>
      </c>
      <c r="DA80" s="6">
        <f t="shared" si="100"/>
        <v>0</v>
      </c>
      <c r="DB80" s="6">
        <f t="shared" si="98"/>
        <v>0</v>
      </c>
      <c r="DC80" s="6">
        <f t="shared" si="98"/>
        <v>0</v>
      </c>
      <c r="DD80" s="6">
        <f t="shared" si="98"/>
        <v>0</v>
      </c>
      <c r="DE80" s="6">
        <f t="shared" ref="DB80:DU84" si="101">+SUMIF($C$12:$C$29,$C80,DE$12:DE$29)/DE$6+SUMIF($C$46:$C$63,$C80,DE$47:DE$64)</f>
        <v>0</v>
      </c>
      <c r="DF80" s="6">
        <f t="shared" si="101"/>
        <v>0</v>
      </c>
      <c r="DG80" s="6">
        <f t="shared" si="101"/>
        <v>5.9429477020602226</v>
      </c>
      <c r="DH80" s="6">
        <f t="shared" si="101"/>
        <v>0.8716323296354993</v>
      </c>
      <c r="DI80" s="6">
        <f t="shared" si="101"/>
        <v>5.9429477020602226</v>
      </c>
      <c r="DJ80" s="6">
        <f t="shared" si="101"/>
        <v>0</v>
      </c>
      <c r="DK80" s="6">
        <f t="shared" si="101"/>
        <v>0</v>
      </c>
      <c r="DL80" s="6">
        <f t="shared" si="101"/>
        <v>0</v>
      </c>
      <c r="DM80" s="6">
        <f t="shared" si="101"/>
        <v>0</v>
      </c>
      <c r="DN80" s="6">
        <f t="shared" si="101"/>
        <v>0</v>
      </c>
      <c r="DO80" s="6">
        <f t="shared" si="101"/>
        <v>0</v>
      </c>
      <c r="DP80" s="6">
        <f t="shared" si="101"/>
        <v>0</v>
      </c>
      <c r="DQ80" s="6">
        <f t="shared" si="101"/>
        <v>0</v>
      </c>
      <c r="DR80" s="6">
        <f t="shared" si="101"/>
        <v>0</v>
      </c>
      <c r="DS80" s="6">
        <f t="shared" si="101"/>
        <v>0</v>
      </c>
      <c r="DT80" s="6">
        <f t="shared" si="101"/>
        <v>0</v>
      </c>
      <c r="DU80" s="6">
        <f t="shared" si="101"/>
        <v>0</v>
      </c>
      <c r="DV80" s="198">
        <f t="shared" si="95"/>
        <v>0</v>
      </c>
      <c r="DW80" s="63">
        <f t="shared" si="95"/>
        <v>0</v>
      </c>
      <c r="DX80" s="28">
        <f t="shared" si="90"/>
        <v>130.36859605198825</v>
      </c>
      <c r="FD80" s="72" t="s">
        <v>23</v>
      </c>
      <c r="FE80" s="63">
        <f ca="1">SUM((INDIRECT(FE$9&amp;ROW()):(INDIRECT(FE$10&amp;ROW()))))</f>
        <v>0</v>
      </c>
      <c r="FF80" s="63">
        <f ca="1">SUM((INDIRECT(FF$9&amp;ROW()):(INDIRECT(FF$10&amp;ROW()))))</f>
        <v>51.811023622047244</v>
      </c>
      <c r="FG80" s="63">
        <f ca="1">SUM((INDIRECT(FG$9&amp;ROW()):(INDIRECT(FG$10&amp;ROW()))))</f>
        <v>29.133858267716537</v>
      </c>
      <c r="FH80" s="63">
        <f ca="1">SUM((INDIRECT(FH$9&amp;ROW()):(INDIRECT(FH$10&amp;ROW()))))</f>
        <v>7.9239302694136295</v>
      </c>
      <c r="FI80" s="63">
        <f ca="1">SUM((INDIRECT(FI$9&amp;ROW()):(INDIRECT(FI$10&amp;ROW()))))</f>
        <v>41.499783892810839</v>
      </c>
      <c r="FJ80" s="63">
        <f ca="1">SUM((INDIRECT(FJ$9&amp;ROW()):(INDIRECT(FJ$10&amp;ROW()))))</f>
        <v>0</v>
      </c>
      <c r="FK80" s="63" t="e">
        <f ca="1">SUM((INDIRECT(FK$9&amp;ROW()):(INDIRECT(FK$10&amp;ROW()))))</f>
        <v>#REF!</v>
      </c>
      <c r="FL80" s="63" t="e">
        <f ca="1">SUM((INDIRECT(FL$9&amp;ROW()):(INDIRECT(FL$10&amp;ROW()))))</f>
        <v>#REF!</v>
      </c>
      <c r="FN80" s="28">
        <f t="shared" ca="1" si="91"/>
        <v>130.36859605198825</v>
      </c>
      <c r="FP80" s="14">
        <f t="shared" ca="1" si="96"/>
        <v>1.0864049670999021</v>
      </c>
    </row>
    <row r="81" spans="1:178" outlineLevel="1">
      <c r="A81" t="s">
        <v>151</v>
      </c>
      <c r="B81" t="s">
        <v>23</v>
      </c>
      <c r="C81" s="73" t="s">
        <v>151</v>
      </c>
      <c r="D81" s="6">
        <v>0</v>
      </c>
      <c r="E81" s="6">
        <f t="shared" si="84"/>
        <v>0</v>
      </c>
      <c r="F81" s="6">
        <f t="shared" si="92"/>
        <v>11.811023622047244</v>
      </c>
      <c r="G81" s="6">
        <f t="shared" ref="G81:BR84" si="102">+SUMIF($C$12:$C$29,$C81,G$12:G$29)/G$6+SUMIF($C$47:$C$63,$C81,G$47:G$64)</f>
        <v>0</v>
      </c>
      <c r="H81" s="6">
        <f t="shared" si="102"/>
        <v>0</v>
      </c>
      <c r="I81" s="6">
        <f t="shared" si="102"/>
        <v>0</v>
      </c>
      <c r="J81" s="6">
        <f t="shared" si="102"/>
        <v>23.622047244094489</v>
      </c>
      <c r="K81" s="6">
        <f t="shared" si="102"/>
        <v>0</v>
      </c>
      <c r="L81" s="6">
        <f t="shared" si="102"/>
        <v>0</v>
      </c>
      <c r="M81" s="6">
        <f t="shared" si="102"/>
        <v>0</v>
      </c>
      <c r="N81" s="6">
        <f t="shared" si="102"/>
        <v>0</v>
      </c>
      <c r="O81" s="6">
        <f t="shared" si="102"/>
        <v>0</v>
      </c>
      <c r="P81" s="6">
        <f t="shared" si="102"/>
        <v>0</v>
      </c>
      <c r="Q81" s="6">
        <f t="shared" si="102"/>
        <v>0</v>
      </c>
      <c r="R81" s="6">
        <f t="shared" si="102"/>
        <v>0</v>
      </c>
      <c r="S81" s="6">
        <f t="shared" si="102"/>
        <v>0</v>
      </c>
      <c r="T81" s="6">
        <f t="shared" si="102"/>
        <v>0</v>
      </c>
      <c r="U81" s="6">
        <f t="shared" si="102"/>
        <v>0</v>
      </c>
      <c r="V81" s="6">
        <f t="shared" si="102"/>
        <v>0</v>
      </c>
      <c r="W81" s="6">
        <f t="shared" si="102"/>
        <v>0</v>
      </c>
      <c r="X81" s="6">
        <f t="shared" si="102"/>
        <v>0</v>
      </c>
      <c r="Y81" s="6">
        <f t="shared" si="102"/>
        <v>0</v>
      </c>
      <c r="Z81" s="6">
        <f t="shared" si="102"/>
        <v>0</v>
      </c>
      <c r="AA81" s="6">
        <f t="shared" si="102"/>
        <v>0</v>
      </c>
      <c r="AB81" s="6">
        <f t="shared" si="102"/>
        <v>0</v>
      </c>
      <c r="AC81" s="6">
        <f t="shared" si="102"/>
        <v>0</v>
      </c>
      <c r="AD81" s="6">
        <f t="shared" si="102"/>
        <v>0</v>
      </c>
      <c r="AE81" s="6">
        <f t="shared" si="102"/>
        <v>0</v>
      </c>
      <c r="AF81" s="6">
        <f t="shared" si="102"/>
        <v>0</v>
      </c>
      <c r="AG81" s="6">
        <f t="shared" si="102"/>
        <v>0</v>
      </c>
      <c r="AH81" s="6">
        <f t="shared" si="102"/>
        <v>0</v>
      </c>
      <c r="AI81" s="6">
        <f t="shared" si="102"/>
        <v>0</v>
      </c>
      <c r="AJ81" s="6">
        <f t="shared" si="102"/>
        <v>0</v>
      </c>
      <c r="AK81" s="6">
        <f t="shared" si="102"/>
        <v>0</v>
      </c>
      <c r="AL81" s="6">
        <f t="shared" si="102"/>
        <v>0</v>
      </c>
      <c r="AM81" s="6">
        <f t="shared" si="102"/>
        <v>0</v>
      </c>
      <c r="AN81" s="6">
        <f t="shared" si="102"/>
        <v>0</v>
      </c>
      <c r="AO81" s="6">
        <f t="shared" si="102"/>
        <v>0</v>
      </c>
      <c r="AP81" s="6">
        <f t="shared" si="102"/>
        <v>0</v>
      </c>
      <c r="AQ81" s="6">
        <f t="shared" si="102"/>
        <v>0</v>
      </c>
      <c r="AR81" s="6">
        <f t="shared" si="102"/>
        <v>0</v>
      </c>
      <c r="AS81" s="6">
        <f t="shared" si="102"/>
        <v>0</v>
      </c>
      <c r="AT81" s="6">
        <f t="shared" si="102"/>
        <v>0</v>
      </c>
      <c r="AU81" s="6">
        <f t="shared" si="102"/>
        <v>0</v>
      </c>
      <c r="AV81" s="6">
        <f t="shared" si="102"/>
        <v>0</v>
      </c>
      <c r="AW81" s="6">
        <f t="shared" si="102"/>
        <v>0</v>
      </c>
      <c r="AX81" s="6">
        <f t="shared" si="102"/>
        <v>0</v>
      </c>
      <c r="AY81" s="6">
        <f t="shared" si="102"/>
        <v>0</v>
      </c>
      <c r="AZ81" s="6">
        <f t="shared" si="102"/>
        <v>0</v>
      </c>
      <c r="BA81" s="6">
        <f t="shared" si="102"/>
        <v>0</v>
      </c>
      <c r="BB81" s="6">
        <f t="shared" si="102"/>
        <v>0</v>
      </c>
      <c r="BC81" s="6">
        <f t="shared" si="102"/>
        <v>0</v>
      </c>
      <c r="BD81" s="6">
        <f t="shared" si="102"/>
        <v>0</v>
      </c>
      <c r="BE81" s="6">
        <f t="shared" si="102"/>
        <v>0</v>
      </c>
      <c r="BF81" s="6">
        <f t="shared" si="102"/>
        <v>0</v>
      </c>
      <c r="BG81" s="6">
        <f t="shared" si="102"/>
        <v>0</v>
      </c>
      <c r="BH81" s="6">
        <f t="shared" si="102"/>
        <v>0</v>
      </c>
      <c r="BI81" s="6">
        <f t="shared" si="102"/>
        <v>0</v>
      </c>
      <c r="BJ81" s="6">
        <f t="shared" si="102"/>
        <v>0</v>
      </c>
      <c r="BK81" s="6">
        <f t="shared" si="102"/>
        <v>0</v>
      </c>
      <c r="BL81" s="6">
        <f t="shared" si="102"/>
        <v>0</v>
      </c>
      <c r="BM81" s="6">
        <f t="shared" si="102"/>
        <v>0</v>
      </c>
      <c r="BN81" s="6">
        <f t="shared" si="102"/>
        <v>0</v>
      </c>
      <c r="BO81" s="6">
        <f t="shared" si="102"/>
        <v>0</v>
      </c>
      <c r="BP81" s="6">
        <f t="shared" si="102"/>
        <v>0</v>
      </c>
      <c r="BQ81" s="6">
        <f t="shared" si="102"/>
        <v>0</v>
      </c>
      <c r="BR81" s="6">
        <f t="shared" si="102"/>
        <v>0</v>
      </c>
      <c r="BS81" s="6">
        <f t="shared" si="100"/>
        <v>0</v>
      </c>
      <c r="BT81" s="6">
        <f t="shared" si="100"/>
        <v>0</v>
      </c>
      <c r="BU81" s="6">
        <f t="shared" si="100"/>
        <v>0</v>
      </c>
      <c r="BV81" s="6">
        <f t="shared" si="100"/>
        <v>0</v>
      </c>
      <c r="BW81" s="6">
        <f t="shared" si="100"/>
        <v>0</v>
      </c>
      <c r="BX81" s="6">
        <f t="shared" si="100"/>
        <v>0</v>
      </c>
      <c r="BY81" s="6">
        <f t="shared" si="100"/>
        <v>0</v>
      </c>
      <c r="BZ81" s="6">
        <f t="shared" si="100"/>
        <v>0</v>
      </c>
      <c r="CA81" s="6">
        <f t="shared" si="100"/>
        <v>0</v>
      </c>
      <c r="CB81" s="6">
        <f t="shared" si="100"/>
        <v>0</v>
      </c>
      <c r="CC81" s="6">
        <f t="shared" si="100"/>
        <v>15.847860538827259</v>
      </c>
      <c r="CD81" s="6">
        <f t="shared" si="100"/>
        <v>0</v>
      </c>
      <c r="CE81" s="6">
        <f t="shared" si="100"/>
        <v>0</v>
      </c>
      <c r="CF81" s="6">
        <f t="shared" si="100"/>
        <v>0</v>
      </c>
      <c r="CG81" s="6">
        <f t="shared" si="100"/>
        <v>0</v>
      </c>
      <c r="CH81" s="6">
        <f t="shared" si="100"/>
        <v>0</v>
      </c>
      <c r="CI81" s="6">
        <f t="shared" si="100"/>
        <v>19.809825673534075</v>
      </c>
      <c r="CJ81" s="6">
        <f t="shared" si="100"/>
        <v>0</v>
      </c>
      <c r="CK81" s="6">
        <f t="shared" si="100"/>
        <v>0</v>
      </c>
      <c r="CL81" s="6">
        <f t="shared" si="100"/>
        <v>0</v>
      </c>
      <c r="CM81" s="6">
        <f t="shared" si="100"/>
        <v>0</v>
      </c>
      <c r="CN81" s="6">
        <f t="shared" si="100"/>
        <v>0</v>
      </c>
      <c r="CO81" s="6">
        <f t="shared" si="100"/>
        <v>21.178504538250976</v>
      </c>
      <c r="CP81" s="6">
        <f t="shared" si="100"/>
        <v>12.102002593286272</v>
      </c>
      <c r="CQ81" s="6">
        <f t="shared" si="100"/>
        <v>24.204005186572545</v>
      </c>
      <c r="CR81" s="6">
        <f t="shared" si="100"/>
        <v>0</v>
      </c>
      <c r="CS81" s="6">
        <f t="shared" si="100"/>
        <v>0</v>
      </c>
      <c r="CT81" s="6">
        <f t="shared" si="100"/>
        <v>0</v>
      </c>
      <c r="CU81" s="6">
        <f t="shared" si="100"/>
        <v>5.9429477020602226</v>
      </c>
      <c r="CV81" s="6">
        <f t="shared" si="100"/>
        <v>0</v>
      </c>
      <c r="CW81" s="6">
        <f t="shared" si="100"/>
        <v>0</v>
      </c>
      <c r="CX81" s="6">
        <f t="shared" si="100"/>
        <v>0</v>
      </c>
      <c r="CY81" s="6">
        <f t="shared" si="100"/>
        <v>0</v>
      </c>
      <c r="CZ81" s="6">
        <f t="shared" si="100"/>
        <v>0</v>
      </c>
      <c r="DA81" s="6">
        <f t="shared" si="100"/>
        <v>0</v>
      </c>
      <c r="DB81" s="6">
        <f t="shared" si="101"/>
        <v>0</v>
      </c>
      <c r="DC81" s="6">
        <f t="shared" si="101"/>
        <v>0</v>
      </c>
      <c r="DD81" s="6">
        <f t="shared" si="101"/>
        <v>0</v>
      </c>
      <c r="DE81" s="6">
        <f t="shared" si="101"/>
        <v>0</v>
      </c>
      <c r="DF81" s="6">
        <f t="shared" si="101"/>
        <v>0</v>
      </c>
      <c r="DG81" s="6">
        <f t="shared" si="101"/>
        <v>121</v>
      </c>
      <c r="DH81" s="6">
        <f t="shared" si="101"/>
        <v>0</v>
      </c>
      <c r="DI81" s="6">
        <f t="shared" si="101"/>
        <v>59</v>
      </c>
      <c r="DJ81" s="6">
        <f t="shared" si="101"/>
        <v>0</v>
      </c>
      <c r="DK81" s="6">
        <f t="shared" si="101"/>
        <v>0</v>
      </c>
      <c r="DL81" s="6">
        <f t="shared" si="101"/>
        <v>0</v>
      </c>
      <c r="DM81" s="6">
        <f t="shared" si="101"/>
        <v>0</v>
      </c>
      <c r="DN81" s="6">
        <f t="shared" si="101"/>
        <v>0</v>
      </c>
      <c r="DO81" s="6">
        <f t="shared" si="101"/>
        <v>0</v>
      </c>
      <c r="DP81" s="6">
        <f t="shared" si="101"/>
        <v>0</v>
      </c>
      <c r="DQ81" s="6">
        <f t="shared" si="101"/>
        <v>0</v>
      </c>
      <c r="DR81" s="6">
        <f t="shared" si="101"/>
        <v>0</v>
      </c>
      <c r="DS81" s="6">
        <f t="shared" si="101"/>
        <v>0</v>
      </c>
      <c r="DT81" s="6">
        <f t="shared" si="101"/>
        <v>40</v>
      </c>
      <c r="DU81" s="6">
        <f t="shared" si="101"/>
        <v>0</v>
      </c>
      <c r="DV81" s="198">
        <f t="shared" si="95"/>
        <v>0</v>
      </c>
      <c r="DW81" s="63">
        <f t="shared" si="95"/>
        <v>0</v>
      </c>
      <c r="DX81" s="28">
        <f t="shared" si="90"/>
        <v>354.51821709867306</v>
      </c>
      <c r="FD81" s="73" t="s">
        <v>151</v>
      </c>
      <c r="FE81" s="63">
        <f ca="1">SUM((INDIRECT(FE$9&amp;ROW()):(INDIRECT(FE$10&amp;ROW()))))</f>
        <v>0</v>
      </c>
      <c r="FF81" s="63">
        <f ca="1">SUM((INDIRECT(FF$9&amp;ROW()):(INDIRECT(FF$10&amp;ROW()))))</f>
        <v>35.433070866141733</v>
      </c>
      <c r="FG81" s="63">
        <f ca="1">SUM((INDIRECT(FG$9&amp;ROW()):(INDIRECT(FG$10&amp;ROW()))))</f>
        <v>0</v>
      </c>
      <c r="FH81" s="63">
        <f ca="1">SUM((INDIRECT(FH$9&amp;ROW()):(INDIRECT(FH$10&amp;ROW()))))</f>
        <v>15.847860538827259</v>
      </c>
      <c r="FI81" s="63">
        <f ca="1">SUM((INDIRECT(FI$9&amp;ROW()):(INDIRECT(FI$10&amp;ROW()))))</f>
        <v>263.23728569370411</v>
      </c>
      <c r="FJ81" s="63">
        <f ca="1">SUM((INDIRECT(FJ$9&amp;ROW()):(INDIRECT(FJ$10&amp;ROW()))))</f>
        <v>40</v>
      </c>
      <c r="FK81" s="63" t="e">
        <f ca="1">SUM((INDIRECT(FK$9&amp;ROW()):(INDIRECT(FK$10&amp;ROW()))))</f>
        <v>#REF!</v>
      </c>
      <c r="FL81" s="63" t="e">
        <f ca="1">SUM((INDIRECT(FL$9&amp;ROW()):(INDIRECT(FL$10&amp;ROW()))))</f>
        <v>#REF!</v>
      </c>
      <c r="FN81" s="28">
        <f t="shared" ca="1" si="91"/>
        <v>354.51821709867312</v>
      </c>
      <c r="FP81" s="14">
        <f t="shared" ca="1" si="96"/>
        <v>2.954318475822276</v>
      </c>
    </row>
    <row r="82" spans="1:178" ht="15" outlineLevel="1" thickBot="1">
      <c r="A82" t="s">
        <v>8</v>
      </c>
      <c r="B82" t="s">
        <v>23</v>
      </c>
      <c r="C82" s="74" t="s">
        <v>8</v>
      </c>
      <c r="D82" s="6">
        <v>0</v>
      </c>
      <c r="E82" s="6">
        <f t="shared" si="84"/>
        <v>0</v>
      </c>
      <c r="F82" s="6">
        <f t="shared" si="92"/>
        <v>0</v>
      </c>
      <c r="G82" s="6">
        <f t="shared" si="102"/>
        <v>0</v>
      </c>
      <c r="H82" s="6">
        <f t="shared" si="102"/>
        <v>0</v>
      </c>
      <c r="I82" s="6">
        <f t="shared" si="102"/>
        <v>0</v>
      </c>
      <c r="J82" s="6">
        <f t="shared" si="102"/>
        <v>0</v>
      </c>
      <c r="K82" s="6">
        <f t="shared" si="102"/>
        <v>0</v>
      </c>
      <c r="L82" s="6">
        <f t="shared" si="102"/>
        <v>0</v>
      </c>
      <c r="M82" s="6">
        <f t="shared" si="102"/>
        <v>0</v>
      </c>
      <c r="N82" s="6">
        <f t="shared" si="102"/>
        <v>0</v>
      </c>
      <c r="O82" s="6">
        <f t="shared" si="102"/>
        <v>0</v>
      </c>
      <c r="P82" s="6">
        <f t="shared" si="102"/>
        <v>0</v>
      </c>
      <c r="Q82" s="6">
        <f t="shared" si="102"/>
        <v>0</v>
      </c>
      <c r="R82" s="6">
        <f t="shared" si="102"/>
        <v>31.496062992125985</v>
      </c>
      <c r="S82" s="6">
        <f t="shared" si="102"/>
        <v>11.811023622047244</v>
      </c>
      <c r="T82" s="6">
        <f t="shared" si="102"/>
        <v>0</v>
      </c>
      <c r="U82" s="6">
        <f t="shared" si="102"/>
        <v>0</v>
      </c>
      <c r="V82" s="6">
        <f t="shared" si="102"/>
        <v>0</v>
      </c>
      <c r="W82" s="6">
        <f t="shared" si="102"/>
        <v>0</v>
      </c>
      <c r="X82" s="6">
        <f t="shared" si="102"/>
        <v>0</v>
      </c>
      <c r="Y82" s="6">
        <f t="shared" si="102"/>
        <v>0</v>
      </c>
      <c r="Z82" s="6">
        <f t="shared" si="102"/>
        <v>19.685039370078741</v>
      </c>
      <c r="AA82" s="6">
        <f t="shared" si="102"/>
        <v>0</v>
      </c>
      <c r="AB82" s="6">
        <f t="shared" si="102"/>
        <v>0</v>
      </c>
      <c r="AC82" s="6">
        <f t="shared" si="102"/>
        <v>0</v>
      </c>
      <c r="AD82" s="6">
        <f t="shared" si="102"/>
        <v>0</v>
      </c>
      <c r="AE82" s="6">
        <f t="shared" si="102"/>
        <v>0</v>
      </c>
      <c r="AF82" s="6">
        <f t="shared" si="102"/>
        <v>0</v>
      </c>
      <c r="AG82" s="6">
        <f t="shared" si="102"/>
        <v>0</v>
      </c>
      <c r="AH82" s="6">
        <f t="shared" si="102"/>
        <v>0</v>
      </c>
      <c r="AI82" s="6">
        <f t="shared" si="102"/>
        <v>0</v>
      </c>
      <c r="AJ82" s="6">
        <f t="shared" si="102"/>
        <v>0</v>
      </c>
      <c r="AK82" s="6">
        <f t="shared" si="102"/>
        <v>0</v>
      </c>
      <c r="AL82" s="6">
        <f t="shared" si="102"/>
        <v>0</v>
      </c>
      <c r="AM82" s="6">
        <f t="shared" si="102"/>
        <v>0</v>
      </c>
      <c r="AN82" s="6">
        <f t="shared" si="102"/>
        <v>0</v>
      </c>
      <c r="AO82" s="6">
        <f t="shared" si="102"/>
        <v>0</v>
      </c>
      <c r="AP82" s="6">
        <f t="shared" si="102"/>
        <v>0</v>
      </c>
      <c r="AQ82" s="6">
        <f t="shared" si="102"/>
        <v>0</v>
      </c>
      <c r="AR82" s="6">
        <f t="shared" si="102"/>
        <v>0</v>
      </c>
      <c r="AS82" s="6">
        <f t="shared" si="102"/>
        <v>22.044088176352705</v>
      </c>
      <c r="AT82" s="6">
        <f t="shared" si="102"/>
        <v>0</v>
      </c>
      <c r="AU82" s="6">
        <f t="shared" si="102"/>
        <v>0</v>
      </c>
      <c r="AV82" s="6">
        <f t="shared" si="102"/>
        <v>0</v>
      </c>
      <c r="AW82" s="6">
        <f t="shared" si="102"/>
        <v>0</v>
      </c>
      <c r="AX82" s="6">
        <f t="shared" si="102"/>
        <v>0</v>
      </c>
      <c r="AY82" s="6">
        <f t="shared" si="102"/>
        <v>0</v>
      </c>
      <c r="AZ82" s="6">
        <f t="shared" si="102"/>
        <v>0</v>
      </c>
      <c r="BA82" s="6">
        <f t="shared" si="102"/>
        <v>0</v>
      </c>
      <c r="BB82" s="6">
        <f t="shared" si="102"/>
        <v>0</v>
      </c>
      <c r="BC82" s="6">
        <f t="shared" si="102"/>
        <v>0</v>
      </c>
      <c r="BD82" s="6">
        <f t="shared" si="102"/>
        <v>0</v>
      </c>
      <c r="BE82" s="6">
        <f t="shared" si="102"/>
        <v>0</v>
      </c>
      <c r="BF82" s="6">
        <f t="shared" si="102"/>
        <v>0</v>
      </c>
      <c r="BG82" s="6">
        <f t="shared" si="102"/>
        <v>0</v>
      </c>
      <c r="BH82" s="6">
        <f t="shared" si="102"/>
        <v>0</v>
      </c>
      <c r="BI82" s="6">
        <f t="shared" si="102"/>
        <v>0</v>
      </c>
      <c r="BJ82" s="6">
        <f t="shared" si="102"/>
        <v>0</v>
      </c>
      <c r="BK82" s="6">
        <f t="shared" si="102"/>
        <v>0</v>
      </c>
      <c r="BL82" s="6">
        <f t="shared" si="102"/>
        <v>0</v>
      </c>
      <c r="BM82" s="6">
        <f t="shared" si="102"/>
        <v>0</v>
      </c>
      <c r="BN82" s="6">
        <f t="shared" si="102"/>
        <v>0</v>
      </c>
      <c r="BO82" s="6">
        <f t="shared" si="102"/>
        <v>0</v>
      </c>
      <c r="BP82" s="6">
        <f t="shared" si="102"/>
        <v>0</v>
      </c>
      <c r="BQ82" s="6">
        <f t="shared" si="102"/>
        <v>0</v>
      </c>
      <c r="BR82" s="6">
        <f t="shared" si="102"/>
        <v>0</v>
      </c>
      <c r="BS82" s="6">
        <f t="shared" si="100"/>
        <v>0</v>
      </c>
      <c r="BT82" s="6">
        <f t="shared" si="100"/>
        <v>0</v>
      </c>
      <c r="BU82" s="6">
        <f t="shared" si="100"/>
        <v>0</v>
      </c>
      <c r="BV82" s="6">
        <f t="shared" si="100"/>
        <v>0</v>
      </c>
      <c r="BW82" s="6">
        <f t="shared" si="100"/>
        <v>22.187004754358163</v>
      </c>
      <c r="BX82" s="6">
        <f t="shared" si="100"/>
        <v>0</v>
      </c>
      <c r="BY82" s="6">
        <f t="shared" si="100"/>
        <v>0</v>
      </c>
      <c r="BZ82" s="6">
        <f t="shared" si="100"/>
        <v>0</v>
      </c>
      <c r="CA82" s="6">
        <f t="shared" si="100"/>
        <v>0</v>
      </c>
      <c r="CB82" s="6">
        <f t="shared" si="100"/>
        <v>0</v>
      </c>
      <c r="CC82" s="6">
        <f t="shared" si="100"/>
        <v>0</v>
      </c>
      <c r="CD82" s="6">
        <f t="shared" si="100"/>
        <v>0</v>
      </c>
      <c r="CE82" s="6">
        <f t="shared" si="100"/>
        <v>0</v>
      </c>
      <c r="CF82" s="6">
        <f t="shared" si="100"/>
        <v>0</v>
      </c>
      <c r="CG82" s="6">
        <f t="shared" si="100"/>
        <v>0</v>
      </c>
      <c r="CH82" s="6">
        <f t="shared" si="100"/>
        <v>0</v>
      </c>
      <c r="CI82" s="6">
        <f t="shared" si="100"/>
        <v>0</v>
      </c>
      <c r="CJ82" s="6">
        <f t="shared" si="100"/>
        <v>0</v>
      </c>
      <c r="CK82" s="6">
        <f t="shared" si="100"/>
        <v>0</v>
      </c>
      <c r="CL82" s="6">
        <f t="shared" si="100"/>
        <v>0</v>
      </c>
      <c r="CM82" s="6">
        <f t="shared" si="100"/>
        <v>53.87</v>
      </c>
      <c r="CN82" s="6">
        <f t="shared" si="100"/>
        <v>60.510012966431354</v>
      </c>
      <c r="CO82" s="6">
        <f t="shared" si="100"/>
        <v>69.586514911396065</v>
      </c>
      <c r="CP82" s="6">
        <f t="shared" si="100"/>
        <v>60.510012966431354</v>
      </c>
      <c r="CQ82" s="6">
        <f t="shared" si="100"/>
        <v>65.653364068578028</v>
      </c>
      <c r="CR82" s="6">
        <f t="shared" si="100"/>
        <v>0</v>
      </c>
      <c r="CS82" s="6">
        <f t="shared" si="100"/>
        <v>0</v>
      </c>
      <c r="CT82" s="6">
        <f t="shared" si="100"/>
        <v>0</v>
      </c>
      <c r="CU82" s="6">
        <f t="shared" si="100"/>
        <v>0</v>
      </c>
      <c r="CV82" s="6">
        <f t="shared" si="100"/>
        <v>0</v>
      </c>
      <c r="CW82" s="6">
        <f t="shared" si="100"/>
        <v>0</v>
      </c>
      <c r="CX82" s="6">
        <f t="shared" si="100"/>
        <v>0</v>
      </c>
      <c r="CY82" s="6">
        <f t="shared" si="100"/>
        <v>0</v>
      </c>
      <c r="CZ82" s="6">
        <f t="shared" si="100"/>
        <v>0</v>
      </c>
      <c r="DA82" s="6">
        <f t="shared" si="100"/>
        <v>0</v>
      </c>
      <c r="DB82" s="6">
        <f t="shared" si="101"/>
        <v>0</v>
      </c>
      <c r="DC82" s="6">
        <f t="shared" si="101"/>
        <v>0</v>
      </c>
      <c r="DD82" s="6">
        <f t="shared" si="101"/>
        <v>0</v>
      </c>
      <c r="DE82" s="6">
        <f t="shared" si="101"/>
        <v>0</v>
      </c>
      <c r="DF82" s="6">
        <f t="shared" si="101"/>
        <v>0</v>
      </c>
      <c r="DG82" s="6">
        <f t="shared" si="101"/>
        <v>23.77179080824089</v>
      </c>
      <c r="DH82" s="6">
        <f t="shared" si="101"/>
        <v>29.71473851030111</v>
      </c>
      <c r="DI82" s="6">
        <f t="shared" si="101"/>
        <v>0</v>
      </c>
      <c r="DJ82" s="6">
        <f t="shared" si="101"/>
        <v>0</v>
      </c>
      <c r="DK82" s="6">
        <f t="shared" si="101"/>
        <v>0</v>
      </c>
      <c r="DL82" s="6">
        <f t="shared" si="101"/>
        <v>0</v>
      </c>
      <c r="DM82" s="6">
        <f t="shared" si="101"/>
        <v>0</v>
      </c>
      <c r="DN82" s="6">
        <f t="shared" si="101"/>
        <v>0</v>
      </c>
      <c r="DO82" s="6">
        <f t="shared" si="101"/>
        <v>0</v>
      </c>
      <c r="DP82" s="6">
        <f t="shared" si="101"/>
        <v>0</v>
      </c>
      <c r="DQ82" s="6">
        <f t="shared" si="101"/>
        <v>0</v>
      </c>
      <c r="DR82" s="6">
        <f t="shared" si="101"/>
        <v>0</v>
      </c>
      <c r="DS82" s="6">
        <f t="shared" si="101"/>
        <v>0</v>
      </c>
      <c r="DT82" s="6">
        <f t="shared" si="101"/>
        <v>0</v>
      </c>
      <c r="DU82" s="6">
        <f t="shared" si="101"/>
        <v>34</v>
      </c>
      <c r="DV82" s="198">
        <f t="shared" si="95"/>
        <v>0</v>
      </c>
      <c r="DW82" s="63">
        <f t="shared" si="95"/>
        <v>0</v>
      </c>
      <c r="DX82" s="28">
        <f t="shared" si="90"/>
        <v>504.83965314634167</v>
      </c>
      <c r="FD82" s="74" t="s">
        <v>8</v>
      </c>
      <c r="FE82" s="63">
        <f ca="1">SUM((INDIRECT(FE$9&amp;ROW()):(INDIRECT(FE$10&amp;ROW()))))</f>
        <v>0</v>
      </c>
      <c r="FF82" s="63">
        <f ca="1">SUM((INDIRECT(FF$9&amp;ROW()):(INDIRECT(FF$10&amp;ROW()))))</f>
        <v>43.30708661417323</v>
      </c>
      <c r="FG82" s="63">
        <f ca="1">SUM((INDIRECT(FG$9&amp;ROW()):(INDIRECT(FG$10&amp;ROW()))))</f>
        <v>41.729127546431442</v>
      </c>
      <c r="FH82" s="63">
        <f ca="1">SUM((INDIRECT(FH$9&amp;ROW()):(INDIRECT(FH$10&amp;ROW()))))</f>
        <v>22.187004754358163</v>
      </c>
      <c r="FI82" s="63">
        <f ca="1">SUM((INDIRECT(FI$9&amp;ROW()):(INDIRECT(FI$10&amp;ROW()))))</f>
        <v>363.61643423137883</v>
      </c>
      <c r="FJ82" s="63">
        <f ca="1">SUM((INDIRECT(FJ$9&amp;ROW()):(INDIRECT(FJ$10&amp;ROW()))))</f>
        <v>34</v>
      </c>
      <c r="FK82" s="63" t="e">
        <f ca="1">SUM((INDIRECT(FK$9&amp;ROW()):(INDIRECT(FK$10&amp;ROW()))))</f>
        <v>#REF!</v>
      </c>
      <c r="FL82" s="63" t="e">
        <f ca="1">SUM((INDIRECT(FL$9&amp;ROW()):(INDIRECT(FL$10&amp;ROW()))))</f>
        <v>#REF!</v>
      </c>
      <c r="FN82" s="28">
        <f t="shared" ca="1" si="91"/>
        <v>504.83965314634167</v>
      </c>
      <c r="FP82" s="14">
        <f t="shared" ca="1" si="96"/>
        <v>4.2069971095528471</v>
      </c>
      <c r="FQ82" s="14">
        <f ca="1">SUM(FP80:FP82)</f>
        <v>8.247720552475025</v>
      </c>
      <c r="FS82" s="142">
        <f ca="1">FQ82*FS$71</f>
        <v>371.14742486137612</v>
      </c>
      <c r="FV82">
        <v>400</v>
      </c>
    </row>
    <row r="83" spans="1:178" outlineLevel="1">
      <c r="A83" t="s">
        <v>150</v>
      </c>
      <c r="B83" t="s">
        <v>25</v>
      </c>
      <c r="C83" s="72" t="s">
        <v>150</v>
      </c>
      <c r="D83" s="6">
        <v>0</v>
      </c>
      <c r="E83" s="6">
        <f t="shared" si="84"/>
        <v>0</v>
      </c>
      <c r="F83" s="6">
        <f t="shared" si="92"/>
        <v>61.811023622047244</v>
      </c>
      <c r="G83" s="6">
        <f t="shared" si="102"/>
        <v>0</v>
      </c>
      <c r="H83" s="6">
        <f t="shared" si="102"/>
        <v>0</v>
      </c>
      <c r="I83" s="6">
        <f t="shared" si="102"/>
        <v>0</v>
      </c>
      <c r="J83" s="6">
        <f t="shared" si="102"/>
        <v>0</v>
      </c>
      <c r="K83" s="6">
        <f t="shared" si="102"/>
        <v>0</v>
      </c>
      <c r="L83" s="6">
        <f t="shared" si="102"/>
        <v>0</v>
      </c>
      <c r="M83" s="6">
        <f t="shared" si="102"/>
        <v>0</v>
      </c>
      <c r="N83" s="6">
        <f t="shared" si="102"/>
        <v>0</v>
      </c>
      <c r="O83" s="6">
        <f t="shared" si="102"/>
        <v>0</v>
      </c>
      <c r="P83" s="6">
        <f t="shared" si="102"/>
        <v>0</v>
      </c>
      <c r="Q83" s="6">
        <f t="shared" si="102"/>
        <v>0</v>
      </c>
      <c r="R83" s="6">
        <f t="shared" si="102"/>
        <v>15.748031496062993</v>
      </c>
      <c r="S83" s="6">
        <f t="shared" si="102"/>
        <v>0</v>
      </c>
      <c r="T83" s="6">
        <f t="shared" si="102"/>
        <v>18.897637795275593</v>
      </c>
      <c r="U83" s="6">
        <f t="shared" si="102"/>
        <v>0</v>
      </c>
      <c r="V83" s="6">
        <f t="shared" si="102"/>
        <v>0</v>
      </c>
      <c r="W83" s="6">
        <f t="shared" si="102"/>
        <v>0</v>
      </c>
      <c r="X83" s="6">
        <f t="shared" si="102"/>
        <v>0</v>
      </c>
      <c r="Y83" s="6">
        <f t="shared" si="102"/>
        <v>0</v>
      </c>
      <c r="Z83" s="6">
        <f t="shared" si="102"/>
        <v>3.9370078740157481</v>
      </c>
      <c r="AA83" s="6">
        <f t="shared" si="102"/>
        <v>0</v>
      </c>
      <c r="AB83" s="6">
        <f t="shared" si="102"/>
        <v>0</v>
      </c>
      <c r="AC83" s="6">
        <f t="shared" si="102"/>
        <v>0</v>
      </c>
      <c r="AD83" s="6">
        <f t="shared" si="102"/>
        <v>41.338582677165356</v>
      </c>
      <c r="AE83" s="6">
        <f t="shared" si="102"/>
        <v>0</v>
      </c>
      <c r="AF83" s="6">
        <f t="shared" si="102"/>
        <v>0</v>
      </c>
      <c r="AG83" s="6">
        <f t="shared" si="102"/>
        <v>0</v>
      </c>
      <c r="AH83" s="6">
        <f t="shared" si="102"/>
        <v>0</v>
      </c>
      <c r="AI83" s="6">
        <f t="shared" si="102"/>
        <v>0</v>
      </c>
      <c r="AJ83" s="6">
        <f t="shared" si="102"/>
        <v>0</v>
      </c>
      <c r="AK83" s="6">
        <f t="shared" si="102"/>
        <v>0</v>
      </c>
      <c r="AL83" s="6">
        <f t="shared" si="102"/>
        <v>0</v>
      </c>
      <c r="AM83" s="6">
        <f t="shared" si="102"/>
        <v>0</v>
      </c>
      <c r="AN83" s="6">
        <f t="shared" si="102"/>
        <v>0</v>
      </c>
      <c r="AO83" s="6">
        <f t="shared" si="102"/>
        <v>0</v>
      </c>
      <c r="AP83" s="6">
        <f t="shared" si="102"/>
        <v>0</v>
      </c>
      <c r="AQ83" s="6">
        <f t="shared" si="102"/>
        <v>0</v>
      </c>
      <c r="AR83" s="6">
        <f t="shared" si="102"/>
        <v>0</v>
      </c>
      <c r="AS83" s="6">
        <f t="shared" si="102"/>
        <v>2.0040080160320644</v>
      </c>
      <c r="AT83" s="6">
        <f t="shared" si="102"/>
        <v>0</v>
      </c>
      <c r="AU83" s="6">
        <f t="shared" si="102"/>
        <v>0</v>
      </c>
      <c r="AV83" s="6">
        <f t="shared" si="102"/>
        <v>0</v>
      </c>
      <c r="AW83" s="6">
        <f t="shared" si="102"/>
        <v>0</v>
      </c>
      <c r="AX83" s="6">
        <f t="shared" si="102"/>
        <v>0</v>
      </c>
      <c r="AY83" s="6">
        <f t="shared" si="102"/>
        <v>0</v>
      </c>
      <c r="AZ83" s="6">
        <f t="shared" si="102"/>
        <v>0</v>
      </c>
      <c r="BA83" s="6">
        <f t="shared" si="102"/>
        <v>0</v>
      </c>
      <c r="BB83" s="6">
        <f t="shared" si="102"/>
        <v>0</v>
      </c>
      <c r="BC83" s="6">
        <f t="shared" si="102"/>
        <v>0</v>
      </c>
      <c r="BD83" s="6">
        <f t="shared" si="102"/>
        <v>0</v>
      </c>
      <c r="BE83" s="6">
        <f t="shared" si="102"/>
        <v>0</v>
      </c>
      <c r="BF83" s="6">
        <f t="shared" si="102"/>
        <v>0</v>
      </c>
      <c r="BG83" s="6">
        <f t="shared" si="102"/>
        <v>0</v>
      </c>
      <c r="BH83" s="6">
        <f t="shared" si="102"/>
        <v>85.182250396196523</v>
      </c>
      <c r="BI83" s="6">
        <f t="shared" si="102"/>
        <v>0</v>
      </c>
      <c r="BJ83" s="6">
        <f t="shared" si="102"/>
        <v>0</v>
      </c>
      <c r="BK83" s="6">
        <f t="shared" si="102"/>
        <v>0</v>
      </c>
      <c r="BL83" s="6">
        <f t="shared" si="102"/>
        <v>0</v>
      </c>
      <c r="BM83" s="6">
        <f t="shared" si="102"/>
        <v>0</v>
      </c>
      <c r="BN83" s="6">
        <f t="shared" si="102"/>
        <v>0</v>
      </c>
      <c r="BO83" s="6">
        <f t="shared" si="102"/>
        <v>0</v>
      </c>
      <c r="BP83" s="6">
        <f t="shared" si="102"/>
        <v>0</v>
      </c>
      <c r="BQ83" s="6">
        <f t="shared" si="102"/>
        <v>0</v>
      </c>
      <c r="BR83" s="6">
        <f t="shared" si="102"/>
        <v>0</v>
      </c>
      <c r="BS83" s="6">
        <f t="shared" si="100"/>
        <v>0</v>
      </c>
      <c r="BT83" s="6">
        <f t="shared" si="100"/>
        <v>0</v>
      </c>
      <c r="BU83" s="6">
        <f t="shared" si="100"/>
        <v>0</v>
      </c>
      <c r="BV83" s="6">
        <f t="shared" si="100"/>
        <v>0</v>
      </c>
      <c r="BW83" s="6">
        <f t="shared" si="100"/>
        <v>2.6941362916006342</v>
      </c>
      <c r="BX83" s="6">
        <f t="shared" si="100"/>
        <v>0</v>
      </c>
      <c r="BY83" s="6">
        <f t="shared" si="100"/>
        <v>0</v>
      </c>
      <c r="BZ83" s="6">
        <f t="shared" si="100"/>
        <v>0</v>
      </c>
      <c r="CA83" s="6">
        <f t="shared" si="100"/>
        <v>0</v>
      </c>
      <c r="CB83" s="6">
        <f t="shared" si="100"/>
        <v>0</v>
      </c>
      <c r="CC83" s="6">
        <f t="shared" si="100"/>
        <v>0</v>
      </c>
      <c r="CD83" s="6">
        <f t="shared" si="100"/>
        <v>0</v>
      </c>
      <c r="CE83" s="6">
        <f t="shared" si="100"/>
        <v>0</v>
      </c>
      <c r="CF83" s="6">
        <f t="shared" si="100"/>
        <v>0</v>
      </c>
      <c r="CG83" s="6">
        <f t="shared" si="100"/>
        <v>0</v>
      </c>
      <c r="CH83" s="6">
        <f t="shared" si="100"/>
        <v>0</v>
      </c>
      <c r="CI83" s="6">
        <f t="shared" si="100"/>
        <v>0</v>
      </c>
      <c r="CJ83" s="6">
        <f t="shared" si="100"/>
        <v>0</v>
      </c>
      <c r="CK83" s="6">
        <f t="shared" si="100"/>
        <v>0</v>
      </c>
      <c r="CL83" s="6">
        <f t="shared" si="100"/>
        <v>0</v>
      </c>
      <c r="CM83" s="6">
        <f t="shared" si="100"/>
        <v>32.761849877539262</v>
      </c>
      <c r="CN83" s="6">
        <f t="shared" si="100"/>
        <v>23.296354992076072</v>
      </c>
      <c r="CO83" s="6">
        <f t="shared" si="100"/>
        <v>0</v>
      </c>
      <c r="CP83" s="6">
        <f t="shared" si="100"/>
        <v>0</v>
      </c>
      <c r="CQ83" s="6">
        <f t="shared" si="100"/>
        <v>0</v>
      </c>
      <c r="CR83" s="6">
        <f t="shared" si="100"/>
        <v>12.888632761849879</v>
      </c>
      <c r="CS83" s="6">
        <f t="shared" si="100"/>
        <v>0</v>
      </c>
      <c r="CT83" s="6">
        <f t="shared" si="100"/>
        <v>0</v>
      </c>
      <c r="CU83" s="6">
        <f t="shared" si="100"/>
        <v>0</v>
      </c>
      <c r="CV83" s="6">
        <f t="shared" si="100"/>
        <v>0</v>
      </c>
      <c r="CW83" s="6">
        <f t="shared" si="100"/>
        <v>0</v>
      </c>
      <c r="CX83" s="6">
        <f t="shared" si="100"/>
        <v>39.61965134706815</v>
      </c>
      <c r="CY83" s="6">
        <f t="shared" si="100"/>
        <v>0</v>
      </c>
      <c r="CZ83" s="6">
        <f t="shared" si="100"/>
        <v>0</v>
      </c>
      <c r="DA83" s="6">
        <f t="shared" si="100"/>
        <v>0</v>
      </c>
      <c r="DB83" s="6">
        <f t="shared" si="101"/>
        <v>0</v>
      </c>
      <c r="DC83" s="6">
        <f t="shared" si="101"/>
        <v>0</v>
      </c>
      <c r="DD83" s="6">
        <f t="shared" si="101"/>
        <v>0</v>
      </c>
      <c r="DE83" s="6">
        <f t="shared" si="101"/>
        <v>0</v>
      </c>
      <c r="DF83" s="6">
        <f t="shared" si="101"/>
        <v>0</v>
      </c>
      <c r="DG83" s="6">
        <f t="shared" si="101"/>
        <v>9.9049128367670374</v>
      </c>
      <c r="DH83" s="6">
        <f t="shared" si="101"/>
        <v>0</v>
      </c>
      <c r="DI83" s="6">
        <f t="shared" si="101"/>
        <v>18.621236133122029</v>
      </c>
      <c r="DJ83" s="6">
        <f t="shared" si="101"/>
        <v>0</v>
      </c>
      <c r="DK83" s="6">
        <f t="shared" si="101"/>
        <v>0</v>
      </c>
      <c r="DL83" s="6">
        <f t="shared" si="101"/>
        <v>0</v>
      </c>
      <c r="DM83" s="6">
        <f t="shared" si="101"/>
        <v>0</v>
      </c>
      <c r="DN83" s="6">
        <f t="shared" si="101"/>
        <v>0</v>
      </c>
      <c r="DO83" s="6">
        <f t="shared" si="101"/>
        <v>0</v>
      </c>
      <c r="DP83" s="6">
        <f t="shared" si="101"/>
        <v>0</v>
      </c>
      <c r="DQ83" s="6">
        <f t="shared" si="101"/>
        <v>0</v>
      </c>
      <c r="DR83" s="6">
        <f t="shared" si="101"/>
        <v>3.9619651347068148</v>
      </c>
      <c r="DS83" s="6">
        <f t="shared" si="101"/>
        <v>0</v>
      </c>
      <c r="DT83" s="6">
        <f t="shared" si="101"/>
        <v>9.9049128367670374</v>
      </c>
      <c r="DU83" s="6">
        <f t="shared" si="101"/>
        <v>0</v>
      </c>
      <c r="DV83" s="198">
        <f t="shared" si="95"/>
        <v>0</v>
      </c>
      <c r="DW83" s="63">
        <f t="shared" si="95"/>
        <v>0</v>
      </c>
      <c r="DX83" s="28">
        <f t="shared" si="90"/>
        <v>382.57219408829246</v>
      </c>
      <c r="FD83" s="72" t="s">
        <v>150</v>
      </c>
      <c r="FE83" s="63">
        <f ca="1">SUM((INDIRECT(FE$9&amp;ROW()):(INDIRECT(FE$10&amp;ROW()))))</f>
        <v>0</v>
      </c>
      <c r="FF83" s="63">
        <f ca="1">SUM((INDIRECT(FF$9&amp;ROW()):(INDIRECT(FF$10&amp;ROW()))))</f>
        <v>96.456692913385837</v>
      </c>
      <c r="FG83" s="63">
        <f ca="1">SUM((INDIRECT(FG$9&amp;ROW()):(INDIRECT(FG$10&amp;ROW()))))</f>
        <v>47.279598567213171</v>
      </c>
      <c r="FH83" s="63">
        <f ca="1">SUM((INDIRECT(FH$9&amp;ROW()):(INDIRECT(FH$10&amp;ROW()))))</f>
        <v>87.876386687797151</v>
      </c>
      <c r="FI83" s="63">
        <f ca="1">SUM((INDIRECT(FI$9&amp;ROW()):(INDIRECT(FI$10&amp;ROW()))))</f>
        <v>137.09263794842244</v>
      </c>
      <c r="FJ83" s="63">
        <f ca="1">SUM((INDIRECT(FJ$9&amp;ROW()):(INDIRECT(FJ$10&amp;ROW()))))</f>
        <v>13.866877971473851</v>
      </c>
      <c r="FK83" s="63" t="e">
        <f ca="1">SUM((INDIRECT(FK$9&amp;ROW()):(INDIRECT(FK$10&amp;ROW()))))</f>
        <v>#REF!</v>
      </c>
      <c r="FL83" s="63" t="e">
        <f ca="1">SUM((INDIRECT(FL$9&amp;ROW()):(INDIRECT(FL$10&amp;ROW()))))</f>
        <v>#REF!</v>
      </c>
      <c r="FN83" s="28">
        <f t="shared" ca="1" si="91"/>
        <v>382.57219408829246</v>
      </c>
      <c r="FP83" s="14">
        <f t="shared" ca="1" si="96"/>
        <v>3.1881016174024372</v>
      </c>
    </row>
    <row r="84" spans="1:178" ht="15" outlineLevel="1" thickBot="1">
      <c r="A84" t="s">
        <v>144</v>
      </c>
      <c r="B84" t="s">
        <v>25</v>
      </c>
      <c r="C84" s="74" t="s">
        <v>144</v>
      </c>
      <c r="D84" s="6">
        <v>0</v>
      </c>
      <c r="E84" s="6">
        <f t="shared" si="84"/>
        <v>1633.82</v>
      </c>
      <c r="F84" s="6">
        <f t="shared" si="92"/>
        <v>0</v>
      </c>
      <c r="G84" s="6">
        <f t="shared" si="102"/>
        <v>0</v>
      </c>
      <c r="H84" s="6">
        <f t="shared" si="102"/>
        <v>0</v>
      </c>
      <c r="I84" s="6">
        <f t="shared" si="102"/>
        <v>0</v>
      </c>
      <c r="J84" s="6">
        <f t="shared" si="102"/>
        <v>0</v>
      </c>
      <c r="K84" s="6">
        <f t="shared" si="102"/>
        <v>0</v>
      </c>
      <c r="L84" s="6">
        <f t="shared" si="102"/>
        <v>0</v>
      </c>
      <c r="M84" s="6">
        <f t="shared" si="102"/>
        <v>0</v>
      </c>
      <c r="N84" s="6">
        <f t="shared" si="102"/>
        <v>0</v>
      </c>
      <c r="O84" s="6">
        <f t="shared" si="102"/>
        <v>0</v>
      </c>
      <c r="P84" s="6">
        <f t="shared" si="102"/>
        <v>0</v>
      </c>
      <c r="Q84" s="6">
        <f t="shared" si="102"/>
        <v>0</v>
      </c>
      <c r="R84" s="6">
        <f t="shared" si="102"/>
        <v>0</v>
      </c>
      <c r="S84" s="6">
        <f t="shared" si="102"/>
        <v>0</v>
      </c>
      <c r="T84" s="6">
        <f t="shared" si="102"/>
        <v>0</v>
      </c>
      <c r="U84" s="6">
        <f t="shared" si="102"/>
        <v>0</v>
      </c>
      <c r="V84" s="6">
        <f t="shared" si="102"/>
        <v>0</v>
      </c>
      <c r="W84" s="6">
        <f t="shared" si="102"/>
        <v>0</v>
      </c>
      <c r="X84" s="6">
        <f t="shared" si="102"/>
        <v>0</v>
      </c>
      <c r="Y84" s="6">
        <f t="shared" si="102"/>
        <v>0</v>
      </c>
      <c r="Z84" s="6">
        <f t="shared" si="102"/>
        <v>5.1181102362204731</v>
      </c>
      <c r="AA84" s="6">
        <f t="shared" si="102"/>
        <v>5.1181102362204731</v>
      </c>
      <c r="AB84" s="6">
        <f t="shared" si="102"/>
        <v>0</v>
      </c>
      <c r="AC84" s="6">
        <f t="shared" si="102"/>
        <v>0</v>
      </c>
      <c r="AD84" s="6">
        <f t="shared" si="102"/>
        <v>0</v>
      </c>
      <c r="AE84" s="6">
        <f t="shared" si="102"/>
        <v>0</v>
      </c>
      <c r="AF84" s="6">
        <f t="shared" si="102"/>
        <v>0</v>
      </c>
      <c r="AG84" s="6">
        <f t="shared" si="102"/>
        <v>0</v>
      </c>
      <c r="AH84" s="6">
        <f t="shared" si="102"/>
        <v>0</v>
      </c>
      <c r="AI84" s="6">
        <f t="shared" si="102"/>
        <v>0</v>
      </c>
      <c r="AJ84" s="6">
        <f t="shared" si="102"/>
        <v>0</v>
      </c>
      <c r="AK84" s="6">
        <f t="shared" si="102"/>
        <v>0</v>
      </c>
      <c r="AL84" s="6">
        <f t="shared" si="102"/>
        <v>0</v>
      </c>
      <c r="AM84" s="6">
        <f t="shared" si="102"/>
        <v>0</v>
      </c>
      <c r="AN84" s="6">
        <f t="shared" si="102"/>
        <v>0</v>
      </c>
      <c r="AO84" s="6">
        <f t="shared" si="102"/>
        <v>0</v>
      </c>
      <c r="AP84" s="6">
        <f t="shared" si="102"/>
        <v>0</v>
      </c>
      <c r="AQ84" s="6">
        <f t="shared" si="102"/>
        <v>0</v>
      </c>
      <c r="AR84" s="6">
        <f t="shared" si="102"/>
        <v>0</v>
      </c>
      <c r="AS84" s="6">
        <f t="shared" si="102"/>
        <v>0</v>
      </c>
      <c r="AT84" s="6">
        <f t="shared" si="102"/>
        <v>0</v>
      </c>
      <c r="AU84" s="6">
        <f t="shared" si="102"/>
        <v>0</v>
      </c>
      <c r="AV84" s="6">
        <f t="shared" si="102"/>
        <v>0</v>
      </c>
      <c r="AW84" s="6">
        <f t="shared" si="102"/>
        <v>0</v>
      </c>
      <c r="AX84" s="6">
        <f t="shared" si="102"/>
        <v>0</v>
      </c>
      <c r="AY84" s="6">
        <f t="shared" si="102"/>
        <v>0</v>
      </c>
      <c r="AZ84" s="6">
        <f t="shared" si="102"/>
        <v>0</v>
      </c>
      <c r="BA84" s="6">
        <f t="shared" si="102"/>
        <v>0</v>
      </c>
      <c r="BB84" s="6">
        <f t="shared" si="102"/>
        <v>0</v>
      </c>
      <c r="BC84" s="6">
        <f t="shared" si="102"/>
        <v>0</v>
      </c>
      <c r="BD84" s="6">
        <f t="shared" si="102"/>
        <v>0</v>
      </c>
      <c r="BE84" s="6">
        <f t="shared" si="102"/>
        <v>0</v>
      </c>
      <c r="BF84" s="6">
        <f t="shared" si="102"/>
        <v>0</v>
      </c>
      <c r="BG84" s="6">
        <f t="shared" si="102"/>
        <v>0</v>
      </c>
      <c r="BH84" s="6">
        <f t="shared" si="102"/>
        <v>0</v>
      </c>
      <c r="BI84" s="6">
        <f t="shared" si="102"/>
        <v>0</v>
      </c>
      <c r="BJ84" s="6">
        <f t="shared" si="102"/>
        <v>0</v>
      </c>
      <c r="BK84" s="6">
        <f t="shared" si="102"/>
        <v>0</v>
      </c>
      <c r="BL84" s="6">
        <f t="shared" si="102"/>
        <v>0</v>
      </c>
      <c r="BM84" s="6">
        <f t="shared" si="102"/>
        <v>0</v>
      </c>
      <c r="BN84" s="6">
        <f t="shared" si="102"/>
        <v>0</v>
      </c>
      <c r="BO84" s="6">
        <f t="shared" si="102"/>
        <v>0</v>
      </c>
      <c r="BP84" s="6">
        <f t="shared" si="102"/>
        <v>0</v>
      </c>
      <c r="BQ84" s="6">
        <f t="shared" si="102"/>
        <v>0</v>
      </c>
      <c r="BR84" s="6">
        <f t="shared" ref="BR84:DA87" si="103">+SUMIF($C$12:$C$29,$C84,BR$12:BR$29)/BR$6+SUMIF($C$47:$C$63,$C84,BR$47:BR$64)</f>
        <v>0</v>
      </c>
      <c r="BS84" s="6">
        <f t="shared" si="103"/>
        <v>0</v>
      </c>
      <c r="BT84" s="6">
        <f t="shared" si="103"/>
        <v>0</v>
      </c>
      <c r="BU84" s="6">
        <f t="shared" si="103"/>
        <v>0</v>
      </c>
      <c r="BV84" s="6">
        <f t="shared" si="103"/>
        <v>0</v>
      </c>
      <c r="BW84" s="6">
        <f t="shared" si="103"/>
        <v>0</v>
      </c>
      <c r="BX84" s="6">
        <f t="shared" si="103"/>
        <v>0</v>
      </c>
      <c r="BY84" s="6">
        <f t="shared" si="103"/>
        <v>0</v>
      </c>
      <c r="BZ84" s="6">
        <f t="shared" si="103"/>
        <v>0</v>
      </c>
      <c r="CA84" s="6">
        <f t="shared" si="103"/>
        <v>0</v>
      </c>
      <c r="CB84" s="6">
        <f t="shared" si="103"/>
        <v>0</v>
      </c>
      <c r="CC84" s="6">
        <f t="shared" si="103"/>
        <v>0</v>
      </c>
      <c r="CD84" s="6">
        <f t="shared" si="103"/>
        <v>0</v>
      </c>
      <c r="CE84" s="6">
        <f t="shared" si="103"/>
        <v>0</v>
      </c>
      <c r="CF84" s="6">
        <f t="shared" si="103"/>
        <v>0</v>
      </c>
      <c r="CG84" s="6">
        <f t="shared" si="103"/>
        <v>0</v>
      </c>
      <c r="CH84" s="6">
        <f t="shared" si="103"/>
        <v>0</v>
      </c>
      <c r="CI84" s="6">
        <f t="shared" si="103"/>
        <v>0</v>
      </c>
      <c r="CJ84" s="6">
        <f t="shared" si="103"/>
        <v>0</v>
      </c>
      <c r="CK84" s="6">
        <f t="shared" si="103"/>
        <v>0</v>
      </c>
      <c r="CL84" s="6">
        <f t="shared" si="103"/>
        <v>0</v>
      </c>
      <c r="CM84" s="6">
        <f t="shared" si="103"/>
        <v>350</v>
      </c>
      <c r="CN84" s="6">
        <f t="shared" si="103"/>
        <v>0</v>
      </c>
      <c r="CO84" s="6">
        <f t="shared" si="103"/>
        <v>0</v>
      </c>
      <c r="CP84" s="6">
        <f t="shared" si="103"/>
        <v>8.652931854199684</v>
      </c>
      <c r="CQ84" s="6">
        <f t="shared" si="103"/>
        <v>99.049128367670377</v>
      </c>
      <c r="CR84" s="6">
        <f t="shared" si="103"/>
        <v>0</v>
      </c>
      <c r="CS84" s="6">
        <f t="shared" si="103"/>
        <v>0</v>
      </c>
      <c r="CT84" s="6">
        <f t="shared" si="103"/>
        <v>0</v>
      </c>
      <c r="CU84" s="6">
        <f t="shared" si="103"/>
        <v>0</v>
      </c>
      <c r="CV84" s="6">
        <f t="shared" si="103"/>
        <v>0</v>
      </c>
      <c r="CW84" s="6">
        <f t="shared" si="103"/>
        <v>0</v>
      </c>
      <c r="CX84" s="6">
        <f t="shared" si="103"/>
        <v>0</v>
      </c>
      <c r="CY84" s="6">
        <f t="shared" si="103"/>
        <v>0</v>
      </c>
      <c r="CZ84" s="6">
        <f t="shared" si="103"/>
        <v>0</v>
      </c>
      <c r="DA84" s="6">
        <f t="shared" si="103"/>
        <v>0</v>
      </c>
      <c r="DB84" s="6">
        <f t="shared" si="101"/>
        <v>0</v>
      </c>
      <c r="DC84" s="6">
        <f t="shared" si="101"/>
        <v>0</v>
      </c>
      <c r="DD84" s="6">
        <f t="shared" si="101"/>
        <v>0</v>
      </c>
      <c r="DE84" s="6">
        <f t="shared" si="101"/>
        <v>0</v>
      </c>
      <c r="DF84" s="6">
        <f t="shared" si="101"/>
        <v>0</v>
      </c>
      <c r="DG84" s="6">
        <f t="shared" si="101"/>
        <v>0</v>
      </c>
      <c r="DH84" s="6">
        <f t="shared" si="101"/>
        <v>0</v>
      </c>
      <c r="DI84" s="6">
        <f t="shared" si="101"/>
        <v>798.73217115689386</v>
      </c>
      <c r="DJ84" s="6">
        <f t="shared" si="101"/>
        <v>0</v>
      </c>
      <c r="DK84" s="6">
        <f t="shared" si="101"/>
        <v>0</v>
      </c>
      <c r="DL84" s="6">
        <f t="shared" si="101"/>
        <v>0</v>
      </c>
      <c r="DM84" s="6">
        <f t="shared" si="101"/>
        <v>0</v>
      </c>
      <c r="DN84" s="6">
        <f t="shared" si="101"/>
        <v>0</v>
      </c>
      <c r="DO84" s="6">
        <f t="shared" si="101"/>
        <v>0</v>
      </c>
      <c r="DP84" s="6">
        <f t="shared" si="101"/>
        <v>0</v>
      </c>
      <c r="DQ84" s="6">
        <f t="shared" si="101"/>
        <v>0</v>
      </c>
      <c r="DR84" s="6">
        <f t="shared" si="101"/>
        <v>0</v>
      </c>
      <c r="DS84" s="6">
        <f t="shared" si="101"/>
        <v>0</v>
      </c>
      <c r="DT84" s="6">
        <f t="shared" si="101"/>
        <v>0</v>
      </c>
      <c r="DU84" s="6">
        <f t="shared" si="101"/>
        <v>0</v>
      </c>
      <c r="DV84" s="198">
        <f t="shared" si="95"/>
        <v>0</v>
      </c>
      <c r="DW84" s="63">
        <f t="shared" si="95"/>
        <v>0</v>
      </c>
      <c r="DX84" s="28">
        <f t="shared" si="90"/>
        <v>2900.4904518512049</v>
      </c>
      <c r="FD84" s="74" t="s">
        <v>144</v>
      </c>
      <c r="FE84" s="63">
        <f ca="1">SUM((INDIRECT(FE$9&amp;ROW()):(INDIRECT(FE$10&amp;ROW()))))</f>
        <v>1633.82</v>
      </c>
      <c r="FF84" s="63">
        <f ca="1">SUM((INDIRECT(FF$9&amp;ROW()):(INDIRECT(FF$10&amp;ROW()))))</f>
        <v>0</v>
      </c>
      <c r="FG84" s="63">
        <f ca="1">SUM((INDIRECT(FG$9&amp;ROW()):(INDIRECT(FG$10&amp;ROW()))))</f>
        <v>10.236220472440946</v>
      </c>
      <c r="FH84" s="63">
        <f ca="1">SUM((INDIRECT(FH$9&amp;ROW()):(INDIRECT(FH$10&amp;ROW()))))</f>
        <v>0</v>
      </c>
      <c r="FI84" s="63">
        <f ca="1">SUM((INDIRECT(FI$9&amp;ROW()):(INDIRECT(FI$10&amp;ROW()))))</f>
        <v>1256.4342313787638</v>
      </c>
      <c r="FJ84" s="63">
        <f ca="1">SUM((INDIRECT(FJ$9&amp;ROW()):(INDIRECT(FJ$10&amp;ROW()))))</f>
        <v>0</v>
      </c>
      <c r="FK84" s="63" t="e">
        <f ca="1">SUM((INDIRECT(FK$9&amp;ROW()):(INDIRECT(FK$10&amp;ROW()))))</f>
        <v>#REF!</v>
      </c>
      <c r="FL84" s="63" t="e">
        <f ca="1">SUM((INDIRECT(FL$9&amp;ROW()):(INDIRECT(FL$10&amp;ROW()))))</f>
        <v>#REF!</v>
      </c>
      <c r="FN84" s="28">
        <f t="shared" ca="1" si="91"/>
        <v>2900.4904518512049</v>
      </c>
      <c r="FP84" s="14">
        <f t="shared" ca="1" si="96"/>
        <v>24.170753765426706</v>
      </c>
      <c r="FQ84" s="14">
        <f ca="1">SUM(FP83:FP84)</f>
        <v>27.358855382829145</v>
      </c>
      <c r="FS84" s="142">
        <f ca="1">FQ84*FS$71</f>
        <v>1231.1484922273114</v>
      </c>
      <c r="FV84">
        <v>1300</v>
      </c>
    </row>
    <row r="85" spans="1:178" outlineLevel="1">
      <c r="A85" t="s">
        <v>145</v>
      </c>
      <c r="B85" t="s">
        <v>24</v>
      </c>
      <c r="C85" s="72" t="s">
        <v>145</v>
      </c>
      <c r="D85" s="6">
        <v>0</v>
      </c>
      <c r="E85" s="6">
        <f t="shared" si="84"/>
        <v>0</v>
      </c>
      <c r="F85" s="6">
        <f t="shared" si="92"/>
        <v>2.3622047244094491</v>
      </c>
      <c r="G85" s="6">
        <f t="shared" ref="G85:BR88" si="104">+SUMIF($C$12:$C$29,$C85,G$12:G$29)/G$6+SUMIF($C$47:$C$63,$C85,G$47:G$64)</f>
        <v>9.8425196850393704</v>
      </c>
      <c r="H85" s="6">
        <f t="shared" si="104"/>
        <v>0</v>
      </c>
      <c r="I85" s="6">
        <f t="shared" si="104"/>
        <v>0</v>
      </c>
      <c r="J85" s="6">
        <f t="shared" si="104"/>
        <v>0</v>
      </c>
      <c r="K85" s="6">
        <f t="shared" si="104"/>
        <v>0</v>
      </c>
      <c r="L85" s="6">
        <f t="shared" si="104"/>
        <v>0</v>
      </c>
      <c r="M85" s="6">
        <f t="shared" si="104"/>
        <v>0</v>
      </c>
      <c r="N85" s="6">
        <f t="shared" si="104"/>
        <v>0</v>
      </c>
      <c r="O85" s="6">
        <f t="shared" si="104"/>
        <v>0</v>
      </c>
      <c r="P85" s="6">
        <f t="shared" si="104"/>
        <v>0</v>
      </c>
      <c r="Q85" s="6">
        <f t="shared" si="104"/>
        <v>0</v>
      </c>
      <c r="R85" s="6">
        <f t="shared" si="104"/>
        <v>0</v>
      </c>
      <c r="S85" s="6">
        <f t="shared" si="104"/>
        <v>0</v>
      </c>
      <c r="T85" s="6">
        <f t="shared" si="104"/>
        <v>0</v>
      </c>
      <c r="U85" s="6">
        <f t="shared" si="104"/>
        <v>0</v>
      </c>
      <c r="V85" s="6">
        <f t="shared" si="104"/>
        <v>0</v>
      </c>
      <c r="W85" s="6">
        <f t="shared" si="104"/>
        <v>0</v>
      </c>
      <c r="X85" s="6">
        <f t="shared" si="104"/>
        <v>0</v>
      </c>
      <c r="Y85" s="6">
        <f t="shared" si="104"/>
        <v>0</v>
      </c>
      <c r="Z85" s="6">
        <f t="shared" si="104"/>
        <v>0</v>
      </c>
      <c r="AA85" s="6">
        <f t="shared" si="104"/>
        <v>0</v>
      </c>
      <c r="AB85" s="6">
        <f t="shared" si="104"/>
        <v>0</v>
      </c>
      <c r="AC85" s="6">
        <f t="shared" si="104"/>
        <v>0</v>
      </c>
      <c r="AD85" s="6">
        <f t="shared" si="104"/>
        <v>0</v>
      </c>
      <c r="AE85" s="6">
        <f t="shared" si="104"/>
        <v>0</v>
      </c>
      <c r="AF85" s="6">
        <f t="shared" si="104"/>
        <v>0</v>
      </c>
      <c r="AG85" s="6">
        <f t="shared" si="104"/>
        <v>0</v>
      </c>
      <c r="AH85" s="6">
        <f t="shared" si="104"/>
        <v>0</v>
      </c>
      <c r="AI85" s="6">
        <f t="shared" si="104"/>
        <v>0</v>
      </c>
      <c r="AJ85" s="6">
        <f t="shared" si="104"/>
        <v>0</v>
      </c>
      <c r="AK85" s="6">
        <f t="shared" si="104"/>
        <v>0</v>
      </c>
      <c r="AL85" s="6">
        <f t="shared" si="104"/>
        <v>0</v>
      </c>
      <c r="AM85" s="6">
        <f t="shared" si="104"/>
        <v>0</v>
      </c>
      <c r="AN85" s="6">
        <f t="shared" si="104"/>
        <v>0</v>
      </c>
      <c r="AO85" s="6">
        <f t="shared" si="104"/>
        <v>0</v>
      </c>
      <c r="AP85" s="6">
        <f t="shared" si="104"/>
        <v>0</v>
      </c>
      <c r="AQ85" s="6">
        <f t="shared" si="104"/>
        <v>0</v>
      </c>
      <c r="AR85" s="6">
        <f t="shared" si="104"/>
        <v>0</v>
      </c>
      <c r="AS85" s="6">
        <f t="shared" si="104"/>
        <v>0</v>
      </c>
      <c r="AT85" s="6">
        <f t="shared" si="104"/>
        <v>0</v>
      </c>
      <c r="AU85" s="6">
        <f t="shared" si="104"/>
        <v>0</v>
      </c>
      <c r="AV85" s="6">
        <f t="shared" si="104"/>
        <v>0</v>
      </c>
      <c r="AW85" s="6">
        <f t="shared" si="104"/>
        <v>0</v>
      </c>
      <c r="AX85" s="6">
        <f t="shared" si="104"/>
        <v>0</v>
      </c>
      <c r="AY85" s="6">
        <f t="shared" si="104"/>
        <v>0</v>
      </c>
      <c r="AZ85" s="6">
        <f t="shared" si="104"/>
        <v>0</v>
      </c>
      <c r="BA85" s="6">
        <f t="shared" si="104"/>
        <v>0</v>
      </c>
      <c r="BB85" s="6">
        <f t="shared" si="104"/>
        <v>0</v>
      </c>
      <c r="BC85" s="6">
        <f t="shared" si="104"/>
        <v>0</v>
      </c>
      <c r="BD85" s="6">
        <f t="shared" si="104"/>
        <v>0</v>
      </c>
      <c r="BE85" s="6">
        <f t="shared" si="104"/>
        <v>0</v>
      </c>
      <c r="BF85" s="6">
        <f t="shared" si="104"/>
        <v>0</v>
      </c>
      <c r="BG85" s="6">
        <f t="shared" si="104"/>
        <v>0</v>
      </c>
      <c r="BH85" s="6">
        <f t="shared" si="104"/>
        <v>0</v>
      </c>
      <c r="BI85" s="6">
        <f t="shared" si="104"/>
        <v>0</v>
      </c>
      <c r="BJ85" s="6">
        <f t="shared" si="104"/>
        <v>0</v>
      </c>
      <c r="BK85" s="6">
        <f t="shared" si="104"/>
        <v>0</v>
      </c>
      <c r="BL85" s="6">
        <f t="shared" si="104"/>
        <v>0</v>
      </c>
      <c r="BM85" s="6">
        <f t="shared" si="104"/>
        <v>0</v>
      </c>
      <c r="BN85" s="6">
        <f t="shared" si="104"/>
        <v>0</v>
      </c>
      <c r="BO85" s="6">
        <f t="shared" si="104"/>
        <v>0</v>
      </c>
      <c r="BP85" s="6">
        <f t="shared" si="104"/>
        <v>0</v>
      </c>
      <c r="BQ85" s="6">
        <f t="shared" si="104"/>
        <v>0</v>
      </c>
      <c r="BR85" s="6">
        <f t="shared" si="104"/>
        <v>0</v>
      </c>
      <c r="BS85" s="6">
        <f t="shared" si="103"/>
        <v>0</v>
      </c>
      <c r="BT85" s="6">
        <f t="shared" si="103"/>
        <v>0</v>
      </c>
      <c r="BU85" s="6">
        <f t="shared" si="103"/>
        <v>0</v>
      </c>
      <c r="BV85" s="6">
        <f t="shared" si="103"/>
        <v>0</v>
      </c>
      <c r="BW85" s="6">
        <f t="shared" si="103"/>
        <v>0</v>
      </c>
      <c r="BX85" s="6">
        <f t="shared" si="103"/>
        <v>0</v>
      </c>
      <c r="BY85" s="6">
        <f t="shared" si="103"/>
        <v>0</v>
      </c>
      <c r="BZ85" s="6">
        <f t="shared" si="103"/>
        <v>0</v>
      </c>
      <c r="CA85" s="6">
        <f t="shared" si="103"/>
        <v>0</v>
      </c>
      <c r="CB85" s="6">
        <f t="shared" si="103"/>
        <v>0</v>
      </c>
      <c r="CC85" s="6">
        <f t="shared" si="103"/>
        <v>0</v>
      </c>
      <c r="CD85" s="6">
        <f t="shared" si="103"/>
        <v>0</v>
      </c>
      <c r="CE85" s="6">
        <f t="shared" si="103"/>
        <v>0</v>
      </c>
      <c r="CF85" s="6">
        <f t="shared" si="103"/>
        <v>0</v>
      </c>
      <c r="CG85" s="6">
        <f t="shared" si="103"/>
        <v>0</v>
      </c>
      <c r="CH85" s="6">
        <f t="shared" si="103"/>
        <v>0</v>
      </c>
      <c r="CI85" s="6">
        <f t="shared" si="103"/>
        <v>0</v>
      </c>
      <c r="CJ85" s="6">
        <f t="shared" si="103"/>
        <v>0</v>
      </c>
      <c r="CK85" s="6">
        <f t="shared" si="103"/>
        <v>0</v>
      </c>
      <c r="CL85" s="6">
        <f t="shared" si="103"/>
        <v>0</v>
      </c>
      <c r="CM85" s="6">
        <f t="shared" si="103"/>
        <v>0</v>
      </c>
      <c r="CN85" s="6">
        <f t="shared" si="103"/>
        <v>0</v>
      </c>
      <c r="CO85" s="6">
        <f t="shared" si="103"/>
        <v>0</v>
      </c>
      <c r="CP85" s="6">
        <f t="shared" si="103"/>
        <v>0</v>
      </c>
      <c r="CQ85" s="6">
        <f t="shared" si="103"/>
        <v>0</v>
      </c>
      <c r="CR85" s="6">
        <f t="shared" si="103"/>
        <v>0</v>
      </c>
      <c r="CS85" s="6">
        <f t="shared" si="103"/>
        <v>0</v>
      </c>
      <c r="CT85" s="6">
        <f t="shared" si="103"/>
        <v>0</v>
      </c>
      <c r="CU85" s="6">
        <f t="shared" si="103"/>
        <v>0</v>
      </c>
      <c r="CV85" s="6">
        <f t="shared" si="103"/>
        <v>0</v>
      </c>
      <c r="CW85" s="6">
        <f t="shared" si="103"/>
        <v>0</v>
      </c>
      <c r="CX85" s="6">
        <f t="shared" si="103"/>
        <v>0</v>
      </c>
      <c r="CY85" s="6">
        <f t="shared" si="103"/>
        <v>0</v>
      </c>
      <c r="CZ85" s="6">
        <f t="shared" si="103"/>
        <v>0</v>
      </c>
      <c r="DA85" s="6">
        <f t="shared" si="103"/>
        <v>0</v>
      </c>
      <c r="DB85" s="6">
        <f t="shared" ref="DB85:DU88" si="105">+SUMIF($C$12:$C$29,$C85,DB$12:DB$29)/DB$6+SUMIF($C$46:$C$63,$C85,DB$47:DB$64)</f>
        <v>0</v>
      </c>
      <c r="DC85" s="6">
        <f t="shared" si="105"/>
        <v>0</v>
      </c>
      <c r="DD85" s="6">
        <f t="shared" si="105"/>
        <v>0</v>
      </c>
      <c r="DE85" s="6">
        <f t="shared" si="105"/>
        <v>0</v>
      </c>
      <c r="DF85" s="6">
        <f t="shared" si="105"/>
        <v>0</v>
      </c>
      <c r="DG85" s="6">
        <f t="shared" si="105"/>
        <v>0</v>
      </c>
      <c r="DH85" s="6">
        <f t="shared" si="105"/>
        <v>0</v>
      </c>
      <c r="DI85" s="6">
        <f t="shared" si="105"/>
        <v>0</v>
      </c>
      <c r="DJ85" s="6">
        <f t="shared" si="105"/>
        <v>0</v>
      </c>
      <c r="DK85" s="6">
        <f t="shared" si="105"/>
        <v>0</v>
      </c>
      <c r="DL85" s="6">
        <f t="shared" si="105"/>
        <v>0</v>
      </c>
      <c r="DM85" s="6">
        <f t="shared" si="105"/>
        <v>0</v>
      </c>
      <c r="DN85" s="6">
        <f t="shared" si="105"/>
        <v>0</v>
      </c>
      <c r="DO85" s="6">
        <f t="shared" si="105"/>
        <v>0</v>
      </c>
      <c r="DP85" s="6">
        <f t="shared" si="105"/>
        <v>0</v>
      </c>
      <c r="DQ85" s="6">
        <f t="shared" si="105"/>
        <v>0</v>
      </c>
      <c r="DR85" s="6">
        <f t="shared" si="105"/>
        <v>0</v>
      </c>
      <c r="DS85" s="6">
        <f t="shared" si="105"/>
        <v>0</v>
      </c>
      <c r="DT85" s="6">
        <f t="shared" si="105"/>
        <v>0</v>
      </c>
      <c r="DU85" s="6">
        <f t="shared" si="105"/>
        <v>0</v>
      </c>
      <c r="DV85" s="198">
        <f t="shared" si="95"/>
        <v>0</v>
      </c>
      <c r="DW85" s="63">
        <f t="shared" si="95"/>
        <v>0</v>
      </c>
      <c r="DX85" s="28">
        <f t="shared" si="90"/>
        <v>12.204724409448819</v>
      </c>
      <c r="FD85" s="72" t="s">
        <v>145</v>
      </c>
      <c r="FE85" s="63">
        <f ca="1">SUM((INDIRECT(FE$9&amp;ROW()):(INDIRECT(FE$10&amp;ROW()))))</f>
        <v>0</v>
      </c>
      <c r="FF85" s="63">
        <f ca="1">SUM((INDIRECT(FF$9&amp;ROW()):(INDIRECT(FF$10&amp;ROW()))))</f>
        <v>12.204724409448819</v>
      </c>
      <c r="FG85" s="63">
        <f ca="1">SUM((INDIRECT(FG$9&amp;ROW()):(INDIRECT(FG$10&amp;ROW()))))</f>
        <v>0</v>
      </c>
      <c r="FH85" s="63">
        <f ca="1">SUM((INDIRECT(FH$9&amp;ROW()):(INDIRECT(FH$10&amp;ROW()))))</f>
        <v>0</v>
      </c>
      <c r="FI85" s="63">
        <f ca="1">SUM((INDIRECT(FI$9&amp;ROW()):(INDIRECT(FI$10&amp;ROW()))))</f>
        <v>0</v>
      </c>
      <c r="FJ85" s="63">
        <f ca="1">SUM((INDIRECT(FJ$9&amp;ROW()):(INDIRECT(FJ$10&amp;ROW()))))</f>
        <v>0</v>
      </c>
      <c r="FK85" s="63" t="e">
        <f ca="1">SUM((INDIRECT(FK$9&amp;ROW()):(INDIRECT(FK$10&amp;ROW()))))</f>
        <v>#REF!</v>
      </c>
      <c r="FL85" s="63" t="e">
        <f ca="1">SUM((INDIRECT(FL$9&amp;ROW()):(INDIRECT(FL$10&amp;ROW()))))</f>
        <v>#REF!</v>
      </c>
      <c r="FN85" s="28">
        <f t="shared" ca="1" si="91"/>
        <v>12.204724409448819</v>
      </c>
      <c r="FP85" s="14">
        <f t="shared" ca="1" si="96"/>
        <v>0.10170603674540682</v>
      </c>
    </row>
    <row r="86" spans="1:178" outlineLevel="1">
      <c r="A86" t="s">
        <v>206</v>
      </c>
      <c r="B86" t="s">
        <v>24</v>
      </c>
      <c r="C86" s="73" t="s">
        <v>206</v>
      </c>
      <c r="D86" s="6">
        <v>0</v>
      </c>
      <c r="E86" s="6">
        <f t="shared" si="84"/>
        <v>0</v>
      </c>
      <c r="F86" s="6">
        <f t="shared" si="92"/>
        <v>0</v>
      </c>
      <c r="G86" s="6">
        <f t="shared" si="104"/>
        <v>0</v>
      </c>
      <c r="H86" s="6">
        <f t="shared" si="104"/>
        <v>7.0866141732283472</v>
      </c>
      <c r="I86" s="6">
        <f t="shared" si="104"/>
        <v>0</v>
      </c>
      <c r="J86" s="6">
        <f t="shared" si="104"/>
        <v>0</v>
      </c>
      <c r="K86" s="6">
        <f t="shared" si="104"/>
        <v>0</v>
      </c>
      <c r="L86" s="6">
        <f t="shared" si="104"/>
        <v>0</v>
      </c>
      <c r="M86" s="6">
        <f t="shared" si="104"/>
        <v>0</v>
      </c>
      <c r="N86" s="6">
        <f t="shared" si="104"/>
        <v>0</v>
      </c>
      <c r="O86" s="6">
        <f t="shared" si="104"/>
        <v>0</v>
      </c>
      <c r="P86" s="6">
        <f t="shared" si="104"/>
        <v>0</v>
      </c>
      <c r="Q86" s="6">
        <f t="shared" si="104"/>
        <v>0</v>
      </c>
      <c r="R86" s="6">
        <f t="shared" si="104"/>
        <v>0</v>
      </c>
      <c r="S86" s="6">
        <f t="shared" si="104"/>
        <v>0</v>
      </c>
      <c r="T86" s="6">
        <f t="shared" si="104"/>
        <v>0</v>
      </c>
      <c r="U86" s="6">
        <f t="shared" si="104"/>
        <v>0</v>
      </c>
      <c r="V86" s="6">
        <f t="shared" si="104"/>
        <v>0</v>
      </c>
      <c r="W86" s="6">
        <f t="shared" si="104"/>
        <v>0</v>
      </c>
      <c r="X86" s="6">
        <f t="shared" si="104"/>
        <v>8.6614173228346463</v>
      </c>
      <c r="Y86" s="6">
        <f t="shared" si="104"/>
        <v>0</v>
      </c>
      <c r="Z86" s="6">
        <f t="shared" si="104"/>
        <v>0</v>
      </c>
      <c r="AA86" s="6">
        <f t="shared" si="104"/>
        <v>0</v>
      </c>
      <c r="AB86" s="6">
        <f t="shared" si="104"/>
        <v>10.62992125984252</v>
      </c>
      <c r="AC86" s="6">
        <f t="shared" si="104"/>
        <v>19.685039370078741</v>
      </c>
      <c r="AD86" s="6">
        <f t="shared" si="104"/>
        <v>0</v>
      </c>
      <c r="AE86" s="6">
        <f t="shared" si="104"/>
        <v>15.748031496062993</v>
      </c>
      <c r="AF86" s="6">
        <f t="shared" si="104"/>
        <v>8.6614173228346463</v>
      </c>
      <c r="AG86" s="6">
        <f t="shared" si="104"/>
        <v>0</v>
      </c>
      <c r="AH86" s="6">
        <f t="shared" si="104"/>
        <v>0</v>
      </c>
      <c r="AI86" s="6">
        <f t="shared" si="104"/>
        <v>0</v>
      </c>
      <c r="AJ86" s="6">
        <f t="shared" si="104"/>
        <v>19.685039370078741</v>
      </c>
      <c r="AK86" s="6">
        <f t="shared" si="104"/>
        <v>0</v>
      </c>
      <c r="AL86" s="6">
        <f t="shared" si="104"/>
        <v>0</v>
      </c>
      <c r="AM86" s="6">
        <f t="shared" si="104"/>
        <v>0</v>
      </c>
      <c r="AN86" s="6">
        <f t="shared" si="104"/>
        <v>0</v>
      </c>
      <c r="AO86" s="6">
        <f t="shared" si="104"/>
        <v>0</v>
      </c>
      <c r="AP86" s="6">
        <f t="shared" si="104"/>
        <v>0</v>
      </c>
      <c r="AQ86" s="6">
        <f t="shared" si="104"/>
        <v>0</v>
      </c>
      <c r="AR86" s="6">
        <f t="shared" si="104"/>
        <v>0</v>
      </c>
      <c r="AS86" s="6">
        <f t="shared" si="104"/>
        <v>0</v>
      </c>
      <c r="AT86" s="6">
        <f t="shared" si="104"/>
        <v>0</v>
      </c>
      <c r="AU86" s="6">
        <f t="shared" si="104"/>
        <v>0</v>
      </c>
      <c r="AV86" s="6">
        <f t="shared" si="104"/>
        <v>0</v>
      </c>
      <c r="AW86" s="6">
        <f t="shared" si="104"/>
        <v>0</v>
      </c>
      <c r="AX86" s="6">
        <f t="shared" si="104"/>
        <v>0</v>
      </c>
      <c r="AY86" s="6">
        <f t="shared" si="104"/>
        <v>0</v>
      </c>
      <c r="AZ86" s="6">
        <f t="shared" si="104"/>
        <v>0</v>
      </c>
      <c r="BA86" s="6">
        <f t="shared" si="104"/>
        <v>0</v>
      </c>
      <c r="BB86" s="6">
        <f t="shared" si="104"/>
        <v>0</v>
      </c>
      <c r="BC86" s="6">
        <f t="shared" si="104"/>
        <v>0</v>
      </c>
      <c r="BD86" s="6">
        <f t="shared" si="104"/>
        <v>0</v>
      </c>
      <c r="BE86" s="6">
        <f t="shared" si="104"/>
        <v>0</v>
      </c>
      <c r="BF86" s="6">
        <f t="shared" si="104"/>
        <v>0</v>
      </c>
      <c r="BG86" s="6">
        <f t="shared" si="104"/>
        <v>0</v>
      </c>
      <c r="BH86" s="6">
        <f t="shared" si="104"/>
        <v>0</v>
      </c>
      <c r="BI86" s="6">
        <f t="shared" si="104"/>
        <v>0</v>
      </c>
      <c r="BJ86" s="6">
        <f t="shared" si="104"/>
        <v>0</v>
      </c>
      <c r="BK86" s="6">
        <f t="shared" si="104"/>
        <v>0</v>
      </c>
      <c r="BL86" s="6">
        <f t="shared" si="104"/>
        <v>0</v>
      </c>
      <c r="BM86" s="6">
        <f t="shared" si="104"/>
        <v>0</v>
      </c>
      <c r="BN86" s="6">
        <f t="shared" si="104"/>
        <v>0</v>
      </c>
      <c r="BO86" s="6">
        <f t="shared" si="104"/>
        <v>0</v>
      </c>
      <c r="BP86" s="6">
        <f t="shared" si="104"/>
        <v>0</v>
      </c>
      <c r="BQ86" s="6">
        <f t="shared" si="104"/>
        <v>0</v>
      </c>
      <c r="BR86" s="6">
        <f t="shared" si="104"/>
        <v>0</v>
      </c>
      <c r="BS86" s="6">
        <f t="shared" si="103"/>
        <v>0</v>
      </c>
      <c r="BT86" s="6">
        <f t="shared" si="103"/>
        <v>0</v>
      </c>
      <c r="BU86" s="6">
        <f t="shared" si="103"/>
        <v>0</v>
      </c>
      <c r="BV86" s="6">
        <f t="shared" si="103"/>
        <v>0</v>
      </c>
      <c r="BW86" s="6">
        <f t="shared" si="103"/>
        <v>0</v>
      </c>
      <c r="BX86" s="6">
        <f t="shared" si="103"/>
        <v>0</v>
      </c>
      <c r="BY86" s="6">
        <f t="shared" si="103"/>
        <v>0</v>
      </c>
      <c r="BZ86" s="6">
        <f t="shared" si="103"/>
        <v>0</v>
      </c>
      <c r="CA86" s="6">
        <f t="shared" si="103"/>
        <v>0</v>
      </c>
      <c r="CB86" s="6">
        <f t="shared" si="103"/>
        <v>0</v>
      </c>
      <c r="CC86" s="6">
        <f t="shared" si="103"/>
        <v>0</v>
      </c>
      <c r="CD86" s="6">
        <f t="shared" si="103"/>
        <v>0</v>
      </c>
      <c r="CE86" s="6">
        <f t="shared" si="103"/>
        <v>0</v>
      </c>
      <c r="CF86" s="6">
        <f t="shared" si="103"/>
        <v>0</v>
      </c>
      <c r="CG86" s="6">
        <f t="shared" si="103"/>
        <v>0</v>
      </c>
      <c r="CH86" s="6">
        <f t="shared" si="103"/>
        <v>0</v>
      </c>
      <c r="CI86" s="6">
        <f t="shared" si="103"/>
        <v>0</v>
      </c>
      <c r="CJ86" s="6">
        <f t="shared" si="103"/>
        <v>0</v>
      </c>
      <c r="CK86" s="6">
        <f t="shared" si="103"/>
        <v>0</v>
      </c>
      <c r="CL86" s="6">
        <f t="shared" si="103"/>
        <v>0</v>
      </c>
      <c r="CM86" s="6">
        <f t="shared" si="103"/>
        <v>0</v>
      </c>
      <c r="CN86" s="6">
        <f t="shared" si="103"/>
        <v>0</v>
      </c>
      <c r="CO86" s="6">
        <f t="shared" si="103"/>
        <v>10.589252269125488</v>
      </c>
      <c r="CP86" s="6">
        <f t="shared" si="103"/>
        <v>0</v>
      </c>
      <c r="CQ86" s="6">
        <f t="shared" si="103"/>
        <v>0</v>
      </c>
      <c r="CR86" s="6">
        <f t="shared" si="103"/>
        <v>0</v>
      </c>
      <c r="CS86" s="6">
        <f t="shared" si="103"/>
        <v>0</v>
      </c>
      <c r="CT86" s="6">
        <f t="shared" si="103"/>
        <v>0</v>
      </c>
      <c r="CU86" s="6">
        <f t="shared" si="103"/>
        <v>0</v>
      </c>
      <c r="CV86" s="6">
        <f t="shared" si="103"/>
        <v>0</v>
      </c>
      <c r="CW86" s="6">
        <f t="shared" si="103"/>
        <v>0</v>
      </c>
      <c r="CX86" s="6">
        <f t="shared" si="103"/>
        <v>0</v>
      </c>
      <c r="CY86" s="6">
        <f t="shared" si="103"/>
        <v>31.695721077654518</v>
      </c>
      <c r="CZ86" s="6">
        <f t="shared" si="103"/>
        <v>0</v>
      </c>
      <c r="DA86" s="6">
        <f t="shared" si="103"/>
        <v>0</v>
      </c>
      <c r="DB86" s="6">
        <f t="shared" si="105"/>
        <v>0</v>
      </c>
      <c r="DC86" s="6">
        <f t="shared" si="105"/>
        <v>0</v>
      </c>
      <c r="DD86" s="6">
        <f t="shared" si="105"/>
        <v>0</v>
      </c>
      <c r="DE86" s="6">
        <f t="shared" si="105"/>
        <v>0</v>
      </c>
      <c r="DF86" s="6">
        <f t="shared" si="105"/>
        <v>0</v>
      </c>
      <c r="DG86" s="6">
        <f t="shared" si="105"/>
        <v>0</v>
      </c>
      <c r="DH86" s="6">
        <f t="shared" si="105"/>
        <v>0</v>
      </c>
      <c r="DI86" s="6">
        <f t="shared" si="105"/>
        <v>0</v>
      </c>
      <c r="DJ86" s="6">
        <f t="shared" si="105"/>
        <v>0</v>
      </c>
      <c r="DK86" s="6">
        <f t="shared" si="105"/>
        <v>0</v>
      </c>
      <c r="DL86" s="6">
        <f t="shared" si="105"/>
        <v>19.017432646592709</v>
      </c>
      <c r="DM86" s="6">
        <f t="shared" si="105"/>
        <v>0</v>
      </c>
      <c r="DN86" s="6">
        <f t="shared" si="105"/>
        <v>0</v>
      </c>
      <c r="DO86" s="6">
        <f t="shared" si="105"/>
        <v>0</v>
      </c>
      <c r="DP86" s="6">
        <f t="shared" si="105"/>
        <v>0</v>
      </c>
      <c r="DQ86" s="6">
        <f t="shared" si="105"/>
        <v>39.61965134706815</v>
      </c>
      <c r="DR86" s="6">
        <f t="shared" si="105"/>
        <v>0</v>
      </c>
      <c r="DS86" s="6">
        <f t="shared" si="105"/>
        <v>0</v>
      </c>
      <c r="DT86" s="6">
        <f t="shared" si="105"/>
        <v>0</v>
      </c>
      <c r="DU86" s="6">
        <f t="shared" si="105"/>
        <v>0</v>
      </c>
      <c r="DV86" s="198">
        <f t="shared" si="95"/>
        <v>0</v>
      </c>
      <c r="DW86" s="63">
        <f t="shared" si="95"/>
        <v>0</v>
      </c>
      <c r="DX86" s="28">
        <f t="shared" si="90"/>
        <v>191.07953765540151</v>
      </c>
      <c r="FD86" s="73" t="s">
        <v>206</v>
      </c>
      <c r="FE86" s="63">
        <f ca="1">SUM((INDIRECT(FE$9&amp;ROW()):(INDIRECT(FE$10&amp;ROW()))))</f>
        <v>0</v>
      </c>
      <c r="FF86" s="63">
        <f ca="1">SUM((INDIRECT(FF$9&amp;ROW()):(INDIRECT(FF$10&amp;ROW()))))</f>
        <v>7.0866141732283472</v>
      </c>
      <c r="FG86" s="63">
        <f ca="1">SUM((INDIRECT(FG$9&amp;ROW()):(INDIRECT(FG$10&amp;ROW()))))</f>
        <v>83.070866141732296</v>
      </c>
      <c r="FH86" s="63">
        <f ca="1">SUM((INDIRECT(FH$9&amp;ROW()):(INDIRECT(FH$10&amp;ROW()))))</f>
        <v>0</v>
      </c>
      <c r="FI86" s="63">
        <f ca="1">SUM((INDIRECT(FI$9&amp;ROW()):(INDIRECT(FI$10&amp;ROW()))))</f>
        <v>42.284973346780006</v>
      </c>
      <c r="FJ86" s="63">
        <f ca="1">SUM((INDIRECT(FJ$9&amp;ROW()):(INDIRECT(FJ$10&amp;ROW()))))</f>
        <v>58.637083993660859</v>
      </c>
      <c r="FK86" s="63" t="e">
        <f ca="1">SUM((INDIRECT(FK$9&amp;ROW()):(INDIRECT(FK$10&amp;ROW()))))</f>
        <v>#REF!</v>
      </c>
      <c r="FL86" s="63" t="e">
        <f ca="1">SUM((INDIRECT(FL$9&amp;ROW()):(INDIRECT(FL$10&amp;ROW()))))</f>
        <v>#REF!</v>
      </c>
      <c r="FN86" s="28">
        <f t="shared" ca="1" si="91"/>
        <v>191.07953765540151</v>
      </c>
      <c r="FP86" s="14">
        <f t="shared" ca="1" si="96"/>
        <v>1.5923294804616792</v>
      </c>
    </row>
    <row r="87" spans="1:178" ht="15" outlineLevel="1" thickBot="1">
      <c r="A87" t="s">
        <v>136</v>
      </c>
      <c r="B87" t="s">
        <v>24</v>
      </c>
      <c r="C87" s="74" t="s">
        <v>136</v>
      </c>
      <c r="D87" s="6"/>
      <c r="E87" s="6">
        <f t="shared" si="84"/>
        <v>494.02</v>
      </c>
      <c r="F87" s="6">
        <f t="shared" si="92"/>
        <v>0</v>
      </c>
      <c r="G87" s="6">
        <f t="shared" si="104"/>
        <v>0</v>
      </c>
      <c r="H87" s="6">
        <f t="shared" si="104"/>
        <v>0</v>
      </c>
      <c r="I87" s="6">
        <f t="shared" si="104"/>
        <v>0</v>
      </c>
      <c r="J87" s="6">
        <f t="shared" si="104"/>
        <v>0</v>
      </c>
      <c r="K87" s="6">
        <f t="shared" si="104"/>
        <v>0</v>
      </c>
      <c r="L87" s="6">
        <f t="shared" si="104"/>
        <v>0</v>
      </c>
      <c r="M87" s="6">
        <f t="shared" si="104"/>
        <v>0</v>
      </c>
      <c r="N87" s="6">
        <f t="shared" si="104"/>
        <v>0</v>
      </c>
      <c r="O87" s="6">
        <f t="shared" si="104"/>
        <v>0</v>
      </c>
      <c r="P87" s="6">
        <f t="shared" si="104"/>
        <v>0</v>
      </c>
      <c r="Q87" s="6">
        <f t="shared" si="104"/>
        <v>0</v>
      </c>
      <c r="R87" s="6">
        <f t="shared" si="104"/>
        <v>0</v>
      </c>
      <c r="S87" s="6">
        <f t="shared" si="104"/>
        <v>0</v>
      </c>
      <c r="T87" s="6">
        <f t="shared" si="104"/>
        <v>0</v>
      </c>
      <c r="U87" s="6">
        <f t="shared" si="104"/>
        <v>0</v>
      </c>
      <c r="V87" s="6">
        <f t="shared" si="104"/>
        <v>0</v>
      </c>
      <c r="W87" s="6">
        <f t="shared" si="104"/>
        <v>9.8425196850393704</v>
      </c>
      <c r="X87" s="6">
        <f t="shared" si="104"/>
        <v>0</v>
      </c>
      <c r="Y87" s="6">
        <f t="shared" si="104"/>
        <v>15.354330708661418</v>
      </c>
      <c r="Z87" s="6">
        <f t="shared" si="104"/>
        <v>0</v>
      </c>
      <c r="AA87" s="6">
        <f t="shared" si="104"/>
        <v>39.370078740157481</v>
      </c>
      <c r="AB87" s="6">
        <f t="shared" si="104"/>
        <v>0</v>
      </c>
      <c r="AC87" s="6">
        <f t="shared" si="104"/>
        <v>0</v>
      </c>
      <c r="AD87" s="6">
        <f t="shared" si="104"/>
        <v>0</v>
      </c>
      <c r="AE87" s="6">
        <f t="shared" si="104"/>
        <v>17.716535433070867</v>
      </c>
      <c r="AF87" s="6">
        <f t="shared" si="104"/>
        <v>0</v>
      </c>
      <c r="AG87" s="6">
        <f t="shared" si="104"/>
        <v>0</v>
      </c>
      <c r="AH87" s="6">
        <f t="shared" si="104"/>
        <v>0</v>
      </c>
      <c r="AI87" s="6">
        <f t="shared" si="104"/>
        <v>0</v>
      </c>
      <c r="AJ87" s="6">
        <f t="shared" si="104"/>
        <v>0</v>
      </c>
      <c r="AK87" s="6">
        <f t="shared" si="104"/>
        <v>0</v>
      </c>
      <c r="AL87" s="6">
        <f t="shared" si="104"/>
        <v>0</v>
      </c>
      <c r="AM87" s="6">
        <f t="shared" si="104"/>
        <v>0</v>
      </c>
      <c r="AN87" s="6">
        <f t="shared" si="104"/>
        <v>0</v>
      </c>
      <c r="AO87" s="6">
        <f t="shared" si="104"/>
        <v>0</v>
      </c>
      <c r="AP87" s="6">
        <f t="shared" si="104"/>
        <v>0</v>
      </c>
      <c r="AQ87" s="6">
        <f t="shared" si="104"/>
        <v>0</v>
      </c>
      <c r="AR87" s="6">
        <f t="shared" si="104"/>
        <v>0</v>
      </c>
      <c r="AS87" s="6">
        <f t="shared" si="104"/>
        <v>0</v>
      </c>
      <c r="AT87" s="6">
        <f t="shared" si="104"/>
        <v>8.4168336673346698</v>
      </c>
      <c r="AU87" s="6">
        <f t="shared" si="104"/>
        <v>0</v>
      </c>
      <c r="AV87" s="6">
        <f t="shared" si="104"/>
        <v>0</v>
      </c>
      <c r="AW87" s="6">
        <f t="shared" si="104"/>
        <v>0</v>
      </c>
      <c r="AX87" s="6">
        <f t="shared" si="104"/>
        <v>0</v>
      </c>
      <c r="AY87" s="6">
        <f t="shared" si="104"/>
        <v>0</v>
      </c>
      <c r="AZ87" s="6">
        <f t="shared" si="104"/>
        <v>0</v>
      </c>
      <c r="BA87" s="6">
        <f t="shared" si="104"/>
        <v>0</v>
      </c>
      <c r="BB87" s="6">
        <f t="shared" si="104"/>
        <v>298.59719438877755</v>
      </c>
      <c r="BC87" s="6">
        <f t="shared" si="104"/>
        <v>0</v>
      </c>
      <c r="BD87" s="6">
        <f t="shared" si="104"/>
        <v>0</v>
      </c>
      <c r="BE87" s="6">
        <f t="shared" si="104"/>
        <v>0</v>
      </c>
      <c r="BF87" s="6">
        <f t="shared" si="104"/>
        <v>0</v>
      </c>
      <c r="BG87" s="6">
        <f t="shared" si="104"/>
        <v>0</v>
      </c>
      <c r="BH87" s="6">
        <f t="shared" si="104"/>
        <v>39.61965134706815</v>
      </c>
      <c r="BI87" s="6">
        <f t="shared" si="104"/>
        <v>0</v>
      </c>
      <c r="BJ87" s="6">
        <f t="shared" si="104"/>
        <v>39.61965134706815</v>
      </c>
      <c r="BK87" s="6">
        <f t="shared" si="104"/>
        <v>0</v>
      </c>
      <c r="BL87" s="6">
        <f t="shared" si="104"/>
        <v>0</v>
      </c>
      <c r="BM87" s="6">
        <f t="shared" si="104"/>
        <v>0</v>
      </c>
      <c r="BN87" s="6">
        <f t="shared" si="104"/>
        <v>0</v>
      </c>
      <c r="BO87" s="6">
        <f t="shared" si="104"/>
        <v>26.426307448494455</v>
      </c>
      <c r="BP87" s="6">
        <f t="shared" si="104"/>
        <v>0</v>
      </c>
      <c r="BQ87" s="6">
        <f t="shared" si="104"/>
        <v>0</v>
      </c>
      <c r="BR87" s="6">
        <f t="shared" si="104"/>
        <v>0</v>
      </c>
      <c r="BS87" s="6">
        <f t="shared" si="103"/>
        <v>0</v>
      </c>
      <c r="BT87" s="6">
        <f t="shared" si="103"/>
        <v>0</v>
      </c>
      <c r="BU87" s="6">
        <f t="shared" si="103"/>
        <v>0</v>
      </c>
      <c r="BV87" s="6">
        <f t="shared" si="103"/>
        <v>0</v>
      </c>
      <c r="BW87" s="6">
        <f t="shared" si="103"/>
        <v>0</v>
      </c>
      <c r="BX87" s="6">
        <f t="shared" si="103"/>
        <v>0</v>
      </c>
      <c r="BY87" s="6">
        <f t="shared" si="103"/>
        <v>59.429477020602221</v>
      </c>
      <c r="BZ87" s="6">
        <f t="shared" si="103"/>
        <v>0</v>
      </c>
      <c r="CA87" s="6">
        <f t="shared" si="103"/>
        <v>0</v>
      </c>
      <c r="CB87" s="6">
        <f t="shared" si="103"/>
        <v>0</v>
      </c>
      <c r="CC87" s="6">
        <f t="shared" si="103"/>
        <v>0</v>
      </c>
      <c r="CD87" s="6">
        <f t="shared" si="103"/>
        <v>0</v>
      </c>
      <c r="CE87" s="6">
        <f t="shared" si="103"/>
        <v>0</v>
      </c>
      <c r="CF87" s="6">
        <f t="shared" si="103"/>
        <v>0</v>
      </c>
      <c r="CG87" s="6">
        <f t="shared" si="103"/>
        <v>0</v>
      </c>
      <c r="CH87" s="6">
        <f t="shared" si="103"/>
        <v>0</v>
      </c>
      <c r="CI87" s="6">
        <f t="shared" si="103"/>
        <v>0</v>
      </c>
      <c r="CJ87" s="6">
        <f t="shared" si="103"/>
        <v>0</v>
      </c>
      <c r="CK87" s="6">
        <f t="shared" si="103"/>
        <v>0</v>
      </c>
      <c r="CL87" s="6">
        <f t="shared" si="103"/>
        <v>19.809825673534075</v>
      </c>
      <c r="CM87" s="6">
        <f t="shared" si="103"/>
        <v>0</v>
      </c>
      <c r="CN87" s="6">
        <f t="shared" si="103"/>
        <v>0</v>
      </c>
      <c r="CO87" s="6">
        <f t="shared" si="103"/>
        <v>0</v>
      </c>
      <c r="CP87" s="6">
        <f t="shared" si="103"/>
        <v>0</v>
      </c>
      <c r="CQ87" s="6">
        <f t="shared" si="103"/>
        <v>0</v>
      </c>
      <c r="CR87" s="6">
        <f t="shared" si="103"/>
        <v>0</v>
      </c>
      <c r="CS87" s="6">
        <f t="shared" si="103"/>
        <v>0</v>
      </c>
      <c r="CT87" s="6">
        <f t="shared" si="103"/>
        <v>0</v>
      </c>
      <c r="CU87" s="6">
        <f t="shared" si="103"/>
        <v>0</v>
      </c>
      <c r="CV87" s="6">
        <f t="shared" si="103"/>
        <v>0</v>
      </c>
      <c r="CW87" s="6">
        <f t="shared" si="103"/>
        <v>0</v>
      </c>
      <c r="CX87" s="6">
        <f t="shared" si="103"/>
        <v>9.9049128367670374</v>
      </c>
      <c r="CY87" s="6">
        <f t="shared" si="103"/>
        <v>0</v>
      </c>
      <c r="CZ87" s="6">
        <f t="shared" si="103"/>
        <v>55.467511885895405</v>
      </c>
      <c r="DA87" s="6">
        <f t="shared" si="103"/>
        <v>0</v>
      </c>
      <c r="DB87" s="6">
        <f t="shared" si="105"/>
        <v>0</v>
      </c>
      <c r="DC87" s="6">
        <f t="shared" si="105"/>
        <v>9.5087163232963547</v>
      </c>
      <c r="DD87" s="6">
        <f t="shared" si="105"/>
        <v>89.144215530903338</v>
      </c>
      <c r="DE87" s="6">
        <f t="shared" si="105"/>
        <v>0</v>
      </c>
      <c r="DF87" s="6">
        <f t="shared" si="105"/>
        <v>0</v>
      </c>
      <c r="DG87" s="6">
        <f t="shared" si="105"/>
        <v>0</v>
      </c>
      <c r="DH87" s="6">
        <f t="shared" si="105"/>
        <v>39.61965134706815</v>
      </c>
      <c r="DI87" s="6">
        <f t="shared" si="105"/>
        <v>0</v>
      </c>
      <c r="DJ87" s="6">
        <f t="shared" si="105"/>
        <v>0</v>
      </c>
      <c r="DK87" s="6">
        <f t="shared" si="105"/>
        <v>0</v>
      </c>
      <c r="DL87" s="6">
        <f t="shared" si="105"/>
        <v>0</v>
      </c>
      <c r="DM87" s="6">
        <f t="shared" si="105"/>
        <v>0</v>
      </c>
      <c r="DN87" s="6">
        <f t="shared" si="105"/>
        <v>0</v>
      </c>
      <c r="DO87" s="6">
        <f t="shared" si="105"/>
        <v>0</v>
      </c>
      <c r="DP87" s="6">
        <f t="shared" si="105"/>
        <v>19.413629160063394</v>
      </c>
      <c r="DQ87" s="6">
        <f t="shared" si="105"/>
        <v>41.600633914421557</v>
      </c>
      <c r="DR87" s="6">
        <f t="shared" si="105"/>
        <v>15.847860538827259</v>
      </c>
      <c r="DS87" s="6">
        <f t="shared" si="105"/>
        <v>0</v>
      </c>
      <c r="DT87" s="6">
        <f t="shared" si="105"/>
        <v>0</v>
      </c>
      <c r="DU87" s="6">
        <f t="shared" si="105"/>
        <v>0</v>
      </c>
      <c r="DV87" s="198">
        <f t="shared" si="95"/>
        <v>0</v>
      </c>
      <c r="DW87" s="63">
        <f t="shared" si="95"/>
        <v>0</v>
      </c>
      <c r="DX87" s="28">
        <f t="shared" si="90"/>
        <v>1348.7295369970504</v>
      </c>
      <c r="DY87" s="16">
        <v>0</v>
      </c>
      <c r="FD87" s="74" t="s">
        <v>136</v>
      </c>
      <c r="FE87" s="63">
        <f ca="1">SUM((INDIRECT(FE$9&amp;ROW()):(INDIRECT(FE$10&amp;ROW()))))</f>
        <v>494.02</v>
      </c>
      <c r="FF87" s="63">
        <f ca="1">SUM((INDIRECT(FF$9&amp;ROW()):(INDIRECT(FF$10&amp;ROW()))))</f>
        <v>9.8425196850393704</v>
      </c>
      <c r="FG87" s="63">
        <f ca="1">SUM((INDIRECT(FG$9&amp;ROW()):(INDIRECT(FG$10&amp;ROW()))))</f>
        <v>379.45497293800202</v>
      </c>
      <c r="FH87" s="63">
        <f ca="1">SUM((INDIRECT(FH$9&amp;ROW()):(INDIRECT(FH$10&amp;ROW()))))</f>
        <v>165.09508716323296</v>
      </c>
      <c r="FI87" s="63">
        <f ca="1">SUM((INDIRECT(FI$9&amp;ROW()):(INDIRECT(FI$10&amp;ROW()))))</f>
        <v>223.45483359746436</v>
      </c>
      <c r="FJ87" s="63">
        <f ca="1">SUM((INDIRECT(FJ$9&amp;ROW()):(INDIRECT(FJ$10&amp;ROW()))))</f>
        <v>76.862123613312207</v>
      </c>
      <c r="FK87" s="63" t="e">
        <f ca="1">SUM((INDIRECT(FK$9&amp;ROW()):(INDIRECT(FK$10&amp;ROW()))))</f>
        <v>#REF!</v>
      </c>
      <c r="FL87" s="63" t="e">
        <f ca="1">SUM((INDIRECT(FL$9&amp;ROW()):(INDIRECT(FL$10&amp;ROW()))))</f>
        <v>#REF!</v>
      </c>
      <c r="FN87" s="28">
        <f t="shared" ca="1" si="91"/>
        <v>1348.7295369970509</v>
      </c>
      <c r="FP87" s="14">
        <f t="shared" ca="1" si="96"/>
        <v>11.239412808308758</v>
      </c>
      <c r="FQ87" s="14">
        <f ca="1">SUM(FP85:FP87)</f>
        <v>12.933448325515844</v>
      </c>
      <c r="FS87" s="142">
        <f ca="1">FQ87*FS$71</f>
        <v>582.00517464821303</v>
      </c>
      <c r="FV87">
        <v>400</v>
      </c>
    </row>
    <row r="88" spans="1:178" ht="15" outlineLevel="1" thickBot="1">
      <c r="A88" t="s">
        <v>564</v>
      </c>
      <c r="B88" t="s">
        <v>558</v>
      </c>
      <c r="C88" s="74" t="s">
        <v>564</v>
      </c>
      <c r="D88" s="6"/>
      <c r="E88" s="6">
        <f t="shared" si="84"/>
        <v>0</v>
      </c>
      <c r="F88" s="6">
        <f t="shared" si="92"/>
        <v>0</v>
      </c>
      <c r="G88" s="6">
        <f t="shared" si="104"/>
        <v>0</v>
      </c>
      <c r="H88" s="6">
        <f t="shared" si="104"/>
        <v>0</v>
      </c>
      <c r="I88" s="6">
        <f t="shared" si="104"/>
        <v>0</v>
      </c>
      <c r="J88" s="6">
        <f t="shared" si="104"/>
        <v>0</v>
      </c>
      <c r="K88" s="6">
        <f t="shared" si="104"/>
        <v>0</v>
      </c>
      <c r="L88" s="6">
        <f t="shared" si="104"/>
        <v>0</v>
      </c>
      <c r="M88" s="6">
        <f t="shared" si="104"/>
        <v>0</v>
      </c>
      <c r="N88" s="6">
        <f t="shared" si="104"/>
        <v>0</v>
      </c>
      <c r="O88" s="6">
        <f t="shared" si="104"/>
        <v>0</v>
      </c>
      <c r="P88" s="6">
        <f t="shared" si="104"/>
        <v>0</v>
      </c>
      <c r="Q88" s="6">
        <f t="shared" si="104"/>
        <v>0</v>
      </c>
      <c r="R88" s="6">
        <f t="shared" si="104"/>
        <v>0</v>
      </c>
      <c r="S88" s="6">
        <f t="shared" si="104"/>
        <v>0</v>
      </c>
      <c r="T88" s="6">
        <f t="shared" si="104"/>
        <v>0</v>
      </c>
      <c r="U88" s="6">
        <f t="shared" si="104"/>
        <v>0</v>
      </c>
      <c r="V88" s="6">
        <f t="shared" si="104"/>
        <v>0</v>
      </c>
      <c r="W88" s="6">
        <f t="shared" si="104"/>
        <v>0</v>
      </c>
      <c r="X88" s="6">
        <f t="shared" si="104"/>
        <v>0</v>
      </c>
      <c r="Y88" s="6">
        <f t="shared" si="104"/>
        <v>0</v>
      </c>
      <c r="Z88" s="6">
        <f t="shared" si="104"/>
        <v>0</v>
      </c>
      <c r="AA88" s="6">
        <f t="shared" si="104"/>
        <v>0</v>
      </c>
      <c r="AB88" s="6">
        <f t="shared" si="104"/>
        <v>0</v>
      </c>
      <c r="AC88" s="6">
        <f t="shared" si="104"/>
        <v>0</v>
      </c>
      <c r="AD88" s="6">
        <f t="shared" si="104"/>
        <v>0</v>
      </c>
      <c r="AE88" s="6">
        <f t="shared" si="104"/>
        <v>0</v>
      </c>
      <c r="AF88" s="6">
        <f t="shared" si="104"/>
        <v>0</v>
      </c>
      <c r="AG88" s="6">
        <f t="shared" si="104"/>
        <v>0</v>
      </c>
      <c r="AH88" s="6">
        <f t="shared" si="104"/>
        <v>0</v>
      </c>
      <c r="AI88" s="6">
        <f t="shared" si="104"/>
        <v>0</v>
      </c>
      <c r="AJ88" s="6">
        <f t="shared" si="104"/>
        <v>0</v>
      </c>
      <c r="AK88" s="6">
        <f t="shared" si="104"/>
        <v>0</v>
      </c>
      <c r="AL88" s="6">
        <f t="shared" si="104"/>
        <v>0</v>
      </c>
      <c r="AM88" s="6">
        <f t="shared" si="104"/>
        <v>0</v>
      </c>
      <c r="AN88" s="6">
        <f t="shared" si="104"/>
        <v>0</v>
      </c>
      <c r="AO88" s="6">
        <f t="shared" si="104"/>
        <v>0</v>
      </c>
      <c r="AP88" s="6">
        <f t="shared" si="104"/>
        <v>0</v>
      </c>
      <c r="AQ88" s="6">
        <f t="shared" si="104"/>
        <v>0</v>
      </c>
      <c r="AR88" s="6">
        <f t="shared" si="104"/>
        <v>0</v>
      </c>
      <c r="AS88" s="6">
        <f t="shared" si="104"/>
        <v>0</v>
      </c>
      <c r="AT88" s="6">
        <f t="shared" si="104"/>
        <v>0</v>
      </c>
      <c r="AU88" s="6">
        <f t="shared" si="104"/>
        <v>0</v>
      </c>
      <c r="AV88" s="6">
        <f t="shared" si="104"/>
        <v>0</v>
      </c>
      <c r="AW88" s="6">
        <f t="shared" si="104"/>
        <v>0</v>
      </c>
      <c r="AX88" s="6">
        <f t="shared" si="104"/>
        <v>0</v>
      </c>
      <c r="AY88" s="6">
        <f t="shared" si="104"/>
        <v>0</v>
      </c>
      <c r="AZ88" s="6">
        <f t="shared" si="104"/>
        <v>0</v>
      </c>
      <c r="BA88" s="6">
        <f t="shared" si="104"/>
        <v>0</v>
      </c>
      <c r="BB88" s="6">
        <f t="shared" si="104"/>
        <v>0</v>
      </c>
      <c r="BC88" s="6">
        <f t="shared" si="104"/>
        <v>0</v>
      </c>
      <c r="BD88" s="6">
        <f t="shared" si="104"/>
        <v>0</v>
      </c>
      <c r="BE88" s="6">
        <f t="shared" si="104"/>
        <v>0</v>
      </c>
      <c r="BF88" s="6">
        <f t="shared" si="104"/>
        <v>0</v>
      </c>
      <c r="BG88" s="6">
        <f t="shared" si="104"/>
        <v>0</v>
      </c>
      <c r="BH88" s="6">
        <f t="shared" si="104"/>
        <v>0</v>
      </c>
      <c r="BI88" s="6">
        <f t="shared" si="104"/>
        <v>0</v>
      </c>
      <c r="BJ88" s="6">
        <f t="shared" si="104"/>
        <v>0</v>
      </c>
      <c r="BK88" s="6">
        <f t="shared" si="104"/>
        <v>0</v>
      </c>
      <c r="BL88" s="6">
        <f t="shared" si="104"/>
        <v>0</v>
      </c>
      <c r="BM88" s="6">
        <f t="shared" si="104"/>
        <v>0</v>
      </c>
      <c r="BN88" s="6">
        <f t="shared" si="104"/>
        <v>0</v>
      </c>
      <c r="BO88" s="6">
        <f t="shared" si="104"/>
        <v>0</v>
      </c>
      <c r="BP88" s="6">
        <f t="shared" si="104"/>
        <v>0</v>
      </c>
      <c r="BQ88" s="6">
        <f t="shared" si="104"/>
        <v>0</v>
      </c>
      <c r="BR88" s="6">
        <f t="shared" ref="BR88:DA89" si="106">+SUMIF($C$12:$C$29,$C88,BR$12:BR$29)/BR$6+SUMIF($C$47:$C$63,$C88,BR$47:BR$64)</f>
        <v>0</v>
      </c>
      <c r="BS88" s="6">
        <f t="shared" si="106"/>
        <v>0</v>
      </c>
      <c r="BT88" s="6">
        <f t="shared" si="106"/>
        <v>0</v>
      </c>
      <c r="BU88" s="6">
        <f t="shared" si="106"/>
        <v>0</v>
      </c>
      <c r="BV88" s="6">
        <f t="shared" si="106"/>
        <v>0</v>
      </c>
      <c r="BW88" s="6">
        <f t="shared" si="106"/>
        <v>0</v>
      </c>
      <c r="BX88" s="6">
        <f t="shared" si="106"/>
        <v>0</v>
      </c>
      <c r="BY88" s="6">
        <f t="shared" si="106"/>
        <v>0</v>
      </c>
      <c r="BZ88" s="6">
        <f t="shared" si="106"/>
        <v>0</v>
      </c>
      <c r="CA88" s="6">
        <f t="shared" si="106"/>
        <v>0</v>
      </c>
      <c r="CB88" s="6">
        <f t="shared" si="106"/>
        <v>0</v>
      </c>
      <c r="CC88" s="6">
        <f t="shared" si="106"/>
        <v>0</v>
      </c>
      <c r="CD88" s="6">
        <f t="shared" si="106"/>
        <v>0</v>
      </c>
      <c r="CE88" s="6">
        <f t="shared" si="106"/>
        <v>0</v>
      </c>
      <c r="CF88" s="6">
        <f t="shared" si="106"/>
        <v>0</v>
      </c>
      <c r="CG88" s="6">
        <f t="shared" si="106"/>
        <v>0</v>
      </c>
      <c r="CH88" s="6">
        <f t="shared" si="106"/>
        <v>0</v>
      </c>
      <c r="CI88" s="6">
        <f t="shared" si="106"/>
        <v>0</v>
      </c>
      <c r="CJ88" s="6">
        <f t="shared" si="106"/>
        <v>0</v>
      </c>
      <c r="CK88" s="6">
        <f t="shared" si="106"/>
        <v>0</v>
      </c>
      <c r="CL88" s="6">
        <f t="shared" si="106"/>
        <v>0</v>
      </c>
      <c r="CM88" s="6">
        <f t="shared" si="106"/>
        <v>0</v>
      </c>
      <c r="CN88" s="6">
        <f t="shared" si="106"/>
        <v>0</v>
      </c>
      <c r="CO88" s="6">
        <f t="shared" si="106"/>
        <v>0</v>
      </c>
      <c r="CP88" s="6">
        <f t="shared" si="106"/>
        <v>0</v>
      </c>
      <c r="CQ88" s="6">
        <f t="shared" si="106"/>
        <v>0</v>
      </c>
      <c r="CR88" s="6">
        <f t="shared" si="106"/>
        <v>0</v>
      </c>
      <c r="CS88" s="6">
        <f t="shared" si="106"/>
        <v>0</v>
      </c>
      <c r="CT88" s="6">
        <f t="shared" si="106"/>
        <v>0</v>
      </c>
      <c r="CU88" s="6">
        <f t="shared" si="106"/>
        <v>0</v>
      </c>
      <c r="CV88" s="6">
        <f t="shared" si="106"/>
        <v>0</v>
      </c>
      <c r="CW88" s="6">
        <f t="shared" si="106"/>
        <v>0</v>
      </c>
      <c r="CX88" s="6">
        <f t="shared" si="106"/>
        <v>0</v>
      </c>
      <c r="CY88" s="6">
        <f t="shared" si="106"/>
        <v>0</v>
      </c>
      <c r="CZ88" s="6">
        <f t="shared" si="106"/>
        <v>0</v>
      </c>
      <c r="DA88" s="6">
        <f t="shared" si="106"/>
        <v>0</v>
      </c>
      <c r="DB88" s="6">
        <f t="shared" si="105"/>
        <v>0</v>
      </c>
      <c r="DC88" s="6">
        <f t="shared" si="105"/>
        <v>0</v>
      </c>
      <c r="DD88" s="6">
        <f t="shared" si="105"/>
        <v>0</v>
      </c>
      <c r="DE88" s="6">
        <f t="shared" si="105"/>
        <v>0</v>
      </c>
      <c r="DF88" s="6">
        <f t="shared" si="105"/>
        <v>0</v>
      </c>
      <c r="DG88" s="6">
        <f t="shared" si="105"/>
        <v>0</v>
      </c>
      <c r="DH88" s="6">
        <f t="shared" si="105"/>
        <v>0</v>
      </c>
      <c r="DI88" s="6">
        <f t="shared" si="105"/>
        <v>0</v>
      </c>
      <c r="DJ88" s="6">
        <f t="shared" si="105"/>
        <v>0</v>
      </c>
      <c r="DK88" s="6">
        <f t="shared" si="105"/>
        <v>0</v>
      </c>
      <c r="DL88" s="6">
        <f t="shared" si="105"/>
        <v>0</v>
      </c>
      <c r="DM88" s="6">
        <f t="shared" si="105"/>
        <v>0</v>
      </c>
      <c r="DN88" s="6">
        <f t="shared" si="105"/>
        <v>0</v>
      </c>
      <c r="DO88" s="6">
        <f t="shared" si="105"/>
        <v>0</v>
      </c>
      <c r="DP88" s="6">
        <f t="shared" si="105"/>
        <v>0</v>
      </c>
      <c r="DQ88" s="6">
        <f t="shared" si="105"/>
        <v>0</v>
      </c>
      <c r="DR88" s="6">
        <f t="shared" si="105"/>
        <v>0</v>
      </c>
      <c r="DS88" s="6">
        <f t="shared" si="105"/>
        <v>0</v>
      </c>
      <c r="DT88" s="6">
        <f t="shared" si="105"/>
        <v>0</v>
      </c>
      <c r="DU88" s="6">
        <f t="shared" si="105"/>
        <v>0</v>
      </c>
      <c r="DV88" s="198"/>
      <c r="DW88" s="63"/>
      <c r="DX88" s="28">
        <f t="shared" si="90"/>
        <v>0</v>
      </c>
      <c r="DY88" s="16"/>
      <c r="FD88" s="74" t="s">
        <v>564</v>
      </c>
      <c r="FE88" s="63">
        <f ca="1">SUM((INDIRECT(FE$9&amp;ROW()):(INDIRECT(FE$10&amp;ROW()))))</f>
        <v>0</v>
      </c>
      <c r="FF88" s="63">
        <f ca="1">SUM((INDIRECT(FF$9&amp;ROW()):(INDIRECT(FF$10&amp;ROW()))))</f>
        <v>0</v>
      </c>
      <c r="FG88" s="63">
        <f ca="1">SUM((INDIRECT(FG$9&amp;ROW()):(INDIRECT(FG$10&amp;ROW()))))</f>
        <v>0</v>
      </c>
      <c r="FH88" s="63">
        <f ca="1">SUM((INDIRECT(FH$9&amp;ROW()):(INDIRECT(FH$10&amp;ROW()))))</f>
        <v>0</v>
      </c>
      <c r="FI88" s="63">
        <f ca="1">SUM((INDIRECT(FI$9&amp;ROW()):(INDIRECT(FI$10&amp;ROW()))))</f>
        <v>0</v>
      </c>
      <c r="FJ88" s="63">
        <f ca="1">SUM((INDIRECT(FJ$9&amp;ROW()):(INDIRECT(FJ$10&amp;ROW()))))</f>
        <v>0</v>
      </c>
      <c r="FK88" s="63" t="e">
        <f ca="1">SUM((INDIRECT(FK$9&amp;ROW()):(INDIRECT(FK$10&amp;ROW()))))</f>
        <v>#REF!</v>
      </c>
      <c r="FL88" s="63" t="e">
        <f ca="1">SUM((INDIRECT(FL$9&amp;ROW()):(INDIRECT(FL$10&amp;ROW()))))</f>
        <v>#REF!</v>
      </c>
      <c r="FN88" s="28">
        <f t="shared" ca="1" si="91"/>
        <v>0</v>
      </c>
      <c r="FP88" s="14">
        <f t="shared" ca="1" si="96"/>
        <v>0</v>
      </c>
    </row>
    <row r="89" spans="1:178" ht="15" outlineLevel="1" thickBot="1">
      <c r="A89" t="s">
        <v>549</v>
      </c>
      <c r="B89" t="s">
        <v>558</v>
      </c>
      <c r="C89" s="74" t="s">
        <v>549</v>
      </c>
      <c r="D89" s="6"/>
      <c r="E89" s="6">
        <f t="shared" si="84"/>
        <v>0</v>
      </c>
      <c r="F89" s="6">
        <f t="shared" si="92"/>
        <v>0</v>
      </c>
      <c r="G89" s="6">
        <f t="shared" ref="G89:BR89" si="107">+SUMIF($C$12:$C$29,$C89,G$12:G$29)/G$6+SUMIF($C$47:$C$63,$C89,G$47:G$64)</f>
        <v>0</v>
      </c>
      <c r="H89" s="6">
        <f t="shared" si="107"/>
        <v>0</v>
      </c>
      <c r="I89" s="6">
        <f t="shared" si="107"/>
        <v>0</v>
      </c>
      <c r="J89" s="6">
        <f t="shared" si="107"/>
        <v>0</v>
      </c>
      <c r="K89" s="6">
        <f t="shared" si="107"/>
        <v>0</v>
      </c>
      <c r="L89" s="6">
        <f t="shared" si="107"/>
        <v>0</v>
      </c>
      <c r="M89" s="6">
        <f t="shared" si="107"/>
        <v>0</v>
      </c>
      <c r="N89" s="6">
        <f t="shared" si="107"/>
        <v>0</v>
      </c>
      <c r="O89" s="6">
        <f t="shared" si="107"/>
        <v>0</v>
      </c>
      <c r="P89" s="6">
        <f t="shared" si="107"/>
        <v>0</v>
      </c>
      <c r="Q89" s="6">
        <f t="shared" si="107"/>
        <v>0</v>
      </c>
      <c r="R89" s="6">
        <f t="shared" si="107"/>
        <v>0</v>
      </c>
      <c r="S89" s="6">
        <f t="shared" si="107"/>
        <v>0</v>
      </c>
      <c r="T89" s="6">
        <f t="shared" si="107"/>
        <v>0</v>
      </c>
      <c r="U89" s="6">
        <f t="shared" si="107"/>
        <v>0</v>
      </c>
      <c r="V89" s="6">
        <f t="shared" si="107"/>
        <v>0</v>
      </c>
      <c r="W89" s="6">
        <f t="shared" si="107"/>
        <v>0</v>
      </c>
      <c r="X89" s="6">
        <f t="shared" si="107"/>
        <v>0</v>
      </c>
      <c r="Y89" s="6">
        <f t="shared" si="107"/>
        <v>0</v>
      </c>
      <c r="Z89" s="6">
        <f t="shared" si="107"/>
        <v>0</v>
      </c>
      <c r="AA89" s="6">
        <f t="shared" si="107"/>
        <v>0</v>
      </c>
      <c r="AB89" s="6">
        <f t="shared" si="107"/>
        <v>0</v>
      </c>
      <c r="AC89" s="6">
        <f t="shared" si="107"/>
        <v>0</v>
      </c>
      <c r="AD89" s="6">
        <f t="shared" si="107"/>
        <v>0</v>
      </c>
      <c r="AE89" s="6">
        <f t="shared" si="107"/>
        <v>0</v>
      </c>
      <c r="AF89" s="6">
        <f t="shared" si="107"/>
        <v>0</v>
      </c>
      <c r="AG89" s="6">
        <f t="shared" si="107"/>
        <v>0</v>
      </c>
      <c r="AH89" s="6">
        <f t="shared" si="107"/>
        <v>0</v>
      </c>
      <c r="AI89" s="6">
        <f t="shared" si="107"/>
        <v>0</v>
      </c>
      <c r="AJ89" s="6">
        <f t="shared" si="107"/>
        <v>0</v>
      </c>
      <c r="AK89" s="6">
        <f t="shared" si="107"/>
        <v>0</v>
      </c>
      <c r="AL89" s="6">
        <f t="shared" si="107"/>
        <v>0</v>
      </c>
      <c r="AM89" s="6">
        <f t="shared" si="107"/>
        <v>0</v>
      </c>
      <c r="AN89" s="6">
        <f t="shared" si="107"/>
        <v>0</v>
      </c>
      <c r="AO89" s="6">
        <f t="shared" si="107"/>
        <v>0</v>
      </c>
      <c r="AP89" s="6">
        <f t="shared" si="107"/>
        <v>0</v>
      </c>
      <c r="AQ89" s="6">
        <f t="shared" si="107"/>
        <v>0</v>
      </c>
      <c r="AR89" s="6">
        <f t="shared" si="107"/>
        <v>0</v>
      </c>
      <c r="AS89" s="6">
        <f t="shared" si="107"/>
        <v>0</v>
      </c>
      <c r="AT89" s="6">
        <f t="shared" si="107"/>
        <v>0</v>
      </c>
      <c r="AU89" s="6">
        <f t="shared" si="107"/>
        <v>0</v>
      </c>
      <c r="AV89" s="6">
        <f t="shared" si="107"/>
        <v>0</v>
      </c>
      <c r="AW89" s="6">
        <f t="shared" si="107"/>
        <v>0</v>
      </c>
      <c r="AX89" s="6">
        <f t="shared" si="107"/>
        <v>0</v>
      </c>
      <c r="AY89" s="6">
        <f t="shared" si="107"/>
        <v>0</v>
      </c>
      <c r="AZ89" s="6">
        <f t="shared" si="107"/>
        <v>0</v>
      </c>
      <c r="BA89" s="6">
        <f t="shared" si="107"/>
        <v>0</v>
      </c>
      <c r="BB89" s="6">
        <f t="shared" si="107"/>
        <v>0</v>
      </c>
      <c r="BC89" s="6">
        <f t="shared" si="107"/>
        <v>0</v>
      </c>
      <c r="BD89" s="6">
        <f t="shared" si="107"/>
        <v>0</v>
      </c>
      <c r="BE89" s="6">
        <f t="shared" si="107"/>
        <v>0</v>
      </c>
      <c r="BF89" s="6">
        <f t="shared" si="107"/>
        <v>0</v>
      </c>
      <c r="BG89" s="6">
        <f t="shared" si="107"/>
        <v>0</v>
      </c>
      <c r="BH89" s="6">
        <f t="shared" si="107"/>
        <v>0</v>
      </c>
      <c r="BI89" s="6">
        <f t="shared" si="107"/>
        <v>0</v>
      </c>
      <c r="BJ89" s="6">
        <f t="shared" si="107"/>
        <v>0</v>
      </c>
      <c r="BK89" s="6">
        <f t="shared" si="107"/>
        <v>0</v>
      </c>
      <c r="BL89" s="6">
        <f t="shared" si="107"/>
        <v>0</v>
      </c>
      <c r="BM89" s="6">
        <f t="shared" si="107"/>
        <v>0</v>
      </c>
      <c r="BN89" s="6">
        <f t="shared" si="107"/>
        <v>0</v>
      </c>
      <c r="BO89" s="6">
        <f t="shared" si="107"/>
        <v>0</v>
      </c>
      <c r="BP89" s="6">
        <f t="shared" si="107"/>
        <v>0</v>
      </c>
      <c r="BQ89" s="6">
        <f t="shared" si="107"/>
        <v>0</v>
      </c>
      <c r="BR89" s="6">
        <f t="shared" si="107"/>
        <v>0</v>
      </c>
      <c r="BS89" s="6">
        <f t="shared" si="106"/>
        <v>0</v>
      </c>
      <c r="BT89" s="6">
        <f t="shared" si="106"/>
        <v>0</v>
      </c>
      <c r="BU89" s="6">
        <f t="shared" si="106"/>
        <v>399.36608557844693</v>
      </c>
      <c r="BV89" s="6">
        <f t="shared" si="106"/>
        <v>0</v>
      </c>
      <c r="BW89" s="6">
        <f t="shared" si="106"/>
        <v>0</v>
      </c>
      <c r="BX89" s="6">
        <f t="shared" si="106"/>
        <v>0</v>
      </c>
      <c r="BY89" s="6">
        <f t="shared" si="106"/>
        <v>0</v>
      </c>
      <c r="BZ89" s="6">
        <f t="shared" si="106"/>
        <v>0</v>
      </c>
      <c r="CA89" s="6">
        <f t="shared" si="106"/>
        <v>0</v>
      </c>
      <c r="CB89" s="6">
        <f t="shared" si="106"/>
        <v>0</v>
      </c>
      <c r="CC89" s="6">
        <f t="shared" si="106"/>
        <v>0</v>
      </c>
      <c r="CD89" s="6">
        <f t="shared" si="106"/>
        <v>0</v>
      </c>
      <c r="CE89" s="6">
        <f t="shared" si="106"/>
        <v>0</v>
      </c>
      <c r="CF89" s="6">
        <f t="shared" si="106"/>
        <v>0</v>
      </c>
      <c r="CG89" s="6">
        <f t="shared" si="106"/>
        <v>0</v>
      </c>
      <c r="CH89" s="6">
        <f t="shared" si="106"/>
        <v>0</v>
      </c>
      <c r="CI89" s="6">
        <f t="shared" si="106"/>
        <v>0</v>
      </c>
      <c r="CJ89" s="6">
        <f t="shared" si="106"/>
        <v>0</v>
      </c>
      <c r="CK89" s="6">
        <f t="shared" si="106"/>
        <v>0</v>
      </c>
      <c r="CL89" s="6">
        <f t="shared" si="106"/>
        <v>0</v>
      </c>
      <c r="CM89" s="6">
        <f t="shared" si="106"/>
        <v>0</v>
      </c>
      <c r="CN89" s="6">
        <f t="shared" si="106"/>
        <v>0</v>
      </c>
      <c r="CO89" s="6">
        <f t="shared" si="106"/>
        <v>0</v>
      </c>
      <c r="CP89" s="6">
        <f t="shared" si="106"/>
        <v>0</v>
      </c>
      <c r="CQ89" s="6">
        <f t="shared" si="106"/>
        <v>0</v>
      </c>
      <c r="CR89" s="6">
        <f t="shared" si="106"/>
        <v>0</v>
      </c>
      <c r="CS89" s="6">
        <f t="shared" si="106"/>
        <v>0</v>
      </c>
      <c r="CT89" s="6">
        <f t="shared" si="106"/>
        <v>0</v>
      </c>
      <c r="CU89" s="6">
        <f t="shared" si="106"/>
        <v>0</v>
      </c>
      <c r="CV89" s="6">
        <f t="shared" si="106"/>
        <v>0</v>
      </c>
      <c r="CW89" s="6">
        <f t="shared" si="106"/>
        <v>0</v>
      </c>
      <c r="CX89" s="6">
        <f t="shared" si="106"/>
        <v>0</v>
      </c>
      <c r="CY89" s="6">
        <f t="shared" si="106"/>
        <v>0</v>
      </c>
      <c r="CZ89" s="6">
        <f t="shared" si="106"/>
        <v>0</v>
      </c>
      <c r="DA89" s="6">
        <f t="shared" si="106"/>
        <v>0</v>
      </c>
      <c r="DB89" s="6">
        <f t="shared" ref="DB89:DU89" si="108">+SUMIF($C$12:$C$29,$C89,DB$12:DB$29)/DB$6+SUMIF($C$46:$C$63,$C89,DB$47:DB$64)</f>
        <v>0</v>
      </c>
      <c r="DC89" s="6">
        <f t="shared" si="108"/>
        <v>0</v>
      </c>
      <c r="DD89" s="6">
        <f t="shared" si="108"/>
        <v>0</v>
      </c>
      <c r="DE89" s="6">
        <f t="shared" si="108"/>
        <v>0</v>
      </c>
      <c r="DF89" s="6">
        <f t="shared" si="108"/>
        <v>0</v>
      </c>
      <c r="DG89" s="6">
        <f t="shared" si="108"/>
        <v>0</v>
      </c>
      <c r="DH89" s="6">
        <f t="shared" si="108"/>
        <v>0</v>
      </c>
      <c r="DI89" s="6">
        <f t="shared" si="108"/>
        <v>0</v>
      </c>
      <c r="DJ89" s="6">
        <f t="shared" si="108"/>
        <v>0</v>
      </c>
      <c r="DK89" s="6">
        <f t="shared" si="108"/>
        <v>0</v>
      </c>
      <c r="DL89" s="6">
        <f t="shared" si="108"/>
        <v>0</v>
      </c>
      <c r="DM89" s="6">
        <f t="shared" si="108"/>
        <v>0</v>
      </c>
      <c r="DN89" s="6">
        <f t="shared" si="108"/>
        <v>0</v>
      </c>
      <c r="DO89" s="6">
        <f t="shared" si="108"/>
        <v>0</v>
      </c>
      <c r="DP89" s="6">
        <f t="shared" si="108"/>
        <v>0</v>
      </c>
      <c r="DQ89" s="6">
        <f t="shared" si="108"/>
        <v>0</v>
      </c>
      <c r="DR89" s="6">
        <f t="shared" si="108"/>
        <v>0</v>
      </c>
      <c r="DS89" s="6">
        <f t="shared" si="108"/>
        <v>0</v>
      </c>
      <c r="DT89" s="6">
        <f t="shared" si="108"/>
        <v>0</v>
      </c>
      <c r="DU89" s="6">
        <f t="shared" si="108"/>
        <v>0</v>
      </c>
      <c r="DV89" s="198"/>
      <c r="DW89" s="63"/>
      <c r="DX89" s="28">
        <f t="shared" si="90"/>
        <v>399.36608557844693</v>
      </c>
      <c r="DY89" s="16"/>
      <c r="FD89" s="74" t="s">
        <v>549</v>
      </c>
      <c r="FE89" s="63">
        <f ca="1">SUM((INDIRECT(FE$9&amp;ROW()):(INDIRECT(FE$10&amp;ROW()))))</f>
        <v>0</v>
      </c>
      <c r="FF89" s="63">
        <f ca="1">SUM((INDIRECT(FF$9&amp;ROW()):(INDIRECT(FF$10&amp;ROW()))))</f>
        <v>0</v>
      </c>
      <c r="FG89" s="63">
        <f ca="1">SUM((INDIRECT(FG$9&amp;ROW()):(INDIRECT(FG$10&amp;ROW()))))</f>
        <v>0</v>
      </c>
      <c r="FH89" s="63">
        <f ca="1">SUM((INDIRECT(FH$9&amp;ROW()):(INDIRECT(FH$10&amp;ROW()))))</f>
        <v>399.36608557844693</v>
      </c>
      <c r="FI89" s="63">
        <f ca="1">SUM((INDIRECT(FI$9&amp;ROW()):(INDIRECT(FI$10&amp;ROW()))))</f>
        <v>0</v>
      </c>
      <c r="FJ89" s="63">
        <f ca="1">SUM((INDIRECT(FJ$9&amp;ROW()):(INDIRECT(FJ$10&amp;ROW()))))</f>
        <v>0</v>
      </c>
      <c r="FK89" s="63" t="e">
        <f ca="1">SUM((INDIRECT(FK$9&amp;ROW()):(INDIRECT(FK$10&amp;ROW()))))</f>
        <v>#REF!</v>
      </c>
      <c r="FL89" s="63" t="e">
        <f ca="1">SUM((INDIRECT(FL$9&amp;ROW()):(INDIRECT(FL$10&amp;ROW()))))</f>
        <v>#REF!</v>
      </c>
      <c r="FN89" s="28">
        <f t="shared" ca="1" si="91"/>
        <v>399.36608557844693</v>
      </c>
      <c r="FP89" s="14">
        <f t="shared" ca="1" si="96"/>
        <v>3.3280507131537242</v>
      </c>
    </row>
    <row r="90" spans="1:178" outlineLevel="1">
      <c r="C90" s="2"/>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f>+SUMIF($C$12:$C$29,$C90,AV$12:AV$29)/AV$6+SUMIF($C$46:$C$63,$C90,AV$47:AV$64)</f>
        <v>0</v>
      </c>
      <c r="AW90" s="6">
        <f t="shared" ref="AW90:DU90" si="109">+SUMIF($C$12:$C$29,$C90,AW$12:AW$29)/AW$6+SUMIF($C$46:$C$63,$C90,AW$47:AW$64)</f>
        <v>0</v>
      </c>
      <c r="AX90" s="6">
        <f t="shared" si="109"/>
        <v>0</v>
      </c>
      <c r="AY90" s="6">
        <f t="shared" si="109"/>
        <v>0</v>
      </c>
      <c r="AZ90" s="6">
        <f t="shared" si="109"/>
        <v>0</v>
      </c>
      <c r="BA90" s="6">
        <f t="shared" si="109"/>
        <v>0</v>
      </c>
      <c r="BB90" s="6">
        <f t="shared" si="109"/>
        <v>0</v>
      </c>
      <c r="BC90" s="6">
        <f t="shared" si="109"/>
        <v>0</v>
      </c>
      <c r="BD90" s="6">
        <f t="shared" si="109"/>
        <v>0</v>
      </c>
      <c r="BE90" s="6">
        <f t="shared" si="109"/>
        <v>0</v>
      </c>
      <c r="BF90" s="6">
        <f t="shared" si="109"/>
        <v>0</v>
      </c>
      <c r="BG90" s="6">
        <f t="shared" si="109"/>
        <v>0</v>
      </c>
      <c r="BH90" s="6">
        <f t="shared" si="109"/>
        <v>0</v>
      </c>
      <c r="BI90" s="6">
        <f t="shared" si="109"/>
        <v>0</v>
      </c>
      <c r="BJ90" s="6">
        <f t="shared" si="109"/>
        <v>0</v>
      </c>
      <c r="BK90" s="6">
        <f t="shared" si="109"/>
        <v>0</v>
      </c>
      <c r="BL90" s="6">
        <f t="shared" si="109"/>
        <v>0</v>
      </c>
      <c r="BM90" s="6">
        <f t="shared" si="109"/>
        <v>0</v>
      </c>
      <c r="BN90" s="6">
        <f t="shared" si="109"/>
        <v>0</v>
      </c>
      <c r="BO90" s="6">
        <f t="shared" si="109"/>
        <v>0</v>
      </c>
      <c r="BP90" s="6">
        <f t="shared" si="109"/>
        <v>0</v>
      </c>
      <c r="BQ90" s="6">
        <f t="shared" si="109"/>
        <v>0</v>
      </c>
      <c r="BR90" s="6">
        <f t="shared" si="109"/>
        <v>0</v>
      </c>
      <c r="BS90" s="6">
        <f t="shared" si="109"/>
        <v>0</v>
      </c>
      <c r="BT90" s="6">
        <f t="shared" si="109"/>
        <v>0</v>
      </c>
      <c r="BU90" s="6">
        <f t="shared" si="109"/>
        <v>0</v>
      </c>
      <c r="BV90" s="6">
        <f t="shared" si="109"/>
        <v>0</v>
      </c>
      <c r="BW90" s="6">
        <f t="shared" si="109"/>
        <v>0</v>
      </c>
      <c r="BX90" s="6">
        <f t="shared" si="109"/>
        <v>0</v>
      </c>
      <c r="BY90" s="6">
        <f t="shared" si="109"/>
        <v>0</v>
      </c>
      <c r="BZ90" s="6">
        <f t="shared" si="109"/>
        <v>0</v>
      </c>
      <c r="CA90" s="6">
        <f t="shared" si="109"/>
        <v>0</v>
      </c>
      <c r="CB90" s="6">
        <f t="shared" si="109"/>
        <v>0</v>
      </c>
      <c r="CC90" s="6">
        <f t="shared" si="109"/>
        <v>0</v>
      </c>
      <c r="CD90" s="6">
        <f t="shared" si="109"/>
        <v>0</v>
      </c>
      <c r="CE90" s="6">
        <f t="shared" si="109"/>
        <v>0</v>
      </c>
      <c r="CF90" s="6">
        <f t="shared" si="109"/>
        <v>0</v>
      </c>
      <c r="CG90" s="6">
        <f t="shared" si="109"/>
        <v>0</v>
      </c>
      <c r="CH90" s="6">
        <f t="shared" si="109"/>
        <v>0</v>
      </c>
      <c r="CI90" s="6">
        <f t="shared" si="109"/>
        <v>0</v>
      </c>
      <c r="CJ90" s="6">
        <f t="shared" si="109"/>
        <v>0</v>
      </c>
      <c r="CK90" s="6">
        <f t="shared" si="109"/>
        <v>0</v>
      </c>
      <c r="CL90" s="6">
        <f t="shared" si="109"/>
        <v>0</v>
      </c>
      <c r="CM90" s="6">
        <f t="shared" si="109"/>
        <v>0</v>
      </c>
      <c r="CN90" s="6">
        <f t="shared" si="109"/>
        <v>0</v>
      </c>
      <c r="CO90" s="6">
        <f t="shared" si="109"/>
        <v>0</v>
      </c>
      <c r="CP90" s="6">
        <f t="shared" si="109"/>
        <v>0</v>
      </c>
      <c r="CQ90" s="6">
        <f t="shared" si="109"/>
        <v>0</v>
      </c>
      <c r="CR90" s="6">
        <f t="shared" si="109"/>
        <v>0</v>
      </c>
      <c r="CS90" s="6">
        <f t="shared" si="109"/>
        <v>0</v>
      </c>
      <c r="CT90" s="6">
        <f t="shared" si="109"/>
        <v>0</v>
      </c>
      <c r="CU90" s="6">
        <f t="shared" si="109"/>
        <v>0</v>
      </c>
      <c r="CV90" s="6">
        <f t="shared" si="109"/>
        <v>0</v>
      </c>
      <c r="CW90" s="6">
        <f t="shared" si="109"/>
        <v>0</v>
      </c>
      <c r="CX90" s="6">
        <f ca="1">+SUMIF($C$12:$C$29,$C90,CX$13:CX$29)/CX$6+SUMIF($C$46:$C$63,$C90,CX$47:CX$64)</f>
        <v>0</v>
      </c>
      <c r="CY90" s="6">
        <f t="shared" si="109"/>
        <v>0</v>
      </c>
      <c r="CZ90" s="6">
        <f t="shared" si="109"/>
        <v>0</v>
      </c>
      <c r="DA90" s="6">
        <f t="shared" si="109"/>
        <v>0</v>
      </c>
      <c r="DB90" s="6">
        <f t="shared" si="109"/>
        <v>0</v>
      </c>
      <c r="DC90" s="6">
        <f t="shared" si="109"/>
        <v>0</v>
      </c>
      <c r="DD90" s="6">
        <f t="shared" si="109"/>
        <v>0</v>
      </c>
      <c r="DE90" s="6">
        <f t="shared" si="109"/>
        <v>0</v>
      </c>
      <c r="DF90" s="6">
        <f t="shared" si="109"/>
        <v>0</v>
      </c>
      <c r="DG90" s="6">
        <f t="shared" si="109"/>
        <v>0</v>
      </c>
      <c r="DH90" s="6">
        <f t="shared" si="109"/>
        <v>0</v>
      </c>
      <c r="DI90" s="6">
        <f t="shared" si="109"/>
        <v>0</v>
      </c>
      <c r="DJ90" s="6">
        <f t="shared" si="109"/>
        <v>0</v>
      </c>
      <c r="DK90" s="6">
        <f t="shared" si="109"/>
        <v>0</v>
      </c>
      <c r="DL90" s="6">
        <f t="shared" si="109"/>
        <v>0</v>
      </c>
      <c r="DM90" s="6">
        <f t="shared" si="109"/>
        <v>0</v>
      </c>
      <c r="DN90" s="6">
        <f t="shared" si="109"/>
        <v>0</v>
      </c>
      <c r="DO90" s="6">
        <f t="shared" si="109"/>
        <v>0</v>
      </c>
      <c r="DP90" s="6">
        <f t="shared" si="109"/>
        <v>0</v>
      </c>
      <c r="DQ90" s="6">
        <f t="shared" si="109"/>
        <v>0</v>
      </c>
      <c r="DR90" s="6">
        <f t="shared" si="109"/>
        <v>0</v>
      </c>
      <c r="DS90" s="6">
        <f t="shared" si="109"/>
        <v>0</v>
      </c>
      <c r="DT90" s="6">
        <f t="shared" si="109"/>
        <v>0</v>
      </c>
      <c r="DU90" s="6">
        <f t="shared" si="109"/>
        <v>0</v>
      </c>
      <c r="DV90" s="198"/>
      <c r="DW90" s="63"/>
      <c r="DX90" s="28">
        <f t="shared" ca="1" si="90"/>
        <v>0</v>
      </c>
      <c r="DY90" s="16"/>
      <c r="FD90" s="2"/>
      <c r="FE90" s="2"/>
      <c r="FF90" s="2"/>
      <c r="FG90" s="2"/>
      <c r="FH90" s="2"/>
      <c r="FI90" s="2"/>
      <c r="FJ90" s="2"/>
      <c r="FK90" s="2"/>
      <c r="FL90" s="2"/>
      <c r="FM90" s="2"/>
      <c r="FP90" s="142"/>
    </row>
    <row r="91" spans="1:178" outlineLevel="1">
      <c r="C91" s="9" t="s">
        <v>14</v>
      </c>
      <c r="D91" s="28">
        <v>0</v>
      </c>
      <c r="E91" s="28">
        <f t="shared" ref="E91:AJ91" si="110">SUM(E72:E89)</f>
        <v>2127.84</v>
      </c>
      <c r="F91" s="28">
        <f t="shared" si="110"/>
        <v>161.88976377952756</v>
      </c>
      <c r="G91" s="28">
        <f t="shared" si="110"/>
        <v>80.826771653543318</v>
      </c>
      <c r="H91" s="28">
        <f t="shared" si="110"/>
        <v>78.779527559055111</v>
      </c>
      <c r="I91" s="28">
        <f t="shared" si="110"/>
        <v>52.362204724409452</v>
      </c>
      <c r="J91" s="28">
        <f t="shared" si="110"/>
        <v>90.236220472440948</v>
      </c>
      <c r="K91" s="28">
        <f t="shared" si="110"/>
        <v>64.566929133858267</v>
      </c>
      <c r="L91" s="28">
        <f t="shared" si="110"/>
        <v>55.984251968503941</v>
      </c>
      <c r="M91" s="28">
        <f t="shared" si="110"/>
        <v>50.590551181102363</v>
      </c>
      <c r="N91" s="28">
        <f t="shared" si="110"/>
        <v>40.826771653543311</v>
      </c>
      <c r="O91" s="28">
        <f t="shared" si="110"/>
        <v>34.645669291338585</v>
      </c>
      <c r="P91" s="28">
        <f t="shared" si="110"/>
        <v>29.055118110236222</v>
      </c>
      <c r="Q91" s="28">
        <f t="shared" si="110"/>
        <v>19.448818897637796</v>
      </c>
      <c r="R91" s="28">
        <f t="shared" si="110"/>
        <v>111.41732283464567</v>
      </c>
      <c r="S91" s="28">
        <f t="shared" si="110"/>
        <v>64.763779527559052</v>
      </c>
      <c r="T91" s="28">
        <f t="shared" si="110"/>
        <v>59.055118110236222</v>
      </c>
      <c r="U91" s="28">
        <f t="shared" si="110"/>
        <v>53.346456692913392</v>
      </c>
      <c r="V91" s="28">
        <f t="shared" si="110"/>
        <v>39.685039370078741</v>
      </c>
      <c r="W91" s="28">
        <f t="shared" si="110"/>
        <v>53.740157480314963</v>
      </c>
      <c r="X91" s="28">
        <f t="shared" si="110"/>
        <v>47.64173228346457</v>
      </c>
      <c r="Y91" s="28">
        <f t="shared" si="110"/>
        <v>55.594488188976385</v>
      </c>
      <c r="Z91" s="28">
        <f t="shared" si="110"/>
        <v>58.744094488188985</v>
      </c>
      <c r="AA91" s="28">
        <f t="shared" si="110"/>
        <v>80.003937007874029</v>
      </c>
      <c r="AB91" s="28">
        <f t="shared" si="110"/>
        <v>49.688976377952756</v>
      </c>
      <c r="AC91" s="28">
        <f t="shared" si="110"/>
        <v>61.539370078740163</v>
      </c>
      <c r="AD91" s="28">
        <f t="shared" si="110"/>
        <v>102.20866141732284</v>
      </c>
      <c r="AE91" s="28">
        <f t="shared" si="110"/>
        <v>55.397637795275593</v>
      </c>
      <c r="AF91" s="28">
        <f t="shared" si="110"/>
        <v>48.704724409448822</v>
      </c>
      <c r="AG91" s="28">
        <f t="shared" si="110"/>
        <v>58.586614173228348</v>
      </c>
      <c r="AH91" s="28">
        <f t="shared" si="110"/>
        <v>49.807086614173237</v>
      </c>
      <c r="AI91" s="28">
        <f t="shared" si="110"/>
        <v>83.547244094488192</v>
      </c>
      <c r="AJ91" s="28">
        <f t="shared" si="110"/>
        <v>58.350393700787407</v>
      </c>
      <c r="AK91" s="28">
        <f t="shared" ref="AK91:BK91" si="111">SUM(AK72:AK89)</f>
        <v>50.279527559055126</v>
      </c>
      <c r="AL91" s="28">
        <f t="shared" si="111"/>
        <v>114.55310621242485</v>
      </c>
      <c r="AM91" s="28">
        <f t="shared" si="111"/>
        <v>34.75350701402806</v>
      </c>
      <c r="AN91" s="28">
        <f t="shared" si="111"/>
        <v>52.188376753507015</v>
      </c>
      <c r="AO91" s="28">
        <f t="shared" si="111"/>
        <v>37.358717434869746</v>
      </c>
      <c r="AP91" s="28">
        <f t="shared" si="111"/>
        <v>36.276553106212432</v>
      </c>
      <c r="AQ91" s="28">
        <f t="shared" si="111"/>
        <v>41.326653306613224</v>
      </c>
      <c r="AR91" s="28">
        <f t="shared" si="111"/>
        <v>28.100200400801604</v>
      </c>
      <c r="AS91" s="28">
        <f t="shared" si="111"/>
        <v>53.310621242484977</v>
      </c>
      <c r="AT91" s="28">
        <f t="shared" si="111"/>
        <v>64.61322645290582</v>
      </c>
      <c r="AU91" s="28">
        <f t="shared" si="111"/>
        <v>53.551102204408821</v>
      </c>
      <c r="AV91" s="28">
        <f t="shared" si="111"/>
        <v>41.967935871743492</v>
      </c>
      <c r="AW91" s="28">
        <f t="shared" si="111"/>
        <v>43.651302605210425</v>
      </c>
      <c r="AX91" s="28">
        <f t="shared" si="111"/>
        <v>45.575150300601209</v>
      </c>
      <c r="AY91" s="28">
        <f t="shared" si="111"/>
        <v>41.767535070140283</v>
      </c>
      <c r="AZ91" s="28">
        <f t="shared" si="111"/>
        <v>34.272545090180358</v>
      </c>
      <c r="BA91" s="28">
        <f t="shared" si="111"/>
        <v>41.366733466933866</v>
      </c>
      <c r="BB91" s="28">
        <f t="shared" si="111"/>
        <v>388.65731462925828</v>
      </c>
      <c r="BC91" s="28">
        <f t="shared" si="111"/>
        <v>43.370741482965933</v>
      </c>
      <c r="BD91" s="28">
        <f t="shared" si="111"/>
        <v>30.59033280507132</v>
      </c>
      <c r="BE91" s="28">
        <f t="shared" si="111"/>
        <v>30.94690966719493</v>
      </c>
      <c r="BF91" s="28">
        <f t="shared" si="111"/>
        <v>42.872424722662444</v>
      </c>
      <c r="BG91" s="28">
        <f t="shared" si="111"/>
        <v>48.022979397781299</v>
      </c>
      <c r="BH91" s="28">
        <f t="shared" si="111"/>
        <v>150.83597464342316</v>
      </c>
      <c r="BI91" s="28">
        <f t="shared" si="111"/>
        <v>39.544374009508715</v>
      </c>
      <c r="BJ91" s="28">
        <f t="shared" si="111"/>
        <v>116.56497622820919</v>
      </c>
      <c r="BK91" s="28">
        <f t="shared" si="111"/>
        <v>34.156101426307451</v>
      </c>
      <c r="BL91" s="28">
        <f t="shared" ref="BL91:DU91" si="112">SUM(BL72:BL89)</f>
        <v>39.108557844690964</v>
      </c>
      <c r="BM91" s="28">
        <f t="shared" si="112"/>
        <v>39.70285261489699</v>
      </c>
      <c r="BN91" s="28">
        <f t="shared" si="112"/>
        <v>34.948494453248813</v>
      </c>
      <c r="BO91" s="28">
        <f t="shared" si="112"/>
        <v>105.62995245641839</v>
      </c>
      <c r="BP91" s="28">
        <f t="shared" si="112"/>
        <v>47.032488114104595</v>
      </c>
      <c r="BQ91" s="28">
        <f t="shared" si="112"/>
        <v>43.506339144215531</v>
      </c>
      <c r="BR91" s="28">
        <f t="shared" si="112"/>
        <v>39.306656101426313</v>
      </c>
      <c r="BS91" s="28">
        <f t="shared" si="112"/>
        <v>70.408082408874805</v>
      </c>
      <c r="BT91" s="28">
        <f t="shared" si="112"/>
        <v>39.465134706814581</v>
      </c>
      <c r="BU91" s="28">
        <f t="shared" si="112"/>
        <v>484.86925515055469</v>
      </c>
      <c r="BV91" s="28">
        <f t="shared" si="112"/>
        <v>76.747226624405712</v>
      </c>
      <c r="BW91" s="28">
        <f t="shared" si="112"/>
        <v>60.582408874801907</v>
      </c>
      <c r="BX91" s="28">
        <f t="shared" si="112"/>
        <v>20.051505546751191</v>
      </c>
      <c r="BY91" s="28">
        <f t="shared" si="112"/>
        <v>88.118066561014274</v>
      </c>
      <c r="BZ91" s="28">
        <f t="shared" si="112"/>
        <v>54.758320126782891</v>
      </c>
      <c r="CA91" s="28">
        <f t="shared" si="112"/>
        <v>50.003961965134707</v>
      </c>
      <c r="CB91" s="28">
        <f t="shared" si="112"/>
        <v>24.845483359746435</v>
      </c>
      <c r="CC91" s="28">
        <f t="shared" si="112"/>
        <v>56.620443740095098</v>
      </c>
      <c r="CD91" s="28">
        <f t="shared" si="112"/>
        <v>30.788431061806659</v>
      </c>
      <c r="CE91" s="28">
        <f t="shared" si="112"/>
        <v>36.889857369255154</v>
      </c>
      <c r="CF91" s="28">
        <f t="shared" si="112"/>
        <v>27.024564183835182</v>
      </c>
      <c r="CG91" s="28">
        <f t="shared" si="112"/>
        <v>106.33914421553091</v>
      </c>
      <c r="CH91" s="28">
        <f t="shared" si="112"/>
        <v>54.143026941362919</v>
      </c>
      <c r="CI91" s="28">
        <f t="shared" si="112"/>
        <v>50.101822503961969</v>
      </c>
      <c r="CJ91" s="28">
        <f t="shared" si="112"/>
        <v>25.141442155309036</v>
      </c>
      <c r="CK91" s="28">
        <f t="shared" si="112"/>
        <v>61.472662440570531</v>
      </c>
      <c r="CL91" s="28">
        <f t="shared" si="112"/>
        <v>62.34429477020602</v>
      </c>
      <c r="CM91" s="28">
        <f t="shared" si="112"/>
        <v>521.83668347500361</v>
      </c>
      <c r="CN91" s="28">
        <f t="shared" si="112"/>
        <v>137.63675983287712</v>
      </c>
      <c r="CO91" s="28">
        <f t="shared" si="112"/>
        <v>173.91251260625273</v>
      </c>
      <c r="CP91" s="28">
        <f t="shared" si="112"/>
        <v>128.98382797867745</v>
      </c>
      <c r="CQ91" s="28">
        <f t="shared" si="112"/>
        <v>246.09519521682762</v>
      </c>
      <c r="CR91" s="28">
        <f t="shared" si="112"/>
        <v>54.528418095375322</v>
      </c>
      <c r="CS91" s="28">
        <f t="shared" si="112"/>
        <v>38.176307448494455</v>
      </c>
      <c r="CT91" s="28">
        <f t="shared" si="112"/>
        <v>44.911648177496041</v>
      </c>
      <c r="CU91" s="28">
        <f t="shared" si="112"/>
        <v>56.797543581616488</v>
      </c>
      <c r="CV91" s="28">
        <f t="shared" si="112"/>
        <v>31.639064976228212</v>
      </c>
      <c r="CW91" s="28">
        <f t="shared" si="112"/>
        <v>30.846671949286847</v>
      </c>
      <c r="CX91" s="28">
        <f t="shared" si="112"/>
        <v>134.25396196513472</v>
      </c>
      <c r="CY91" s="28">
        <f t="shared" si="112"/>
        <v>71.456814580031704</v>
      </c>
      <c r="CZ91" s="28">
        <f t="shared" si="112"/>
        <v>97.011489698890657</v>
      </c>
      <c r="DA91" s="28">
        <f t="shared" si="112"/>
        <v>52.914817749603806</v>
      </c>
      <c r="DB91" s="28">
        <f t="shared" si="112"/>
        <v>29.222266244057053</v>
      </c>
      <c r="DC91" s="28">
        <f t="shared" si="112"/>
        <v>50.062202852614902</v>
      </c>
      <c r="DD91" s="28">
        <f t="shared" si="112"/>
        <v>119.87202852614898</v>
      </c>
      <c r="DE91" s="28">
        <f t="shared" si="112"/>
        <v>37.582012678288436</v>
      </c>
      <c r="DF91" s="28">
        <f t="shared" si="112"/>
        <v>42.930665610142633</v>
      </c>
      <c r="DG91" s="28">
        <f t="shared" si="112"/>
        <v>201.56933438985737</v>
      </c>
      <c r="DH91" s="28">
        <f t="shared" si="112"/>
        <v>119.31735340729003</v>
      </c>
      <c r="DI91" s="28">
        <f t="shared" si="112"/>
        <v>912.74841521394637</v>
      </c>
      <c r="DJ91" s="28">
        <f t="shared" si="112"/>
        <v>72.305863708399372</v>
      </c>
      <c r="DK91" s="28">
        <f t="shared" si="112"/>
        <v>37.995245641838352</v>
      </c>
      <c r="DL91" s="28">
        <f t="shared" si="112"/>
        <v>39.223454833597465</v>
      </c>
      <c r="DM91" s="28">
        <f t="shared" si="112"/>
        <v>28.526148969889064</v>
      </c>
      <c r="DN91" s="28">
        <f t="shared" si="112"/>
        <v>60.02377179080824</v>
      </c>
      <c r="DO91" s="28">
        <f t="shared" si="112"/>
        <v>45.562599049128366</v>
      </c>
      <c r="DP91" s="28">
        <f t="shared" si="112"/>
        <v>79.437400950871634</v>
      </c>
      <c r="DQ91" s="28">
        <f t="shared" si="112"/>
        <v>135.1030110935024</v>
      </c>
      <c r="DR91" s="28">
        <f>SUM(DR72:DR89)</f>
        <v>143.81933438985737</v>
      </c>
      <c r="DS91" s="28">
        <f>SUM(DS72:DS89)</f>
        <v>71.038034865293184</v>
      </c>
      <c r="DT91" s="28">
        <f>SUM(DT72:DT89)</f>
        <v>82.908082408874805</v>
      </c>
      <c r="DU91" s="28">
        <f t="shared" si="112"/>
        <v>41</v>
      </c>
      <c r="DV91" s="200">
        <f>SUM(DV72:DV87)</f>
        <v>0</v>
      </c>
      <c r="DW91" s="184">
        <f>SUM(DW72:DW87)</f>
        <v>0</v>
      </c>
      <c r="DX91" s="28">
        <f>SUM(D91:DW91)</f>
        <v>11820.54977556739</v>
      </c>
      <c r="DY91" s="13"/>
      <c r="FD91" s="28" t="str">
        <f>+A93</f>
        <v>DONG + EUROS</v>
      </c>
      <c r="FE91" s="28">
        <f ca="1">SUM((INDIRECT(FE$9&amp;ROW()):(INDIRECT(FE$10&amp;ROW()))))</f>
        <v>2127.84</v>
      </c>
      <c r="FF91" s="28">
        <f ca="1">SUM((INDIRECT(FF$9&amp;ROW()):(INDIRECT(FF$10&amp;ROW()))))</f>
        <v>1141.2204724409451</v>
      </c>
      <c r="FG91" s="28">
        <f ca="1">SUM((INDIRECT(FG$9&amp;ROW()):(INDIRECT(FG$10&amp;ROW()))))</f>
        <v>2013.3850693513014</v>
      </c>
      <c r="FH91" s="28">
        <f ca="1">SUM((INDIRECT(FH$9&amp;ROW()):(INDIRECT(FH$10&amp;ROW()))))</f>
        <v>2113.6520410075304</v>
      </c>
      <c r="FI91" s="28">
        <f ca="1">SUM((INDIRECT(FI$9&amp;ROW()):(INDIRECT(FI$10&amp;ROW()))))</f>
        <v>3587.5092450655534</v>
      </c>
      <c r="FJ91" s="28">
        <f ca="1">SUM((INDIRECT(FJ$9&amp;ROW()):(INDIRECT(FJ$10&amp;ROW()))))</f>
        <v>836.94294770206034</v>
      </c>
      <c r="FK91" s="28" t="e">
        <f ca="1">SUM((INDIRECT(FK$9&amp;ROW()):(INDIRECT(FK$10&amp;ROW()))))</f>
        <v>#REF!</v>
      </c>
      <c r="FL91" s="28" t="e">
        <f ca="1">SUM((INDIRECT(FL$9&amp;ROW()):(INDIRECT(FL$10&amp;ROW()))))</f>
        <v>#REF!</v>
      </c>
      <c r="FN91" s="28">
        <f t="shared" ca="1" si="91"/>
        <v>11820.549775567391</v>
      </c>
      <c r="FP91" s="142"/>
    </row>
    <row r="92" spans="1:178" outlineLevel="1">
      <c r="D92" s="2">
        <v>0</v>
      </c>
      <c r="E92" s="6">
        <f t="shared" ref="E92:AJ92" si="113">E66+(E40/E$6)</f>
        <v>2127.84</v>
      </c>
      <c r="F92" s="6">
        <f t="shared" si="113"/>
        <v>161.88976377952756</v>
      </c>
      <c r="G92" s="6">
        <f t="shared" si="113"/>
        <v>80.826771653543318</v>
      </c>
      <c r="H92" s="6">
        <f t="shared" si="113"/>
        <v>78.779527559055126</v>
      </c>
      <c r="I92" s="6">
        <f t="shared" si="113"/>
        <v>52.362204724409452</v>
      </c>
      <c r="J92" s="6">
        <f t="shared" si="113"/>
        <v>90.236220472440948</v>
      </c>
      <c r="K92" s="6">
        <f t="shared" si="113"/>
        <v>64.566929133858267</v>
      </c>
      <c r="L92" s="6">
        <f t="shared" si="113"/>
        <v>55.984251968503941</v>
      </c>
      <c r="M92" s="6">
        <f t="shared" si="113"/>
        <v>50.590551181102363</v>
      </c>
      <c r="N92" s="6">
        <f t="shared" si="113"/>
        <v>40.826771653543311</v>
      </c>
      <c r="O92" s="6">
        <f t="shared" si="113"/>
        <v>34.645669291338585</v>
      </c>
      <c r="P92" s="6">
        <f t="shared" si="113"/>
        <v>29.055118110236222</v>
      </c>
      <c r="Q92" s="6">
        <f t="shared" si="113"/>
        <v>19.448818897637796</v>
      </c>
      <c r="R92" s="6">
        <f t="shared" si="113"/>
        <v>111.41732283464567</v>
      </c>
      <c r="S92" s="6">
        <f t="shared" si="113"/>
        <v>64.763779527559052</v>
      </c>
      <c r="T92" s="6">
        <f t="shared" si="113"/>
        <v>59.055118110236222</v>
      </c>
      <c r="U92" s="6">
        <f t="shared" si="113"/>
        <v>53.346456692913392</v>
      </c>
      <c r="V92" s="6">
        <f t="shared" si="113"/>
        <v>39.685039370078741</v>
      </c>
      <c r="W92" s="6">
        <f t="shared" si="113"/>
        <v>53.740157480314963</v>
      </c>
      <c r="X92" s="6">
        <f t="shared" si="113"/>
        <v>47.641732283464563</v>
      </c>
      <c r="Y92" s="6">
        <f t="shared" si="113"/>
        <v>55.594488188976378</v>
      </c>
      <c r="Z92" s="6">
        <f t="shared" si="113"/>
        <v>58.744094488188978</v>
      </c>
      <c r="AA92" s="6">
        <f t="shared" si="113"/>
        <v>80.003937007874015</v>
      </c>
      <c r="AB92" s="6">
        <f t="shared" si="113"/>
        <v>49.688976377952756</v>
      </c>
      <c r="AC92" s="6">
        <f t="shared" si="113"/>
        <v>61.539370078740156</v>
      </c>
      <c r="AD92" s="6">
        <f t="shared" si="113"/>
        <v>102.20866141732283</v>
      </c>
      <c r="AE92" s="6">
        <f t="shared" si="113"/>
        <v>55.397637795275593</v>
      </c>
      <c r="AF92" s="6">
        <f t="shared" si="113"/>
        <v>48.704724409448815</v>
      </c>
      <c r="AG92" s="6">
        <f t="shared" si="113"/>
        <v>58.586614173228348</v>
      </c>
      <c r="AH92" s="6">
        <f t="shared" si="113"/>
        <v>49.80708661417323</v>
      </c>
      <c r="AI92" s="6">
        <f t="shared" si="113"/>
        <v>83.547244094488192</v>
      </c>
      <c r="AJ92" s="6">
        <f t="shared" si="113"/>
        <v>58.3503937007874</v>
      </c>
      <c r="AK92" s="6">
        <f t="shared" ref="AK92:BK92" si="114">AK66+(AK40/AK$6)</f>
        <v>50.279527559055119</v>
      </c>
      <c r="AL92" s="6">
        <f t="shared" si="114"/>
        <v>114.55310621242485</v>
      </c>
      <c r="AM92" s="6">
        <f t="shared" si="114"/>
        <v>34.75350701402806</v>
      </c>
      <c r="AN92" s="6">
        <f t="shared" si="114"/>
        <v>52.188376753507015</v>
      </c>
      <c r="AO92" s="6">
        <f t="shared" si="114"/>
        <v>37.358717434869739</v>
      </c>
      <c r="AP92" s="6">
        <f t="shared" si="114"/>
        <v>36.276553106212425</v>
      </c>
      <c r="AQ92" s="6">
        <f t="shared" si="114"/>
        <v>41.326653306613224</v>
      </c>
      <c r="AR92" s="6">
        <f t="shared" si="114"/>
        <v>28.100200400801604</v>
      </c>
      <c r="AS92" s="6">
        <f t="shared" si="114"/>
        <v>53.31062124248497</v>
      </c>
      <c r="AT92" s="6">
        <f t="shared" si="114"/>
        <v>64.613226452905806</v>
      </c>
      <c r="AU92" s="6">
        <f t="shared" si="114"/>
        <v>53.551102204408814</v>
      </c>
      <c r="AV92" s="6">
        <f t="shared" si="114"/>
        <v>41.967935871743485</v>
      </c>
      <c r="AW92" s="6">
        <f t="shared" si="114"/>
        <v>43.651302605210418</v>
      </c>
      <c r="AX92" s="6">
        <f t="shared" si="114"/>
        <v>45.575150300601202</v>
      </c>
      <c r="AY92" s="6">
        <f t="shared" si="114"/>
        <v>41.767535070140276</v>
      </c>
      <c r="AZ92" s="6">
        <f t="shared" si="114"/>
        <v>34.272545090180365</v>
      </c>
      <c r="BA92" s="6">
        <f t="shared" si="114"/>
        <v>41.366733466933866</v>
      </c>
      <c r="BB92" s="6">
        <f t="shared" si="114"/>
        <v>388.65731462925834</v>
      </c>
      <c r="BC92" s="6">
        <f t="shared" si="114"/>
        <v>43.370741482965933</v>
      </c>
      <c r="BD92" s="6">
        <f t="shared" si="114"/>
        <v>30.59033280507132</v>
      </c>
      <c r="BE92" s="6">
        <f t="shared" si="114"/>
        <v>30.94690966719493</v>
      </c>
      <c r="BF92" s="6">
        <f t="shared" si="114"/>
        <v>42.872424722662437</v>
      </c>
      <c r="BG92" s="6">
        <f t="shared" si="114"/>
        <v>48.022979397781299</v>
      </c>
      <c r="BH92" s="6">
        <f t="shared" si="114"/>
        <v>150.83597464342316</v>
      </c>
      <c r="BI92" s="6">
        <f t="shared" si="114"/>
        <v>39.544374009508722</v>
      </c>
      <c r="BJ92" s="6">
        <f t="shared" si="114"/>
        <v>116.56497622820919</v>
      </c>
      <c r="BK92" s="6">
        <f t="shared" si="114"/>
        <v>34.156101426307451</v>
      </c>
      <c r="BL92" s="6">
        <f t="shared" ref="BL92:DU92" si="115">BL66+(BL40/BL$6)</f>
        <v>39.108557844690971</v>
      </c>
      <c r="BM92" s="6">
        <f t="shared" si="115"/>
        <v>39.70285261489699</v>
      </c>
      <c r="BN92" s="6">
        <f t="shared" si="115"/>
        <v>34.948494453248813</v>
      </c>
      <c r="BO92" s="6">
        <f t="shared" si="115"/>
        <v>105.62995245641838</v>
      </c>
      <c r="BP92" s="6">
        <f t="shared" si="115"/>
        <v>47.032488114104595</v>
      </c>
      <c r="BQ92" s="6">
        <f t="shared" si="115"/>
        <v>43.506339144215531</v>
      </c>
      <c r="BR92" s="6">
        <f t="shared" si="115"/>
        <v>39.306656101426313</v>
      </c>
      <c r="BS92" s="6">
        <f t="shared" si="115"/>
        <v>70.408082408874805</v>
      </c>
      <c r="BT92" s="6">
        <f t="shared" si="115"/>
        <v>39.465134706814581</v>
      </c>
      <c r="BU92" s="6">
        <f t="shared" si="115"/>
        <v>484.86925515055469</v>
      </c>
      <c r="BV92" s="6">
        <f t="shared" si="115"/>
        <v>76.747226624405712</v>
      </c>
      <c r="BW92" s="6">
        <f t="shared" si="115"/>
        <v>60.582408874801899</v>
      </c>
      <c r="BX92" s="6">
        <f t="shared" si="115"/>
        <v>20.051505546751191</v>
      </c>
      <c r="BY92" s="6">
        <f t="shared" si="115"/>
        <v>88.11806656101426</v>
      </c>
      <c r="BZ92" s="6">
        <f t="shared" si="115"/>
        <v>54.758320126782884</v>
      </c>
      <c r="CA92" s="6">
        <f t="shared" si="115"/>
        <v>50.003961965134707</v>
      </c>
      <c r="CB92" s="6">
        <f t="shared" si="115"/>
        <v>24.845483359746435</v>
      </c>
      <c r="CC92" s="6">
        <f t="shared" si="115"/>
        <v>56.620443740095084</v>
      </c>
      <c r="CD92" s="6">
        <f t="shared" si="115"/>
        <v>30.788431061806659</v>
      </c>
      <c r="CE92" s="6">
        <f t="shared" si="115"/>
        <v>36.889857369255154</v>
      </c>
      <c r="CF92" s="6">
        <f t="shared" si="115"/>
        <v>27.024564183835185</v>
      </c>
      <c r="CG92" s="6">
        <f t="shared" si="115"/>
        <v>106.33914421553091</v>
      </c>
      <c r="CH92" s="6">
        <f t="shared" si="115"/>
        <v>54.143026941362919</v>
      </c>
      <c r="CI92" s="6">
        <f t="shared" si="115"/>
        <v>50.101822503961962</v>
      </c>
      <c r="CJ92" s="6">
        <f t="shared" si="115"/>
        <v>25.141442155309033</v>
      </c>
      <c r="CK92" s="6">
        <f t="shared" si="115"/>
        <v>61.472662440570524</v>
      </c>
      <c r="CL92" s="6">
        <f t="shared" si="115"/>
        <v>62.344294770206027</v>
      </c>
      <c r="CM92" s="6">
        <f t="shared" si="115"/>
        <v>521.83668347500361</v>
      </c>
      <c r="CN92" s="6">
        <f t="shared" si="115"/>
        <v>137.63675983287712</v>
      </c>
      <c r="CO92" s="6">
        <f t="shared" si="115"/>
        <v>173.9125126062527</v>
      </c>
      <c r="CP92" s="6">
        <f t="shared" si="115"/>
        <v>128.98382797867743</v>
      </c>
      <c r="CQ92" s="6">
        <f t="shared" si="115"/>
        <v>246.09519521682759</v>
      </c>
      <c r="CR92" s="6">
        <f t="shared" si="115"/>
        <v>54.528418095375315</v>
      </c>
      <c r="CS92" s="6">
        <f t="shared" si="115"/>
        <v>38.176307448494455</v>
      </c>
      <c r="CT92" s="6">
        <f t="shared" si="115"/>
        <v>44.911648177496041</v>
      </c>
      <c r="CU92" s="6">
        <f t="shared" si="115"/>
        <v>56.79754358161648</v>
      </c>
      <c r="CV92" s="6">
        <f t="shared" si="115"/>
        <v>31.639064976228209</v>
      </c>
      <c r="CW92" s="6">
        <f t="shared" si="115"/>
        <v>30.846671949286847</v>
      </c>
      <c r="CX92" s="6">
        <f t="shared" ca="1" si="115"/>
        <v>133.46156893819335</v>
      </c>
      <c r="CY92" s="6">
        <f t="shared" si="115"/>
        <v>71.456814580031704</v>
      </c>
      <c r="CZ92" s="6">
        <f t="shared" si="115"/>
        <v>97.011489698890642</v>
      </c>
      <c r="DA92" s="6">
        <f t="shared" si="115"/>
        <v>52.914817749603806</v>
      </c>
      <c r="DB92" s="6">
        <f t="shared" si="115"/>
        <v>29.222266244057053</v>
      </c>
      <c r="DC92" s="6">
        <f t="shared" si="115"/>
        <v>50.062202852614895</v>
      </c>
      <c r="DD92" s="6">
        <f t="shared" si="115"/>
        <v>119.87202852614897</v>
      </c>
      <c r="DE92" s="6">
        <f t="shared" si="115"/>
        <v>37.582012678288429</v>
      </c>
      <c r="DF92" s="6">
        <f t="shared" si="115"/>
        <v>42.930665610142633</v>
      </c>
      <c r="DG92" s="6">
        <f t="shared" si="115"/>
        <v>201.56933438985737</v>
      </c>
      <c r="DH92" s="6">
        <f t="shared" si="115"/>
        <v>119.31735340729001</v>
      </c>
      <c r="DI92" s="6">
        <f t="shared" si="115"/>
        <v>912.74841521394637</v>
      </c>
      <c r="DJ92" s="6">
        <f t="shared" si="115"/>
        <v>72.305863708399372</v>
      </c>
      <c r="DK92" s="6">
        <f t="shared" si="115"/>
        <v>37.995245641838352</v>
      </c>
      <c r="DL92" s="6">
        <f t="shared" si="115"/>
        <v>39.223454833597465</v>
      </c>
      <c r="DM92" s="6">
        <f t="shared" si="115"/>
        <v>28.526148969889068</v>
      </c>
      <c r="DN92" s="6">
        <f t="shared" si="115"/>
        <v>60.023771790808247</v>
      </c>
      <c r="DO92" s="6">
        <f t="shared" si="115"/>
        <v>45.562599049128373</v>
      </c>
      <c r="DP92" s="6">
        <f t="shared" si="115"/>
        <v>79.437400950871634</v>
      </c>
      <c r="DQ92" s="6">
        <f t="shared" si="115"/>
        <v>135.10301109350237</v>
      </c>
      <c r="DR92" s="6">
        <f>DR66+(DR40/DR$6)</f>
        <v>143.81933438985737</v>
      </c>
      <c r="DS92" s="6">
        <f>DS66+(DS40/DS$6)</f>
        <v>71.038034865293184</v>
      </c>
      <c r="DT92" s="6">
        <f>DT66+(DT40/DT$6)</f>
        <v>82.908082408874805</v>
      </c>
      <c r="DU92" s="6">
        <f t="shared" si="115"/>
        <v>41</v>
      </c>
      <c r="DV92" s="198">
        <f>DV66+(DV40/TAUXmoyen)</f>
        <v>0</v>
      </c>
      <c r="DW92" s="63">
        <f>DW66+(DW40/TAUXmoyen)</f>
        <v>0</v>
      </c>
      <c r="DX92" s="6">
        <f ca="1">SUM(D92:DW92)</f>
        <v>11819.757382540449</v>
      </c>
      <c r="FD92">
        <v>0</v>
      </c>
    </row>
    <row r="93" spans="1:178">
      <c r="A93" s="9" t="s">
        <v>97</v>
      </c>
      <c r="D93" s="2"/>
      <c r="FD93" s="228" t="s">
        <v>332</v>
      </c>
      <c r="FE93" s="229">
        <f t="shared" ref="FE93:FK93" ca="1" si="116">+FE123</f>
        <v>0</v>
      </c>
      <c r="FF93" s="229">
        <f t="shared" ca="1" si="116"/>
        <v>1143.1039989363223</v>
      </c>
      <c r="FG93" s="229">
        <f t="shared" ca="1" si="116"/>
        <v>1998.0120196403027</v>
      </c>
      <c r="FH93" s="229">
        <f t="shared" ca="1" si="116"/>
        <v>2105.9098322020241</v>
      </c>
      <c r="FI93" s="229">
        <f t="shared" ca="1" si="116"/>
        <v>3338.9729721259419</v>
      </c>
      <c r="FJ93" s="229">
        <f t="shared" ca="1" si="116"/>
        <v>752.7676153597771</v>
      </c>
      <c r="FK93" s="229" t="e">
        <f t="shared" ca="1" si="116"/>
        <v>#REF!</v>
      </c>
      <c r="FL93" s="229" t="e">
        <f ca="1">+FL123</f>
        <v>#REF!</v>
      </c>
      <c r="FN93" s="28">
        <f ca="1">SUM(FE93:FJ93)</f>
        <v>9338.7664382643688</v>
      </c>
    </row>
    <row r="94" spans="1:178">
      <c r="A94" s="9"/>
      <c r="D94" s="2"/>
      <c r="FD94" s="228" t="s">
        <v>333</v>
      </c>
      <c r="FE94" s="229">
        <f t="shared" ref="FE94:FL94" ca="1" si="117">FE66</f>
        <v>2127.84</v>
      </c>
      <c r="FF94" s="229">
        <f t="shared" ca="1" si="117"/>
        <v>0</v>
      </c>
      <c r="FG94" s="229">
        <f t="shared" ca="1" si="117"/>
        <v>0</v>
      </c>
      <c r="FH94" s="229">
        <f t="shared" ca="1" si="117"/>
        <v>0</v>
      </c>
      <c r="FI94" s="229">
        <f t="shared" ca="1" si="117"/>
        <v>233.87</v>
      </c>
      <c r="FJ94" s="229">
        <f t="shared" ca="1" si="117"/>
        <v>81</v>
      </c>
      <c r="FK94" s="229" t="e">
        <f t="shared" ca="1" si="117"/>
        <v>#REF!</v>
      </c>
      <c r="FL94" s="229" t="e">
        <f t="shared" ca="1" si="117"/>
        <v>#REF!</v>
      </c>
      <c r="FN94" s="28">
        <f ca="1">SUM(FE94:FJ94)</f>
        <v>2442.71</v>
      </c>
    </row>
    <row r="95" spans="1:178" outlineLevel="1">
      <c r="D95" s="2"/>
      <c r="E95" s="2" t="str">
        <f>E$8</f>
        <v>Sam</v>
      </c>
      <c r="F95" s="2" t="str">
        <f t="shared" ref="F95:DW95" si="118">F$8</f>
        <v>Dim</v>
      </c>
      <c r="G95" s="2" t="str">
        <f t="shared" si="118"/>
        <v>Lundi</v>
      </c>
      <c r="H95" s="2" t="str">
        <f t="shared" si="118"/>
        <v>mardi</v>
      </c>
      <c r="I95" s="2" t="str">
        <f t="shared" si="118"/>
        <v>Mer</v>
      </c>
      <c r="J95" s="2" t="str">
        <f t="shared" si="118"/>
        <v>Jeu</v>
      </c>
      <c r="K95" s="2" t="str">
        <f t="shared" si="118"/>
        <v>Ven</v>
      </c>
      <c r="L95" s="2" t="str">
        <f t="shared" si="118"/>
        <v>Sam</v>
      </c>
      <c r="M95" s="2" t="str">
        <f t="shared" si="118"/>
        <v>Dim</v>
      </c>
      <c r="N95" s="2" t="str">
        <f t="shared" si="118"/>
        <v>Lundi</v>
      </c>
      <c r="O95" s="2" t="str">
        <f t="shared" si="118"/>
        <v>mardi</v>
      </c>
      <c r="P95" s="2" t="str">
        <f t="shared" si="118"/>
        <v>Mer</v>
      </c>
      <c r="Q95" s="2" t="str">
        <f t="shared" si="118"/>
        <v>Jeu</v>
      </c>
      <c r="R95" s="2" t="str">
        <f t="shared" si="118"/>
        <v>Ven</v>
      </c>
      <c r="S95" s="2" t="str">
        <f t="shared" si="118"/>
        <v>Sam</v>
      </c>
      <c r="T95" s="2" t="str">
        <f t="shared" si="118"/>
        <v>Dim</v>
      </c>
      <c r="U95" s="2" t="str">
        <f t="shared" si="118"/>
        <v>Lundi</v>
      </c>
      <c r="V95" s="2" t="str">
        <f t="shared" si="118"/>
        <v>mardi</v>
      </c>
      <c r="W95" s="2" t="str">
        <f t="shared" si="118"/>
        <v>Mer</v>
      </c>
      <c r="X95" s="2" t="str">
        <f t="shared" si="118"/>
        <v>Jeu</v>
      </c>
      <c r="Y95" s="2" t="str">
        <f t="shared" si="118"/>
        <v>Ven</v>
      </c>
      <c r="Z95" s="2" t="str">
        <f t="shared" si="118"/>
        <v>Sam</v>
      </c>
      <c r="AA95" s="2" t="str">
        <f t="shared" si="118"/>
        <v>Dim</v>
      </c>
      <c r="AB95" s="2" t="str">
        <f t="shared" si="118"/>
        <v>Lundi</v>
      </c>
      <c r="AC95" s="2" t="str">
        <f t="shared" si="118"/>
        <v>mardi</v>
      </c>
      <c r="AD95" s="2" t="str">
        <f t="shared" si="118"/>
        <v>Mer</v>
      </c>
      <c r="AE95" s="2" t="str">
        <f t="shared" si="118"/>
        <v>Jeu</v>
      </c>
      <c r="AF95" s="2" t="str">
        <f t="shared" si="118"/>
        <v>Ven</v>
      </c>
      <c r="AG95" s="2" t="str">
        <f t="shared" si="118"/>
        <v>Sam</v>
      </c>
      <c r="AH95" s="2" t="str">
        <f t="shared" si="118"/>
        <v>Dim</v>
      </c>
      <c r="AI95" s="2" t="str">
        <f t="shared" si="118"/>
        <v>Lundi</v>
      </c>
      <c r="AJ95" s="2" t="str">
        <f t="shared" si="118"/>
        <v>mardi</v>
      </c>
      <c r="AK95" s="2" t="str">
        <f t="shared" si="118"/>
        <v>Mer</v>
      </c>
      <c r="AL95" s="2" t="str">
        <f t="shared" si="118"/>
        <v>Jeu</v>
      </c>
      <c r="AM95" s="2" t="str">
        <f t="shared" si="118"/>
        <v>Ven</v>
      </c>
      <c r="AN95" s="2" t="str">
        <f t="shared" si="118"/>
        <v>Sam</v>
      </c>
      <c r="AO95" s="2" t="str">
        <f t="shared" si="118"/>
        <v>Dim</v>
      </c>
      <c r="AP95" s="2" t="str">
        <f t="shared" si="118"/>
        <v>Lundi</v>
      </c>
      <c r="AQ95" s="2" t="str">
        <f t="shared" si="118"/>
        <v>mardi</v>
      </c>
      <c r="AR95" s="2" t="str">
        <f t="shared" si="118"/>
        <v>Mer</v>
      </c>
      <c r="AS95" s="2" t="str">
        <f t="shared" si="118"/>
        <v>Jeu</v>
      </c>
      <c r="AT95" s="2" t="str">
        <f t="shared" si="118"/>
        <v>Ven</v>
      </c>
      <c r="AU95" s="2" t="str">
        <f t="shared" si="118"/>
        <v>Sam</v>
      </c>
      <c r="AV95" s="2" t="str">
        <f t="shared" si="118"/>
        <v>Dim</v>
      </c>
      <c r="AW95" s="2" t="str">
        <f t="shared" si="118"/>
        <v>Lundi</v>
      </c>
      <c r="AX95" s="2" t="str">
        <f t="shared" si="118"/>
        <v>mardi</v>
      </c>
      <c r="AY95" s="2" t="str">
        <f t="shared" si="118"/>
        <v>Mer</v>
      </c>
      <c r="AZ95" s="2" t="str">
        <f t="shared" si="118"/>
        <v>Jeu</v>
      </c>
      <c r="BA95" s="2" t="str">
        <f t="shared" si="118"/>
        <v>Ven</v>
      </c>
      <c r="BB95" s="2" t="str">
        <f t="shared" si="118"/>
        <v>Sam</v>
      </c>
      <c r="BC95" s="2" t="str">
        <f t="shared" si="118"/>
        <v>Dim</v>
      </c>
      <c r="BD95" s="2" t="str">
        <f t="shared" si="118"/>
        <v>Lundi</v>
      </c>
      <c r="BE95" s="2" t="str">
        <f t="shared" si="118"/>
        <v>mardi</v>
      </c>
      <c r="BF95" s="2" t="str">
        <f t="shared" si="118"/>
        <v>Mer</v>
      </c>
      <c r="BG95" s="2" t="str">
        <f t="shared" si="118"/>
        <v>Jeu</v>
      </c>
      <c r="BH95" s="2" t="str">
        <f t="shared" si="118"/>
        <v>Ven</v>
      </c>
      <c r="BI95" s="2" t="str">
        <f t="shared" si="118"/>
        <v>Sam</v>
      </c>
      <c r="BJ95" s="2" t="str">
        <f t="shared" si="118"/>
        <v>Dim</v>
      </c>
      <c r="BK95" s="2" t="str">
        <f t="shared" si="118"/>
        <v>Lundi</v>
      </c>
      <c r="BL95" s="2" t="str">
        <f t="shared" si="118"/>
        <v>mardi</v>
      </c>
      <c r="BM95" s="2" t="str">
        <f t="shared" si="118"/>
        <v>Mer</v>
      </c>
      <c r="BN95" s="2" t="str">
        <f t="shared" si="118"/>
        <v>Jeu</v>
      </c>
      <c r="BO95" s="2" t="str">
        <f t="shared" si="118"/>
        <v>Ven</v>
      </c>
      <c r="BP95" s="2" t="str">
        <f t="shared" si="118"/>
        <v>Sam</v>
      </c>
      <c r="BQ95" s="2" t="str">
        <f t="shared" si="118"/>
        <v>Dim</v>
      </c>
      <c r="BR95" s="2" t="str">
        <f t="shared" si="118"/>
        <v>Lundi</v>
      </c>
      <c r="BS95" s="2" t="str">
        <f t="shared" si="118"/>
        <v>mardi</v>
      </c>
      <c r="BT95" s="2" t="str">
        <f t="shared" si="118"/>
        <v>Mer</v>
      </c>
      <c r="BU95" s="2" t="str">
        <f t="shared" si="118"/>
        <v>Jeu</v>
      </c>
      <c r="BV95" s="2" t="str">
        <f t="shared" si="118"/>
        <v>Ven</v>
      </c>
      <c r="BW95" s="2" t="str">
        <f t="shared" si="118"/>
        <v>Sam</v>
      </c>
      <c r="BX95" s="2" t="str">
        <f t="shared" si="118"/>
        <v>Dim</v>
      </c>
      <c r="BY95" s="2" t="str">
        <f t="shared" si="118"/>
        <v>Lundi</v>
      </c>
      <c r="BZ95" s="2" t="str">
        <f t="shared" si="118"/>
        <v>mardi</v>
      </c>
      <c r="CA95" s="2" t="str">
        <f t="shared" si="118"/>
        <v>Mer</v>
      </c>
      <c r="CB95" s="2" t="str">
        <f t="shared" si="118"/>
        <v>Jeu</v>
      </c>
      <c r="CC95" s="2" t="str">
        <f t="shared" si="118"/>
        <v>Ven</v>
      </c>
      <c r="CD95" s="2" t="str">
        <f t="shared" si="118"/>
        <v>Sam</v>
      </c>
      <c r="CE95" s="2" t="str">
        <f t="shared" si="118"/>
        <v>Dim</v>
      </c>
      <c r="CF95" s="2" t="str">
        <f t="shared" si="118"/>
        <v>Lundi</v>
      </c>
      <c r="CG95" s="2" t="str">
        <f t="shared" si="118"/>
        <v>mardi</v>
      </c>
      <c r="CH95" s="2" t="str">
        <f t="shared" si="118"/>
        <v>Mer</v>
      </c>
      <c r="CI95" s="2" t="str">
        <f t="shared" si="118"/>
        <v>Jeu</v>
      </c>
      <c r="CJ95" s="2" t="str">
        <f t="shared" si="118"/>
        <v>Ven</v>
      </c>
      <c r="CK95" s="2" t="str">
        <f t="shared" si="118"/>
        <v>Sam</v>
      </c>
      <c r="CL95" s="2" t="str">
        <f t="shared" si="118"/>
        <v>Dim</v>
      </c>
      <c r="CM95" s="2" t="str">
        <f t="shared" si="118"/>
        <v>Lundi</v>
      </c>
      <c r="CN95" s="2" t="str">
        <f t="shared" si="118"/>
        <v>mardi</v>
      </c>
      <c r="CO95" s="2" t="str">
        <f t="shared" si="118"/>
        <v>Mer</v>
      </c>
      <c r="CP95" s="2" t="str">
        <f t="shared" si="118"/>
        <v>Jeu</v>
      </c>
      <c r="CQ95" s="2" t="str">
        <f t="shared" si="118"/>
        <v>Ven</v>
      </c>
      <c r="CR95" s="2" t="str">
        <f t="shared" si="118"/>
        <v>Sam</v>
      </c>
      <c r="CS95" s="2" t="str">
        <f t="shared" si="118"/>
        <v>Dim</v>
      </c>
      <c r="CT95" s="2" t="str">
        <f t="shared" si="118"/>
        <v>Lundi</v>
      </c>
      <c r="CU95" s="2" t="str">
        <f t="shared" si="118"/>
        <v>mardi</v>
      </c>
      <c r="CV95" s="2" t="str">
        <f t="shared" si="118"/>
        <v>Mer</v>
      </c>
      <c r="CW95" s="2" t="str">
        <f t="shared" si="118"/>
        <v>Jeu</v>
      </c>
      <c r="CX95" s="2" t="str">
        <f t="shared" si="118"/>
        <v>Ven</v>
      </c>
      <c r="CY95" s="2" t="str">
        <f t="shared" si="118"/>
        <v>Sam</v>
      </c>
      <c r="CZ95" s="2" t="str">
        <f t="shared" si="118"/>
        <v>Dim</v>
      </c>
      <c r="DA95" s="2" t="str">
        <f t="shared" si="118"/>
        <v>Lundi</v>
      </c>
      <c r="DB95" s="2" t="str">
        <f t="shared" si="118"/>
        <v>mardi</v>
      </c>
      <c r="DC95" s="2" t="str">
        <f t="shared" si="118"/>
        <v>Mer</v>
      </c>
      <c r="DD95" s="2" t="str">
        <f t="shared" si="118"/>
        <v>Jeu</v>
      </c>
      <c r="DE95" s="2" t="str">
        <f t="shared" si="118"/>
        <v>Ven</v>
      </c>
      <c r="DF95" s="2" t="str">
        <f t="shared" si="118"/>
        <v>Sam</v>
      </c>
      <c r="DG95" s="2" t="str">
        <f t="shared" si="118"/>
        <v>Dim</v>
      </c>
      <c r="DH95" s="2" t="str">
        <f t="shared" si="118"/>
        <v>Lundi</v>
      </c>
      <c r="DI95" s="2" t="str">
        <f t="shared" si="118"/>
        <v>mardi</v>
      </c>
      <c r="DJ95" s="2" t="str">
        <f t="shared" si="118"/>
        <v>Mer</v>
      </c>
      <c r="DK95" s="2" t="str">
        <f t="shared" si="118"/>
        <v>Jeu</v>
      </c>
      <c r="DL95" s="2" t="str">
        <f t="shared" si="118"/>
        <v>Ven</v>
      </c>
      <c r="DM95" s="2" t="str">
        <f t="shared" si="118"/>
        <v>Sam</v>
      </c>
      <c r="DN95" s="2" t="str">
        <f t="shared" si="118"/>
        <v>Dim</v>
      </c>
      <c r="DO95" s="2" t="str">
        <f t="shared" si="118"/>
        <v>Lundi</v>
      </c>
      <c r="DP95" s="2" t="str">
        <f t="shared" si="118"/>
        <v>mardi</v>
      </c>
      <c r="DQ95" s="2" t="str">
        <f t="shared" si="118"/>
        <v>Mer</v>
      </c>
      <c r="DR95" s="2" t="str">
        <f t="shared" si="118"/>
        <v>Jeu</v>
      </c>
      <c r="DS95" s="2" t="str">
        <f t="shared" si="118"/>
        <v>Ven</v>
      </c>
      <c r="DT95" s="2" t="str">
        <f t="shared" si="118"/>
        <v>Sam</v>
      </c>
      <c r="DU95" s="2" t="str">
        <f t="shared" si="118"/>
        <v>Dim</v>
      </c>
      <c r="DV95" s="11">
        <f t="shared" si="118"/>
        <v>0</v>
      </c>
      <c r="DW95" s="177">
        <f t="shared" si="118"/>
        <v>0</v>
      </c>
      <c r="FD95" s="228">
        <v>0</v>
      </c>
      <c r="FE95" s="229">
        <f ca="1">+FE91-FE93-FE94</f>
        <v>0</v>
      </c>
      <c r="FF95" s="229">
        <f t="shared" ref="FF95:FK95" ca="1" si="119">+FF91-FF93-FF94</f>
        <v>-1.8835264953772821</v>
      </c>
      <c r="FG95" s="229">
        <f t="shared" ca="1" si="119"/>
        <v>15.373049710998657</v>
      </c>
      <c r="FH95" s="229">
        <f t="shared" ca="1" si="119"/>
        <v>7.7422088055063796</v>
      </c>
      <c r="FI95" s="229">
        <f t="shared" ca="1" si="119"/>
        <v>14.666272939611531</v>
      </c>
      <c r="FJ95" s="229">
        <f t="shared" ca="1" si="119"/>
        <v>3.1753323422832409</v>
      </c>
      <c r="FK95" s="229" t="e">
        <f t="shared" ca="1" si="119"/>
        <v>#REF!</v>
      </c>
      <c r="FL95" s="229" t="e">
        <f ca="1">+FL91-FL93-FL94</f>
        <v>#REF!</v>
      </c>
      <c r="FN95" s="28">
        <f ca="1">SUM(FE95:FH95)</f>
        <v>21.231732021127755</v>
      </c>
      <c r="FP95">
        <f>14*26*25</f>
        <v>9100</v>
      </c>
    </row>
    <row r="96" spans="1:178" ht="23.4" outlineLevel="1">
      <c r="E96" s="39">
        <f>E$9</f>
        <v>44877</v>
      </c>
      <c r="F96" s="39">
        <f t="shared" ref="F96:DW96" si="120">F$9</f>
        <v>44878</v>
      </c>
      <c r="G96" s="39">
        <f t="shared" si="120"/>
        <v>44879</v>
      </c>
      <c r="H96" s="39">
        <f t="shared" si="120"/>
        <v>44880</v>
      </c>
      <c r="I96" s="39">
        <f t="shared" si="120"/>
        <v>44881</v>
      </c>
      <c r="J96" s="39">
        <f t="shared" si="120"/>
        <v>44882</v>
      </c>
      <c r="K96" s="39">
        <f t="shared" si="120"/>
        <v>44883</v>
      </c>
      <c r="L96" s="39">
        <f t="shared" si="120"/>
        <v>44884</v>
      </c>
      <c r="M96" s="39">
        <f t="shared" si="120"/>
        <v>44885</v>
      </c>
      <c r="N96" s="39">
        <f t="shared" si="120"/>
        <v>44886</v>
      </c>
      <c r="O96" s="39">
        <f t="shared" si="120"/>
        <v>44887</v>
      </c>
      <c r="P96" s="39">
        <f t="shared" si="120"/>
        <v>44888</v>
      </c>
      <c r="Q96" s="39">
        <f t="shared" si="120"/>
        <v>44889</v>
      </c>
      <c r="R96" s="39">
        <f t="shared" si="120"/>
        <v>44890</v>
      </c>
      <c r="S96" s="39">
        <f t="shared" si="120"/>
        <v>44891</v>
      </c>
      <c r="T96" s="39">
        <f t="shared" si="120"/>
        <v>44892</v>
      </c>
      <c r="U96" s="39">
        <f t="shared" si="120"/>
        <v>44893</v>
      </c>
      <c r="V96" s="39">
        <f t="shared" si="120"/>
        <v>44894</v>
      </c>
      <c r="W96" s="39">
        <f t="shared" si="120"/>
        <v>44895</v>
      </c>
      <c r="X96" s="39">
        <f t="shared" si="120"/>
        <v>44896</v>
      </c>
      <c r="Y96" s="39">
        <f t="shared" si="120"/>
        <v>44897</v>
      </c>
      <c r="Z96" s="39">
        <f t="shared" si="120"/>
        <v>44898</v>
      </c>
      <c r="AA96" s="39">
        <f t="shared" si="120"/>
        <v>44899</v>
      </c>
      <c r="AB96" s="39">
        <f t="shared" si="120"/>
        <v>44900</v>
      </c>
      <c r="AC96" s="39">
        <f t="shared" si="120"/>
        <v>44901</v>
      </c>
      <c r="AD96" s="39">
        <f t="shared" si="120"/>
        <v>44902</v>
      </c>
      <c r="AE96" s="39">
        <f t="shared" si="120"/>
        <v>44903</v>
      </c>
      <c r="AF96" s="39">
        <f t="shared" si="120"/>
        <v>44904</v>
      </c>
      <c r="AG96" s="39">
        <f t="shared" si="120"/>
        <v>44905</v>
      </c>
      <c r="AH96" s="39">
        <f t="shared" si="120"/>
        <v>44906</v>
      </c>
      <c r="AI96" s="39">
        <f t="shared" si="120"/>
        <v>44907</v>
      </c>
      <c r="AJ96" s="39">
        <f t="shared" si="120"/>
        <v>44908</v>
      </c>
      <c r="AK96" s="39">
        <f t="shared" si="120"/>
        <v>44909</v>
      </c>
      <c r="AL96" s="39">
        <f t="shared" si="120"/>
        <v>44910</v>
      </c>
      <c r="AM96" s="39">
        <f t="shared" si="120"/>
        <v>44911</v>
      </c>
      <c r="AN96" s="39">
        <f t="shared" si="120"/>
        <v>44912</v>
      </c>
      <c r="AO96" s="39">
        <f t="shared" si="120"/>
        <v>44913</v>
      </c>
      <c r="AP96" s="39">
        <f t="shared" si="120"/>
        <v>44914</v>
      </c>
      <c r="AQ96" s="39">
        <f t="shared" si="120"/>
        <v>44915</v>
      </c>
      <c r="AR96" s="39">
        <f t="shared" si="120"/>
        <v>44916</v>
      </c>
      <c r="AS96" s="39">
        <f t="shared" si="120"/>
        <v>44917</v>
      </c>
      <c r="AT96" s="39">
        <f t="shared" si="120"/>
        <v>44918</v>
      </c>
      <c r="AU96" s="39">
        <f t="shared" si="120"/>
        <v>44919</v>
      </c>
      <c r="AV96" s="39">
        <f t="shared" si="120"/>
        <v>44920</v>
      </c>
      <c r="AW96" s="39">
        <f t="shared" si="120"/>
        <v>44921</v>
      </c>
      <c r="AX96" s="39">
        <f t="shared" si="120"/>
        <v>44922</v>
      </c>
      <c r="AY96" s="39">
        <f t="shared" si="120"/>
        <v>44923</v>
      </c>
      <c r="AZ96" s="39">
        <f t="shared" si="120"/>
        <v>44924</v>
      </c>
      <c r="BA96" s="39">
        <f t="shared" si="120"/>
        <v>44925</v>
      </c>
      <c r="BB96" s="39">
        <f t="shared" si="120"/>
        <v>44926</v>
      </c>
      <c r="BC96" s="39">
        <f t="shared" si="120"/>
        <v>44927</v>
      </c>
      <c r="BD96" s="39">
        <f t="shared" si="120"/>
        <v>44928</v>
      </c>
      <c r="BE96" s="39">
        <f t="shared" si="120"/>
        <v>44929</v>
      </c>
      <c r="BF96" s="39">
        <f t="shared" si="120"/>
        <v>44930</v>
      </c>
      <c r="BG96" s="39">
        <f t="shared" si="120"/>
        <v>44931</v>
      </c>
      <c r="BH96" s="39">
        <f t="shared" si="120"/>
        <v>44932</v>
      </c>
      <c r="BI96" s="39">
        <f t="shared" si="120"/>
        <v>44933</v>
      </c>
      <c r="BJ96" s="39">
        <f t="shared" si="120"/>
        <v>44934</v>
      </c>
      <c r="BK96" s="39">
        <f t="shared" si="120"/>
        <v>44935</v>
      </c>
      <c r="BL96" s="39">
        <f t="shared" si="120"/>
        <v>44936</v>
      </c>
      <c r="BM96" s="39">
        <f t="shared" si="120"/>
        <v>44937</v>
      </c>
      <c r="BN96" s="39">
        <f t="shared" si="120"/>
        <v>44938</v>
      </c>
      <c r="BO96" s="39">
        <f t="shared" si="120"/>
        <v>44939</v>
      </c>
      <c r="BP96" s="39">
        <f t="shared" si="120"/>
        <v>44940</v>
      </c>
      <c r="BQ96" s="39">
        <f t="shared" si="120"/>
        <v>44941</v>
      </c>
      <c r="BR96" s="39">
        <f t="shared" si="120"/>
        <v>44942</v>
      </c>
      <c r="BS96" s="39">
        <f t="shared" si="120"/>
        <v>44943</v>
      </c>
      <c r="BT96" s="39">
        <f t="shared" si="120"/>
        <v>44944</v>
      </c>
      <c r="BU96" s="39">
        <f t="shared" si="120"/>
        <v>44945</v>
      </c>
      <c r="BV96" s="39">
        <f t="shared" si="120"/>
        <v>44946</v>
      </c>
      <c r="BW96" s="39">
        <f t="shared" si="120"/>
        <v>44947</v>
      </c>
      <c r="BX96" s="39">
        <f t="shared" si="120"/>
        <v>44948</v>
      </c>
      <c r="BY96" s="39">
        <f t="shared" si="120"/>
        <v>44949</v>
      </c>
      <c r="BZ96" s="39">
        <f t="shared" si="120"/>
        <v>44950</v>
      </c>
      <c r="CA96" s="39">
        <f t="shared" si="120"/>
        <v>44951</v>
      </c>
      <c r="CB96" s="39">
        <f t="shared" si="120"/>
        <v>44952</v>
      </c>
      <c r="CC96" s="39">
        <f t="shared" si="120"/>
        <v>44953</v>
      </c>
      <c r="CD96" s="39">
        <f t="shared" si="120"/>
        <v>44954</v>
      </c>
      <c r="CE96" s="39">
        <f t="shared" si="120"/>
        <v>44955</v>
      </c>
      <c r="CF96" s="39">
        <f t="shared" si="120"/>
        <v>44956</v>
      </c>
      <c r="CG96" s="39">
        <f t="shared" si="120"/>
        <v>44957</v>
      </c>
      <c r="CH96" s="39">
        <f t="shared" si="120"/>
        <v>44958</v>
      </c>
      <c r="CI96" s="39">
        <f t="shared" si="120"/>
        <v>44959</v>
      </c>
      <c r="CJ96" s="39">
        <f t="shared" si="120"/>
        <v>44960</v>
      </c>
      <c r="CK96" s="39">
        <f t="shared" si="120"/>
        <v>44961</v>
      </c>
      <c r="CL96" s="39">
        <f t="shared" si="120"/>
        <v>44962</v>
      </c>
      <c r="CM96" s="39">
        <f t="shared" si="120"/>
        <v>44963</v>
      </c>
      <c r="CN96" s="39">
        <f t="shared" si="120"/>
        <v>44964</v>
      </c>
      <c r="CO96" s="39">
        <f t="shared" si="120"/>
        <v>44965</v>
      </c>
      <c r="CP96" s="39">
        <f t="shared" si="120"/>
        <v>44966</v>
      </c>
      <c r="CQ96" s="39">
        <f t="shared" si="120"/>
        <v>44967</v>
      </c>
      <c r="CR96" s="39">
        <f t="shared" si="120"/>
        <v>44968</v>
      </c>
      <c r="CS96" s="39">
        <f t="shared" si="120"/>
        <v>44969</v>
      </c>
      <c r="CT96" s="39">
        <f t="shared" si="120"/>
        <v>44970</v>
      </c>
      <c r="CU96" s="39">
        <f t="shared" si="120"/>
        <v>44971</v>
      </c>
      <c r="CV96" s="39">
        <f t="shared" si="120"/>
        <v>44972</v>
      </c>
      <c r="CW96" s="39">
        <f t="shared" si="120"/>
        <v>44973</v>
      </c>
      <c r="CX96" s="39">
        <f t="shared" si="120"/>
        <v>44974</v>
      </c>
      <c r="CY96" s="39">
        <f t="shared" si="120"/>
        <v>44975</v>
      </c>
      <c r="CZ96" s="39">
        <f t="shared" si="120"/>
        <v>44976</v>
      </c>
      <c r="DA96" s="39">
        <f t="shared" si="120"/>
        <v>44977</v>
      </c>
      <c r="DB96" s="39">
        <f t="shared" si="120"/>
        <v>44978</v>
      </c>
      <c r="DC96" s="39">
        <f t="shared" si="120"/>
        <v>44979</v>
      </c>
      <c r="DD96" s="39">
        <f t="shared" si="120"/>
        <v>44980</v>
      </c>
      <c r="DE96" s="39">
        <f t="shared" si="120"/>
        <v>44981</v>
      </c>
      <c r="DF96" s="39">
        <f t="shared" si="120"/>
        <v>44982</v>
      </c>
      <c r="DG96" s="39">
        <f t="shared" si="120"/>
        <v>44983</v>
      </c>
      <c r="DH96" s="39">
        <f t="shared" si="120"/>
        <v>44984</v>
      </c>
      <c r="DI96" s="39">
        <f t="shared" si="120"/>
        <v>44985</v>
      </c>
      <c r="DJ96" s="39">
        <f t="shared" si="120"/>
        <v>44986</v>
      </c>
      <c r="DK96" s="39">
        <f t="shared" si="120"/>
        <v>44987</v>
      </c>
      <c r="DL96" s="39">
        <f t="shared" si="120"/>
        <v>44988</v>
      </c>
      <c r="DM96" s="39">
        <f t="shared" si="120"/>
        <v>44989</v>
      </c>
      <c r="DN96" s="39">
        <f t="shared" si="120"/>
        <v>44990</v>
      </c>
      <c r="DO96" s="39">
        <f t="shared" si="120"/>
        <v>44991</v>
      </c>
      <c r="DP96" s="39">
        <f t="shared" si="120"/>
        <v>44992</v>
      </c>
      <c r="DQ96" s="39">
        <f t="shared" si="120"/>
        <v>44993</v>
      </c>
      <c r="DR96" s="39">
        <f t="shared" si="120"/>
        <v>44994</v>
      </c>
      <c r="DS96" s="39">
        <f t="shared" si="120"/>
        <v>44995</v>
      </c>
      <c r="DT96" s="39">
        <f t="shared" si="120"/>
        <v>44996</v>
      </c>
      <c r="DU96" s="39">
        <f t="shared" si="120"/>
        <v>44997</v>
      </c>
      <c r="DV96" s="197">
        <f t="shared" si="120"/>
        <v>0</v>
      </c>
      <c r="DW96" s="183">
        <f t="shared" si="120"/>
        <v>0</v>
      </c>
      <c r="DZ96" s="40"/>
      <c r="FD96">
        <v>0</v>
      </c>
      <c r="FN96" s="2">
        <v>0</v>
      </c>
    </row>
    <row r="97" spans="1:183" outlineLevel="1">
      <c r="D97" s="6"/>
      <c r="E97" s="2" t="str">
        <f>E$10</f>
        <v>BDX</v>
      </c>
      <c r="F97" s="2" t="str">
        <f t="shared" ref="F97:DW97" si="121">F$10</f>
        <v>Hanoi</v>
      </c>
      <c r="G97" s="2" t="str">
        <f t="shared" si="121"/>
        <v>Hanoi</v>
      </c>
      <c r="H97" s="2" t="str">
        <f t="shared" si="121"/>
        <v>Hanoi</v>
      </c>
      <c r="I97" s="2" t="str">
        <f t="shared" si="121"/>
        <v>Hanoi</v>
      </c>
      <c r="J97" s="2" t="str">
        <f t="shared" si="121"/>
        <v>Hanoi</v>
      </c>
      <c r="K97" s="2" t="str">
        <f t="shared" si="121"/>
        <v>Hanoi</v>
      </c>
      <c r="L97" s="2" t="str">
        <f t="shared" si="121"/>
        <v>Hanoi</v>
      </c>
      <c r="M97" s="2" t="str">
        <f t="shared" si="121"/>
        <v>Hanoi</v>
      </c>
      <c r="N97" s="2" t="str">
        <f t="shared" si="121"/>
        <v>Hanoi</v>
      </c>
      <c r="O97" s="2" t="str">
        <f t="shared" si="121"/>
        <v>Hanoi</v>
      </c>
      <c r="P97" s="2" t="str">
        <f t="shared" si="121"/>
        <v>Hanoi</v>
      </c>
      <c r="Q97" s="2" t="str">
        <f t="shared" si="121"/>
        <v>Hanoi</v>
      </c>
      <c r="R97" s="2" t="str">
        <f t="shared" si="121"/>
        <v>Ha Giang</v>
      </c>
      <c r="S97" s="2" t="str">
        <f t="shared" si="121"/>
        <v>Ha Giang</v>
      </c>
      <c r="T97" s="2" t="str">
        <f t="shared" si="121"/>
        <v>Hanoi</v>
      </c>
      <c r="U97" s="2" t="str">
        <f t="shared" si="121"/>
        <v>Hanoi</v>
      </c>
      <c r="V97" s="2" t="str">
        <f t="shared" si="121"/>
        <v>Hanoi</v>
      </c>
      <c r="W97" s="2" t="str">
        <f t="shared" si="121"/>
        <v>Hanoi</v>
      </c>
      <c r="X97" s="2" t="str">
        <f t="shared" si="121"/>
        <v>Hanoi</v>
      </c>
      <c r="Y97" s="2" t="str">
        <f t="shared" si="121"/>
        <v>Hanoi</v>
      </c>
      <c r="Z97" s="2" t="str">
        <f t="shared" si="121"/>
        <v>HaiPhong</v>
      </c>
      <c r="AA97" s="2" t="str">
        <f t="shared" si="121"/>
        <v>HaiPhong</v>
      </c>
      <c r="AB97" s="2" t="str">
        <f t="shared" si="121"/>
        <v>Hanoi</v>
      </c>
      <c r="AC97" s="2" t="str">
        <f t="shared" si="121"/>
        <v>Hanoi</v>
      </c>
      <c r="AD97" s="2" t="str">
        <f t="shared" si="121"/>
        <v>Thai Nguyen</v>
      </c>
      <c r="AE97" s="2" t="str">
        <f t="shared" si="121"/>
        <v>Hanoi</v>
      </c>
      <c r="AF97" s="2" t="str">
        <f t="shared" si="121"/>
        <v>Hanoi</v>
      </c>
      <c r="AG97" s="2" t="str">
        <f t="shared" si="121"/>
        <v>Hanoi</v>
      </c>
      <c r="AH97" s="2" t="str">
        <f t="shared" si="121"/>
        <v>Hanoi</v>
      </c>
      <c r="AI97" s="2" t="str">
        <f t="shared" si="121"/>
        <v>Hanoi</v>
      </c>
      <c r="AJ97" s="2" t="str">
        <f t="shared" si="121"/>
        <v>Hanoi</v>
      </c>
      <c r="AK97" s="2" t="str">
        <f t="shared" si="121"/>
        <v>Hanoi</v>
      </c>
      <c r="AL97" s="2" t="str">
        <f>AL$10</f>
        <v>Hanoi</v>
      </c>
      <c r="AM97" s="2" t="str">
        <f>AM$10</f>
        <v>Hanoi</v>
      </c>
      <c r="AN97" s="2" t="str">
        <f t="shared" si="121"/>
        <v>Hanoi</v>
      </c>
      <c r="AO97" s="2" t="str">
        <f t="shared" si="121"/>
        <v>Hanoi</v>
      </c>
      <c r="AP97" s="2" t="str">
        <f t="shared" si="121"/>
        <v>Hanoi</v>
      </c>
      <c r="AQ97" s="2" t="str">
        <f t="shared" si="121"/>
        <v>Hanoi</v>
      </c>
      <c r="AR97" s="2" t="str">
        <f t="shared" si="121"/>
        <v>Hanoi</v>
      </c>
      <c r="AS97" s="2" t="str">
        <f t="shared" si="121"/>
        <v>BacNinh</v>
      </c>
      <c r="AT97" s="2" t="str">
        <f t="shared" si="121"/>
        <v>Hanoi</v>
      </c>
      <c r="AU97" s="2" t="str">
        <f t="shared" si="121"/>
        <v>Hanoi</v>
      </c>
      <c r="AV97" s="2" t="str">
        <f t="shared" si="121"/>
        <v>Hanoi</v>
      </c>
      <c r="AW97" s="2" t="str">
        <f t="shared" si="121"/>
        <v>Hanoi</v>
      </c>
      <c r="AX97" s="2" t="str">
        <f t="shared" si="121"/>
        <v>Hanoi</v>
      </c>
      <c r="AY97" s="2" t="str">
        <f t="shared" si="121"/>
        <v>Hanoi</v>
      </c>
      <c r="AZ97" s="2" t="str">
        <f t="shared" si="121"/>
        <v>Hanoi</v>
      </c>
      <c r="BA97" s="2" t="str">
        <f t="shared" si="121"/>
        <v>Hanoi</v>
      </c>
      <c r="BB97" s="2" t="str">
        <f t="shared" si="121"/>
        <v>Hanoi</v>
      </c>
      <c r="BC97" s="2" t="str">
        <f t="shared" si="121"/>
        <v>Hanoi</v>
      </c>
      <c r="BD97" s="2" t="str">
        <f t="shared" si="121"/>
        <v>Hanoi</v>
      </c>
      <c r="BE97" s="2" t="str">
        <f t="shared" si="121"/>
        <v>Hanoi</v>
      </c>
      <c r="BF97" s="2" t="str">
        <f t="shared" si="121"/>
        <v>Hanoi</v>
      </c>
      <c r="BG97" s="2" t="str">
        <f t="shared" si="121"/>
        <v>Hanoi</v>
      </c>
      <c r="BH97" s="2" t="str">
        <f t="shared" si="121"/>
        <v>Mariage</v>
      </c>
      <c r="BI97" s="2" t="str">
        <f t="shared" si="121"/>
        <v>Hanoi</v>
      </c>
      <c r="BJ97" s="2" t="str">
        <f t="shared" si="121"/>
        <v>Hanoi</v>
      </c>
      <c r="BK97" s="2" t="str">
        <f t="shared" si="121"/>
        <v>Hanoi</v>
      </c>
      <c r="BL97" s="2" t="str">
        <f t="shared" si="121"/>
        <v>Hanoi</v>
      </c>
      <c r="BM97" s="2" t="str">
        <f t="shared" si="121"/>
        <v>Hanoi</v>
      </c>
      <c r="BN97" s="2" t="str">
        <f t="shared" si="121"/>
        <v>Hanoi</v>
      </c>
      <c r="BO97" s="2" t="str">
        <f t="shared" si="121"/>
        <v>Hanoi</v>
      </c>
      <c r="BP97" s="2" t="str">
        <f t="shared" si="121"/>
        <v>Hanoi</v>
      </c>
      <c r="BQ97" s="2" t="str">
        <f t="shared" si="121"/>
        <v>Hanoi</v>
      </c>
      <c r="BR97" s="2" t="str">
        <f t="shared" si="121"/>
        <v>Hanoi</v>
      </c>
      <c r="BS97" s="2" t="str">
        <f t="shared" si="121"/>
        <v>Hanoi</v>
      </c>
      <c r="BT97" s="2" t="str">
        <f t="shared" si="121"/>
        <v>Hanoi</v>
      </c>
      <c r="BU97" s="2" t="str">
        <f t="shared" si="121"/>
        <v>Hanoi</v>
      </c>
      <c r="BV97" s="2" t="str">
        <f t="shared" si="121"/>
        <v>Hanoi</v>
      </c>
      <c r="BW97" s="2" t="str">
        <f t="shared" si="121"/>
        <v>Bac Ninh</v>
      </c>
      <c r="BX97" s="2" t="str">
        <f t="shared" si="121"/>
        <v>Hanoi</v>
      </c>
      <c r="BY97" s="2" t="str">
        <f t="shared" si="121"/>
        <v>Hanoi</v>
      </c>
      <c r="BZ97" s="2" t="str">
        <f t="shared" si="121"/>
        <v>Hanoi</v>
      </c>
      <c r="CA97" s="2" t="str">
        <f t="shared" si="121"/>
        <v>Hanoi</v>
      </c>
      <c r="CB97" s="2" t="str">
        <f t="shared" si="121"/>
        <v>Hanoi</v>
      </c>
      <c r="CC97" s="2" t="str">
        <f t="shared" si="121"/>
        <v>Hanoi</v>
      </c>
      <c r="CD97" s="2" t="str">
        <f t="shared" si="121"/>
        <v>Hanoi</v>
      </c>
      <c r="CE97" s="2" t="str">
        <f t="shared" si="121"/>
        <v>Hanoi</v>
      </c>
      <c r="CF97" s="2" t="str">
        <f t="shared" si="121"/>
        <v>Hanoi</v>
      </c>
      <c r="CG97" s="2" t="str">
        <f t="shared" si="121"/>
        <v>Hanoi</v>
      </c>
      <c r="CH97" s="2" t="str">
        <f t="shared" si="121"/>
        <v>Hanoi</v>
      </c>
      <c r="CI97" s="2" t="str">
        <f t="shared" si="121"/>
        <v>Hanoi</v>
      </c>
      <c r="CJ97" s="2" t="str">
        <f t="shared" si="121"/>
        <v>Hanoi</v>
      </c>
      <c r="CK97" s="2" t="str">
        <f t="shared" si="121"/>
        <v>Hanoi</v>
      </c>
      <c r="CL97" s="2" t="str">
        <f t="shared" si="121"/>
        <v>Hanoi</v>
      </c>
      <c r="CM97" s="2" t="str">
        <f t="shared" si="121"/>
        <v>Thaïlande</v>
      </c>
      <c r="CN97" s="2" t="str">
        <f t="shared" si="121"/>
        <v>Thaïlande</v>
      </c>
      <c r="CO97" s="2" t="str">
        <f t="shared" si="121"/>
        <v>Thaïlande</v>
      </c>
      <c r="CP97" s="2" t="str">
        <f t="shared" si="121"/>
        <v>Thaïlande</v>
      </c>
      <c r="CQ97" s="2" t="str">
        <f t="shared" si="121"/>
        <v>Thaïlande</v>
      </c>
      <c r="CR97" s="2" t="str">
        <f t="shared" si="121"/>
        <v>Hanoi</v>
      </c>
      <c r="CS97" s="2" t="str">
        <f t="shared" si="121"/>
        <v>Hanoi</v>
      </c>
      <c r="CT97" s="2" t="str">
        <f t="shared" si="121"/>
        <v>Hanoi</v>
      </c>
      <c r="CU97" s="2" t="str">
        <f t="shared" si="121"/>
        <v>Hanoi</v>
      </c>
      <c r="CV97" s="2" t="str">
        <f t="shared" si="121"/>
        <v>Hanoi</v>
      </c>
      <c r="CW97" s="2" t="str">
        <f t="shared" si="121"/>
        <v>Hanoi</v>
      </c>
      <c r="CX97" s="2" t="str">
        <f t="shared" si="121"/>
        <v>Thai Nguyen</v>
      </c>
      <c r="CY97" s="2" t="str">
        <f t="shared" si="121"/>
        <v>Hanoi</v>
      </c>
      <c r="CZ97" s="2" t="str">
        <f t="shared" si="121"/>
        <v>Hanoi</v>
      </c>
      <c r="DA97" s="2" t="str">
        <f t="shared" si="121"/>
        <v>Hanoi</v>
      </c>
      <c r="DB97" s="2" t="str">
        <f t="shared" si="121"/>
        <v>Hanoi</v>
      </c>
      <c r="DC97" s="2" t="str">
        <f t="shared" si="121"/>
        <v>Hanoi</v>
      </c>
      <c r="DD97" s="2" t="str">
        <f t="shared" si="121"/>
        <v>Hanoi</v>
      </c>
      <c r="DE97" s="2" t="str">
        <f t="shared" si="121"/>
        <v>Hanoi</v>
      </c>
      <c r="DF97" s="2" t="str">
        <f t="shared" si="121"/>
        <v>Hanoi</v>
      </c>
      <c r="DG97" s="2" t="str">
        <f t="shared" si="121"/>
        <v>HoiAn</v>
      </c>
      <c r="DH97" s="2" t="str">
        <f t="shared" si="121"/>
        <v>HoiAn</v>
      </c>
      <c r="DI97" s="2" t="str">
        <f t="shared" si="121"/>
        <v>HoiAn</v>
      </c>
      <c r="DJ97" s="2" t="str">
        <f t="shared" si="121"/>
        <v>Hanoi</v>
      </c>
      <c r="DK97" s="2" t="str">
        <f t="shared" si="121"/>
        <v>Hanoi</v>
      </c>
      <c r="DL97" s="2" t="str">
        <f t="shared" si="121"/>
        <v>Hanoi</v>
      </c>
      <c r="DM97" s="2" t="str">
        <f t="shared" si="121"/>
        <v>Hanoi</v>
      </c>
      <c r="DN97" s="2" t="str">
        <f t="shared" si="121"/>
        <v>Hanoi</v>
      </c>
      <c r="DO97" s="2" t="str">
        <f t="shared" si="121"/>
        <v>Hanoi</v>
      </c>
      <c r="DP97" s="2" t="str">
        <f t="shared" si="121"/>
        <v>Hanoi</v>
      </c>
      <c r="DQ97" s="2" t="str">
        <f t="shared" si="121"/>
        <v>Hanoi</v>
      </c>
      <c r="DR97" s="2" t="str">
        <f t="shared" si="121"/>
        <v>Hanoi</v>
      </c>
      <c r="DS97" s="2" t="str">
        <f t="shared" si="121"/>
        <v>Hanoi</v>
      </c>
      <c r="DT97" s="2" t="str">
        <f t="shared" si="121"/>
        <v>Hanoi</v>
      </c>
      <c r="DU97" s="2" t="str">
        <f t="shared" si="121"/>
        <v>BDX</v>
      </c>
      <c r="DV97" s="11">
        <f t="shared" si="121"/>
        <v>0</v>
      </c>
      <c r="DW97" s="177">
        <f t="shared" si="121"/>
        <v>0</v>
      </c>
      <c r="DX97" s="6"/>
      <c r="ED97" s="4"/>
      <c r="FD97">
        <v>0</v>
      </c>
      <c r="FE97" s="118" t="str">
        <f>+FE$11</f>
        <v>France</v>
      </c>
      <c r="FF97" s="118" t="str">
        <f>FF$33</f>
        <v>NOV 18 jrs</v>
      </c>
      <c r="FG97" s="118" t="str">
        <f>FG$33</f>
        <v>DEC 31 jrs</v>
      </c>
      <c r="FH97" s="118" t="str">
        <f>FH$33</f>
        <v>JAN 31 jrs</v>
      </c>
      <c r="FI97" s="118" t="str">
        <f>FI$33</f>
        <v>FEV 28 jrs</v>
      </c>
      <c r="FJ97" s="118" t="str">
        <f>FJ$33</f>
        <v>MAR 12 jrs</v>
      </c>
      <c r="FK97" s="118" t="str">
        <f>+FK$11</f>
        <v>SEPT</v>
      </c>
      <c r="FL97" s="167" t="str">
        <f>+FL$11</f>
        <v>OCT</v>
      </c>
      <c r="FN97" s="4" t="s">
        <v>851</v>
      </c>
      <c r="GA97" s="4" t="s">
        <v>14</v>
      </c>
    </row>
    <row r="98" spans="1:183" outlineLevel="1">
      <c r="D98" s="2"/>
      <c r="E98" s="2" t="str">
        <f t="shared" ref="E98:DW98" si="122">E$7</f>
        <v>Nbre jours</v>
      </c>
      <c r="F98" s="2">
        <f t="shared" si="122"/>
        <v>1</v>
      </c>
      <c r="G98" s="2">
        <f t="shared" si="122"/>
        <v>2</v>
      </c>
      <c r="H98" s="2">
        <f t="shared" si="122"/>
        <v>3</v>
      </c>
      <c r="I98" s="2">
        <f t="shared" si="122"/>
        <v>4</v>
      </c>
      <c r="J98" s="2">
        <f t="shared" si="122"/>
        <v>5</v>
      </c>
      <c r="K98" s="2">
        <f t="shared" si="122"/>
        <v>6</v>
      </c>
      <c r="L98" s="2">
        <f t="shared" si="122"/>
        <v>7</v>
      </c>
      <c r="M98" s="2">
        <f t="shared" si="122"/>
        <v>8</v>
      </c>
      <c r="N98" s="2">
        <f t="shared" si="122"/>
        <v>9</v>
      </c>
      <c r="O98" s="2">
        <f t="shared" si="122"/>
        <v>10</v>
      </c>
      <c r="P98" s="2">
        <f t="shared" si="122"/>
        <v>11</v>
      </c>
      <c r="Q98" s="2">
        <f t="shared" si="122"/>
        <v>12</v>
      </c>
      <c r="R98" s="2">
        <f t="shared" si="122"/>
        <v>13</v>
      </c>
      <c r="S98" s="2">
        <f t="shared" si="122"/>
        <v>14</v>
      </c>
      <c r="T98" s="2">
        <f t="shared" si="122"/>
        <v>15</v>
      </c>
      <c r="U98" s="2">
        <f t="shared" si="122"/>
        <v>16</v>
      </c>
      <c r="V98" s="2">
        <f t="shared" si="122"/>
        <v>17</v>
      </c>
      <c r="W98" s="2">
        <f t="shared" si="122"/>
        <v>18</v>
      </c>
      <c r="X98" s="2">
        <f t="shared" si="122"/>
        <v>19</v>
      </c>
      <c r="Y98" s="2">
        <f t="shared" si="122"/>
        <v>20</v>
      </c>
      <c r="Z98" s="2">
        <f t="shared" si="122"/>
        <v>21</v>
      </c>
      <c r="AA98" s="2">
        <f t="shared" si="122"/>
        <v>22</v>
      </c>
      <c r="AB98" s="2">
        <f t="shared" si="122"/>
        <v>23</v>
      </c>
      <c r="AC98" s="2">
        <f t="shared" si="122"/>
        <v>24</v>
      </c>
      <c r="AD98" s="2">
        <f t="shared" si="122"/>
        <v>25</v>
      </c>
      <c r="AE98" s="2">
        <f t="shared" si="122"/>
        <v>26</v>
      </c>
      <c r="AF98" s="2">
        <f t="shared" si="122"/>
        <v>27</v>
      </c>
      <c r="AG98" s="2">
        <f t="shared" si="122"/>
        <v>28</v>
      </c>
      <c r="AH98" s="2">
        <f t="shared" si="122"/>
        <v>29</v>
      </c>
      <c r="AI98" s="2">
        <f t="shared" si="122"/>
        <v>30</v>
      </c>
      <c r="AJ98" s="2">
        <f t="shared" si="122"/>
        <v>31</v>
      </c>
      <c r="AK98" s="2">
        <f t="shared" si="122"/>
        <v>32</v>
      </c>
      <c r="AL98" s="2">
        <f t="shared" si="122"/>
        <v>33</v>
      </c>
      <c r="AM98" s="2">
        <f t="shared" si="122"/>
        <v>34</v>
      </c>
      <c r="AN98" s="2">
        <f t="shared" si="122"/>
        <v>35</v>
      </c>
      <c r="AO98" s="2">
        <f t="shared" si="122"/>
        <v>36</v>
      </c>
      <c r="AP98" s="2">
        <f t="shared" si="122"/>
        <v>37</v>
      </c>
      <c r="AQ98" s="2">
        <f t="shared" si="122"/>
        <v>38</v>
      </c>
      <c r="AR98" s="2">
        <f t="shared" si="122"/>
        <v>39</v>
      </c>
      <c r="AS98" s="2">
        <f t="shared" si="122"/>
        <v>40</v>
      </c>
      <c r="AT98" s="2">
        <f t="shared" si="122"/>
        <v>41</v>
      </c>
      <c r="AU98" s="2">
        <f t="shared" si="122"/>
        <v>42</v>
      </c>
      <c r="AV98" s="2">
        <f t="shared" si="122"/>
        <v>43</v>
      </c>
      <c r="AW98" s="2">
        <f t="shared" si="122"/>
        <v>44</v>
      </c>
      <c r="AX98" s="2">
        <f t="shared" si="122"/>
        <v>45</v>
      </c>
      <c r="AY98" s="2">
        <f t="shared" si="122"/>
        <v>46</v>
      </c>
      <c r="AZ98" s="2">
        <f t="shared" si="122"/>
        <v>47</v>
      </c>
      <c r="BA98" s="2">
        <f t="shared" si="122"/>
        <v>48</v>
      </c>
      <c r="BB98" s="2">
        <f t="shared" si="122"/>
        <v>49</v>
      </c>
      <c r="BC98" s="2">
        <f t="shared" si="122"/>
        <v>50</v>
      </c>
      <c r="BD98" s="2">
        <f t="shared" si="122"/>
        <v>51</v>
      </c>
      <c r="BE98" s="2">
        <f t="shared" si="122"/>
        <v>52</v>
      </c>
      <c r="BF98" s="2">
        <f t="shared" si="122"/>
        <v>53</v>
      </c>
      <c r="BG98" s="2">
        <f t="shared" si="122"/>
        <v>54</v>
      </c>
      <c r="BH98" s="2">
        <f t="shared" si="122"/>
        <v>55</v>
      </c>
      <c r="BI98" s="2">
        <f t="shared" si="122"/>
        <v>56</v>
      </c>
      <c r="BJ98" s="2">
        <f t="shared" si="122"/>
        <v>57</v>
      </c>
      <c r="BK98" s="2">
        <f t="shared" si="122"/>
        <v>58</v>
      </c>
      <c r="BL98" s="2">
        <f t="shared" si="122"/>
        <v>59</v>
      </c>
      <c r="BM98" s="2">
        <f t="shared" si="122"/>
        <v>60</v>
      </c>
      <c r="BN98" s="2">
        <f t="shared" si="122"/>
        <v>61</v>
      </c>
      <c r="BO98" s="2">
        <f t="shared" si="122"/>
        <v>62</v>
      </c>
      <c r="BP98" s="2">
        <f t="shared" si="122"/>
        <v>63</v>
      </c>
      <c r="BQ98" s="2">
        <f t="shared" si="122"/>
        <v>64</v>
      </c>
      <c r="BR98" s="2">
        <f t="shared" si="122"/>
        <v>65</v>
      </c>
      <c r="BS98" s="2">
        <f t="shared" si="122"/>
        <v>66</v>
      </c>
      <c r="BT98" s="2">
        <f t="shared" si="122"/>
        <v>67</v>
      </c>
      <c r="BU98" s="2">
        <f t="shared" si="122"/>
        <v>68</v>
      </c>
      <c r="BV98" s="2">
        <f t="shared" si="122"/>
        <v>69</v>
      </c>
      <c r="BW98" s="2">
        <f t="shared" si="122"/>
        <v>70</v>
      </c>
      <c r="BX98" s="2">
        <f t="shared" si="122"/>
        <v>71</v>
      </c>
      <c r="BY98" s="2">
        <f t="shared" si="122"/>
        <v>72</v>
      </c>
      <c r="BZ98" s="2">
        <f t="shared" si="122"/>
        <v>73</v>
      </c>
      <c r="CA98" s="2">
        <f t="shared" si="122"/>
        <v>74</v>
      </c>
      <c r="CB98" s="2">
        <f t="shared" si="122"/>
        <v>75</v>
      </c>
      <c r="CC98" s="2">
        <f t="shared" si="122"/>
        <v>76</v>
      </c>
      <c r="CD98" s="2">
        <f t="shared" si="122"/>
        <v>77</v>
      </c>
      <c r="CE98" s="2">
        <f t="shared" si="122"/>
        <v>78</v>
      </c>
      <c r="CF98" s="2">
        <f t="shared" si="122"/>
        <v>79</v>
      </c>
      <c r="CG98" s="2">
        <f t="shared" si="122"/>
        <v>80</v>
      </c>
      <c r="CH98" s="2">
        <f t="shared" si="122"/>
        <v>81</v>
      </c>
      <c r="CI98" s="2">
        <f t="shared" si="122"/>
        <v>82</v>
      </c>
      <c r="CJ98" s="2">
        <f t="shared" si="122"/>
        <v>83</v>
      </c>
      <c r="CK98" s="2">
        <f t="shared" si="122"/>
        <v>84</v>
      </c>
      <c r="CL98" s="2">
        <f t="shared" si="122"/>
        <v>85</v>
      </c>
      <c r="CM98" s="2">
        <f t="shared" si="122"/>
        <v>86</v>
      </c>
      <c r="CN98" s="2">
        <f t="shared" si="122"/>
        <v>87</v>
      </c>
      <c r="CO98" s="2">
        <f t="shared" si="122"/>
        <v>88</v>
      </c>
      <c r="CP98" s="2">
        <f t="shared" si="122"/>
        <v>89</v>
      </c>
      <c r="CQ98" s="2">
        <f t="shared" si="122"/>
        <v>90</v>
      </c>
      <c r="CR98" s="2">
        <f t="shared" si="122"/>
        <v>91</v>
      </c>
      <c r="CS98" s="2">
        <f t="shared" si="122"/>
        <v>92</v>
      </c>
      <c r="CT98" s="2">
        <f t="shared" si="122"/>
        <v>93</v>
      </c>
      <c r="CU98" s="2">
        <f t="shared" si="122"/>
        <v>94</v>
      </c>
      <c r="CV98" s="2">
        <f t="shared" si="122"/>
        <v>95</v>
      </c>
      <c r="CW98" s="2">
        <f t="shared" si="122"/>
        <v>96</v>
      </c>
      <c r="CX98" s="2">
        <f t="shared" si="122"/>
        <v>97</v>
      </c>
      <c r="CY98" s="2">
        <f t="shared" si="122"/>
        <v>98</v>
      </c>
      <c r="CZ98" s="2">
        <f t="shared" si="122"/>
        <v>99</v>
      </c>
      <c r="DA98" s="2">
        <f t="shared" si="122"/>
        <v>100</v>
      </c>
      <c r="DB98" s="2">
        <f t="shared" si="122"/>
        <v>101</v>
      </c>
      <c r="DC98" s="2">
        <f t="shared" si="122"/>
        <v>102</v>
      </c>
      <c r="DD98" s="2">
        <f t="shared" si="122"/>
        <v>103</v>
      </c>
      <c r="DE98" s="2">
        <f t="shared" si="122"/>
        <v>104</v>
      </c>
      <c r="DF98" s="2">
        <f t="shared" si="122"/>
        <v>105</v>
      </c>
      <c r="DG98" s="2">
        <f t="shared" si="122"/>
        <v>106</v>
      </c>
      <c r="DH98" s="2">
        <f t="shared" si="122"/>
        <v>107</v>
      </c>
      <c r="DI98" s="2">
        <f t="shared" si="122"/>
        <v>108</v>
      </c>
      <c r="DJ98" s="2">
        <f t="shared" si="122"/>
        <v>109</v>
      </c>
      <c r="DK98" s="2">
        <f t="shared" si="122"/>
        <v>110</v>
      </c>
      <c r="DL98" s="2">
        <f t="shared" si="122"/>
        <v>111</v>
      </c>
      <c r="DM98" s="2">
        <f t="shared" si="122"/>
        <v>112</v>
      </c>
      <c r="DN98" s="2">
        <f t="shared" si="122"/>
        <v>113</v>
      </c>
      <c r="DO98" s="2">
        <f t="shared" si="122"/>
        <v>114</v>
      </c>
      <c r="DP98" s="2">
        <f t="shared" si="122"/>
        <v>115</v>
      </c>
      <c r="DQ98" s="2">
        <f t="shared" si="122"/>
        <v>116</v>
      </c>
      <c r="DR98" s="2">
        <f t="shared" si="122"/>
        <v>117</v>
      </c>
      <c r="DS98" s="2">
        <f t="shared" si="122"/>
        <v>118</v>
      </c>
      <c r="DT98" s="2">
        <f t="shared" si="122"/>
        <v>119</v>
      </c>
      <c r="DU98" s="2">
        <f t="shared" si="122"/>
        <v>120</v>
      </c>
      <c r="DV98" s="11">
        <f t="shared" si="122"/>
        <v>0</v>
      </c>
      <c r="DW98" s="177">
        <f t="shared" si="122"/>
        <v>0</v>
      </c>
      <c r="DX98" s="28"/>
      <c r="DZ98" s="20"/>
      <c r="ED98" s="4"/>
      <c r="FD98" t="s">
        <v>303</v>
      </c>
      <c r="FE98" s="312">
        <f>SUM(FF98:FJ98)</f>
        <v>120</v>
      </c>
      <c r="FF98" s="396">
        <f>FF8</f>
        <v>18</v>
      </c>
      <c r="FG98" s="396">
        <f>FG8</f>
        <v>31</v>
      </c>
      <c r="FH98" s="396">
        <f>FH8</f>
        <v>31</v>
      </c>
      <c r="FI98" s="396">
        <f>FI8</f>
        <v>28</v>
      </c>
      <c r="FJ98" s="396">
        <f>FJ8</f>
        <v>12</v>
      </c>
      <c r="FK98" s="118"/>
      <c r="FL98" s="167"/>
      <c r="FN98" s="161">
        <f>SUM(FF98:FJ98)</f>
        <v>120</v>
      </c>
      <c r="FP98" s="4" t="s">
        <v>719</v>
      </c>
      <c r="FQ98" s="4" t="str">
        <f>FH98&amp;" jours"</f>
        <v>31 jours</v>
      </c>
      <c r="GA98" s="4">
        <f>SUM(FP98:FY98)</f>
        <v>0</v>
      </c>
    </row>
    <row r="99" spans="1:183" outlineLevel="1">
      <c r="B99" t="s">
        <v>61</v>
      </c>
      <c r="C99" s="2" t="s">
        <v>328</v>
      </c>
      <c r="D99" s="6">
        <v>0</v>
      </c>
      <c r="E99" s="6">
        <f t="shared" ref="E99:N104" si="123">SUMIF($B$72:$B$89,$C99,E$72:E$89)</f>
        <v>0</v>
      </c>
      <c r="F99" s="6">
        <f t="shared" si="123"/>
        <v>29.606299212598426</v>
      </c>
      <c r="G99" s="6">
        <f t="shared" si="123"/>
        <v>28.070866141732285</v>
      </c>
      <c r="H99" s="6">
        <f t="shared" si="123"/>
        <v>28.700787401574804</v>
      </c>
      <c r="I99" s="6">
        <f t="shared" si="123"/>
        <v>9.3700787401574814</v>
      </c>
      <c r="J99" s="6">
        <f t="shared" si="123"/>
        <v>23.622047244094485</v>
      </c>
      <c r="K99" s="6">
        <f t="shared" si="123"/>
        <v>21.5748031496063</v>
      </c>
      <c r="L99" s="6">
        <f t="shared" si="123"/>
        <v>12.99212598425197</v>
      </c>
      <c r="M99" s="6">
        <f t="shared" si="123"/>
        <v>49.015748031496067</v>
      </c>
      <c r="N99" s="6">
        <f t="shared" si="123"/>
        <v>6.4173228346456694</v>
      </c>
      <c r="O99" s="6">
        <f t="shared" ref="O99:X104" si="124">SUMIF($B$72:$B$89,$C99,O$72:O$89)</f>
        <v>16.535433070866144</v>
      </c>
      <c r="P99" s="6">
        <f t="shared" si="124"/>
        <v>12.125984251968504</v>
      </c>
      <c r="Q99" s="6">
        <f t="shared" si="124"/>
        <v>3.7007874015748037</v>
      </c>
      <c r="R99" s="6">
        <f t="shared" si="124"/>
        <v>29.527559055118111</v>
      </c>
      <c r="S99" s="6">
        <f t="shared" si="124"/>
        <v>15.078740157480317</v>
      </c>
      <c r="T99" s="6">
        <f t="shared" si="124"/>
        <v>9.8425196850393721</v>
      </c>
      <c r="U99" s="6">
        <f t="shared" si="124"/>
        <v>29.133858267716537</v>
      </c>
      <c r="V99" s="6">
        <f t="shared" si="124"/>
        <v>20.590551181102363</v>
      </c>
      <c r="W99" s="6">
        <f t="shared" si="124"/>
        <v>27.165354330708663</v>
      </c>
      <c r="X99" s="6">
        <f t="shared" si="124"/>
        <v>20.393700787401578</v>
      </c>
      <c r="Y99" s="6">
        <f t="shared" ref="Y99:AH104" si="125">SUMIF($B$72:$B$89,$C99,Y$72:Y$89)</f>
        <v>21.062992125984252</v>
      </c>
      <c r="Z99" s="6">
        <f t="shared" si="125"/>
        <v>11.023622047244096</v>
      </c>
      <c r="AA99" s="6">
        <f t="shared" si="125"/>
        <v>20.275590551181107</v>
      </c>
      <c r="AB99" s="6">
        <f t="shared" si="125"/>
        <v>19.291338582677167</v>
      </c>
      <c r="AC99" s="6">
        <f t="shared" si="125"/>
        <v>25.433070866141733</v>
      </c>
      <c r="AD99" s="6">
        <f t="shared" si="125"/>
        <v>15.314960629921259</v>
      </c>
      <c r="AE99" s="6">
        <f t="shared" si="125"/>
        <v>5.7086614173228352</v>
      </c>
      <c r="AF99" s="6">
        <f t="shared" si="125"/>
        <v>18.30708661417323</v>
      </c>
      <c r="AG99" s="6">
        <f t="shared" si="125"/>
        <v>42.165354330708659</v>
      </c>
      <c r="AH99" s="6">
        <f t="shared" si="125"/>
        <v>34.566929133858274</v>
      </c>
      <c r="AI99" s="6">
        <f t="shared" ref="AI99:AR104" si="126">SUMIF($B$72:$B$89,$C99,AI$72:AI$89)</f>
        <v>66.732283464566933</v>
      </c>
      <c r="AJ99" s="6">
        <f t="shared" si="126"/>
        <v>19.488188976377955</v>
      </c>
      <c r="AK99" s="6">
        <f t="shared" si="126"/>
        <v>21.259842519685041</v>
      </c>
      <c r="AL99" s="6">
        <f t="shared" si="126"/>
        <v>28.056112224448899</v>
      </c>
      <c r="AM99" s="6">
        <f t="shared" si="126"/>
        <v>13.226452905811623</v>
      </c>
      <c r="AN99" s="6">
        <f t="shared" si="126"/>
        <v>35.070140280561127</v>
      </c>
      <c r="AO99" s="6">
        <f t="shared" si="126"/>
        <v>19.839679358717436</v>
      </c>
      <c r="AP99" s="6">
        <f t="shared" si="126"/>
        <v>18.557114228456914</v>
      </c>
      <c r="AQ99" s="6">
        <f t="shared" si="126"/>
        <v>23.607214428857716</v>
      </c>
      <c r="AR99" s="6">
        <f t="shared" si="126"/>
        <v>11.623246492985972</v>
      </c>
      <c r="AS99" s="6">
        <f t="shared" ref="AS99:BB104" si="127">SUMIF($B$72:$B$89,$C99,AS$72:AS$89)</f>
        <v>11.382765531062123</v>
      </c>
      <c r="AT99" s="6">
        <f t="shared" si="127"/>
        <v>36.673346693386776</v>
      </c>
      <c r="AU99" s="6">
        <f t="shared" si="127"/>
        <v>38.036072144288575</v>
      </c>
      <c r="AV99" s="6">
        <f t="shared" si="127"/>
        <v>19.839679358717436</v>
      </c>
      <c r="AW99" s="6">
        <f t="shared" si="127"/>
        <v>24.529058116232466</v>
      </c>
      <c r="AX99" s="6">
        <f t="shared" si="127"/>
        <v>24.448897795591183</v>
      </c>
      <c r="AY99" s="6">
        <f t="shared" si="127"/>
        <v>24.649298597194392</v>
      </c>
      <c r="AZ99" s="6">
        <f t="shared" si="127"/>
        <v>11.142284569138276</v>
      </c>
      <c r="BA99" s="6">
        <f t="shared" si="127"/>
        <v>24.248496993987974</v>
      </c>
      <c r="BB99" s="6">
        <f t="shared" si="127"/>
        <v>36.072144288577157</v>
      </c>
      <c r="BC99" s="6">
        <f t="shared" ref="BC99:BR104" si="128">SUMIF($B$72:$B$89,$C99,BC$72:BC$89)</f>
        <v>22.645290581162325</v>
      </c>
      <c r="BD99" s="6">
        <f t="shared" si="128"/>
        <v>13.668779714738513</v>
      </c>
      <c r="BE99" s="6">
        <f t="shared" si="128"/>
        <v>10.855784469096672</v>
      </c>
      <c r="BF99" s="6">
        <f t="shared" si="128"/>
        <v>25.95087163232964</v>
      </c>
      <c r="BG99" s="6">
        <f t="shared" si="128"/>
        <v>28.724247226624406</v>
      </c>
      <c r="BH99" s="6">
        <f t="shared" si="128"/>
        <v>10.697305863708401</v>
      </c>
      <c r="BI99" s="6">
        <f t="shared" si="128"/>
        <v>22.22662440570523</v>
      </c>
      <c r="BJ99" s="6">
        <f t="shared" si="128"/>
        <v>60.023771790808247</v>
      </c>
      <c r="BK99" s="6">
        <f t="shared" si="128"/>
        <v>17.828843106180667</v>
      </c>
      <c r="BL99" s="6">
        <f t="shared" si="128"/>
        <v>20.800316957210775</v>
      </c>
      <c r="BM99" s="6">
        <f t="shared" si="128"/>
        <v>21.19651347068146</v>
      </c>
      <c r="BN99" s="6">
        <f t="shared" si="128"/>
        <v>19.611727416798733</v>
      </c>
      <c r="BO99" s="6">
        <f t="shared" si="128"/>
        <v>10.618066561014263</v>
      </c>
      <c r="BP99" s="6">
        <f t="shared" si="128"/>
        <v>30.110935023771791</v>
      </c>
      <c r="BQ99" s="6">
        <f t="shared" si="128"/>
        <v>26.188589540412046</v>
      </c>
      <c r="BR99" s="6">
        <f t="shared" si="128"/>
        <v>21.790808240887479</v>
      </c>
      <c r="BS99" s="6">
        <f t="shared" ref="BL99:DU103" si="129">SUMIF($B$72:$B$89,$C99,BS$72:BS$89)</f>
        <v>51.505546751188589</v>
      </c>
      <c r="BT99" s="6">
        <f t="shared" si="129"/>
        <v>24.128367670364504</v>
      </c>
      <c r="BU99" s="6">
        <f t="shared" si="129"/>
        <v>70.166402535657681</v>
      </c>
      <c r="BV99" s="6">
        <f t="shared" si="129"/>
        <v>53.486529318542004</v>
      </c>
      <c r="BW99" s="6">
        <f t="shared" si="129"/>
        <v>20.007923930269413</v>
      </c>
      <c r="BX99" s="6">
        <f t="shared" si="129"/>
        <v>4.3581616481774965</v>
      </c>
      <c r="BY99" s="6">
        <f t="shared" si="129"/>
        <v>13.351822503961966</v>
      </c>
      <c r="BZ99" s="6">
        <f t="shared" si="129"/>
        <v>7.7258320126782891</v>
      </c>
      <c r="CA99" s="6">
        <f t="shared" si="129"/>
        <v>26.941362916006341</v>
      </c>
      <c r="CB99" s="6">
        <f t="shared" si="129"/>
        <v>9.5087163232963547</v>
      </c>
      <c r="CC99" s="6">
        <f t="shared" si="129"/>
        <v>21.473851030110936</v>
      </c>
      <c r="CD99" s="6">
        <f t="shared" si="129"/>
        <v>15.451664025356578</v>
      </c>
      <c r="CE99" s="6">
        <f t="shared" si="129"/>
        <v>21.55309033280507</v>
      </c>
      <c r="CF99" s="6">
        <f t="shared" si="129"/>
        <v>11.687797147385103</v>
      </c>
      <c r="CG99" s="6">
        <f t="shared" si="129"/>
        <v>39.263074484944539</v>
      </c>
      <c r="CH99" s="6">
        <f t="shared" si="129"/>
        <v>13.391442155309035</v>
      </c>
      <c r="CI99" s="6">
        <f t="shared" si="129"/>
        <v>12.123613312202853</v>
      </c>
      <c r="CJ99" s="6">
        <f t="shared" si="129"/>
        <v>8.1616481774960388</v>
      </c>
      <c r="CK99" s="6">
        <f t="shared" si="129"/>
        <v>44.492868462757535</v>
      </c>
      <c r="CL99" s="6">
        <f t="shared" si="129"/>
        <v>25.554675118858952</v>
      </c>
      <c r="CM99" s="6">
        <f t="shared" si="129"/>
        <v>39.482783460596465</v>
      </c>
      <c r="CN99" s="6">
        <f t="shared" si="129"/>
        <v>35.186572539979835</v>
      </c>
      <c r="CO99" s="6">
        <f t="shared" si="129"/>
        <v>55.578446909667193</v>
      </c>
      <c r="CP99" s="6">
        <f t="shared" si="129"/>
        <v>25.595735484800464</v>
      </c>
      <c r="CQ99" s="6">
        <f t="shared" si="129"/>
        <v>26.896700763578735</v>
      </c>
      <c r="CR99" s="6">
        <f t="shared" si="129"/>
        <v>21.210920616625863</v>
      </c>
      <c r="CS99" s="6">
        <f t="shared" si="129"/>
        <v>21.19651347068146</v>
      </c>
      <c r="CT99" s="6">
        <f t="shared" si="129"/>
        <v>27.931854199683045</v>
      </c>
      <c r="CU99" s="6">
        <f t="shared" si="129"/>
        <v>33.874801901743268</v>
      </c>
      <c r="CV99" s="6">
        <f t="shared" si="129"/>
        <v>14.659270998415217</v>
      </c>
      <c r="CW99" s="6">
        <f t="shared" si="129"/>
        <v>13.866877971473851</v>
      </c>
      <c r="CX99" s="6">
        <f t="shared" si="129"/>
        <v>67.749603803486536</v>
      </c>
      <c r="CY99" s="6">
        <f t="shared" si="129"/>
        <v>21.19651347068146</v>
      </c>
      <c r="CZ99" s="6">
        <f t="shared" si="129"/>
        <v>15.451664025356578</v>
      </c>
      <c r="DA99" s="6">
        <f t="shared" si="129"/>
        <v>35.93502377179081</v>
      </c>
      <c r="DB99" s="6">
        <f t="shared" si="129"/>
        <v>10.261489698890649</v>
      </c>
      <c r="DC99" s="6">
        <f t="shared" si="129"/>
        <v>23.573692551505548</v>
      </c>
      <c r="DD99" s="6">
        <f t="shared" si="129"/>
        <v>13.351822503961966</v>
      </c>
      <c r="DE99" s="6">
        <f t="shared" si="129"/>
        <v>16.24405705229794</v>
      </c>
      <c r="DF99" s="6">
        <f t="shared" si="129"/>
        <v>22.781299524564183</v>
      </c>
      <c r="DG99" s="6">
        <f t="shared" si="129"/>
        <v>23.969889064976229</v>
      </c>
      <c r="DH99" s="6">
        <f t="shared" si="129"/>
        <v>32.13153724247227</v>
      </c>
      <c r="DI99" s="6">
        <f t="shared" si="129"/>
        <v>12.282091917591126</v>
      </c>
      <c r="DJ99" s="6">
        <f t="shared" si="129"/>
        <v>56.458003169572109</v>
      </c>
      <c r="DK99" s="6">
        <f t="shared" si="129"/>
        <v>19.770206022187004</v>
      </c>
      <c r="DL99" s="6">
        <f t="shared" si="129"/>
        <v>4.3581616481774965</v>
      </c>
      <c r="DM99" s="6">
        <f t="shared" si="129"/>
        <v>11.489698890649763</v>
      </c>
      <c r="DN99" s="6">
        <f t="shared" si="129"/>
        <v>42.987321711568939</v>
      </c>
      <c r="DO99" s="6">
        <f t="shared" si="129"/>
        <v>29.71473851030111</v>
      </c>
      <c r="DP99" s="6">
        <f t="shared" si="129"/>
        <v>41.996830427892235</v>
      </c>
      <c r="DQ99" s="6">
        <f t="shared" si="129"/>
        <v>38.034865293185419</v>
      </c>
      <c r="DR99" s="6">
        <f t="shared" ref="DR99:DT102" si="130">SUMIF($B$72:$B$89,$C99,DR$72:DR$89)</f>
        <v>28.922345483359749</v>
      </c>
      <c r="DS99" s="6">
        <f t="shared" si="130"/>
        <v>23.177496038034867</v>
      </c>
      <c r="DT99" s="6">
        <f t="shared" si="130"/>
        <v>33.003169572107772</v>
      </c>
      <c r="DU99" s="6">
        <f t="shared" si="129"/>
        <v>7</v>
      </c>
      <c r="DV99" s="198">
        <f t="shared" ref="DV99:DW102" si="131">SUMIF($B$72:$B$87,$C99,DV$72:DV$87)</f>
        <v>0</v>
      </c>
      <c r="DW99" s="63">
        <f t="shared" si="131"/>
        <v>0</v>
      </c>
      <c r="DX99" s="28">
        <f>SUM($E99:DU99)</f>
        <v>2919.6913577673499</v>
      </c>
      <c r="DZ99" s="20"/>
      <c r="ED99" s="4"/>
      <c r="FD99" t="s">
        <v>328</v>
      </c>
      <c r="FE99" s="6">
        <f ca="1">SUM((INDIRECT(FE$9&amp;ROW()):(INDIRECT(FE$10&amp;ROW()))))</f>
        <v>0</v>
      </c>
      <c r="FF99" s="6">
        <f ca="1">SUM((INDIRECT(FF$9&amp;ROW()):(INDIRECT(FF$10&amp;ROW()))))</f>
        <v>373.07086614173227</v>
      </c>
      <c r="FG99" s="6">
        <f ca="1">SUM((INDIRECT(FG$9&amp;ROW()):(INDIRECT(FG$10&amp;ROW()))))</f>
        <v>742.02562605526032</v>
      </c>
      <c r="FH99" s="6">
        <f ca="1">SUM((INDIRECT(FH$9&amp;ROW()):(INDIRECT(FH$10&amp;ROW()))))</f>
        <v>753.54861863187568</v>
      </c>
      <c r="FI99" s="6">
        <f ca="1">SUM((INDIRECT(FI$9&amp;ROW()):(INDIRECT(FI$10&amp;ROW()))))</f>
        <v>714.13341017144512</v>
      </c>
      <c r="FJ99" s="6">
        <f ca="1">SUM((INDIRECT(FJ$9&amp;ROW()):(INDIRECT(FJ$10&amp;ROW()))))</f>
        <v>336.91283676703648</v>
      </c>
      <c r="FK99" s="6" t="e">
        <f ca="1">SUM((INDIRECT(FK$9&amp;ROW()):(INDIRECT(FK$10&amp;ROW()))))</f>
        <v>#REF!</v>
      </c>
      <c r="FL99" s="6" t="e">
        <f ca="1">SUM((INDIRECT(FL$9&amp;ROW()):(INDIRECT(FL$10&amp;ROW()))))</f>
        <v>#REF!</v>
      </c>
      <c r="FN99" s="6">
        <f ca="1">SUM(FF99:FJ99)</f>
        <v>2919.6913577673499</v>
      </c>
      <c r="FO99" s="6">
        <f ca="1">FN99/$FN$98</f>
        <v>24.330761314727916</v>
      </c>
      <c r="FP99" s="2">
        <v>26</v>
      </c>
      <c r="FQ99" s="14">
        <f ca="1">+FG99/$FG$98</f>
        <v>23.936310517911622</v>
      </c>
    </row>
    <row r="100" spans="1:183" outlineLevel="1">
      <c r="B100" t="s">
        <v>61</v>
      </c>
      <c r="C100" s="2" t="s">
        <v>559</v>
      </c>
      <c r="D100" s="6">
        <v>0</v>
      </c>
      <c r="E100" s="6">
        <f t="shared" si="123"/>
        <v>0</v>
      </c>
      <c r="F100" s="6">
        <f t="shared" si="123"/>
        <v>56.2992125984252</v>
      </c>
      <c r="G100" s="6">
        <f t="shared" si="123"/>
        <v>42.913385826771659</v>
      </c>
      <c r="H100" s="6">
        <f t="shared" si="123"/>
        <v>42.99212598425197</v>
      </c>
      <c r="I100" s="6">
        <f t="shared" si="123"/>
        <v>42.99212598425197</v>
      </c>
      <c r="J100" s="6">
        <f t="shared" si="123"/>
        <v>42.99212598425197</v>
      </c>
      <c r="K100" s="6">
        <f t="shared" si="123"/>
        <v>42.99212598425197</v>
      </c>
      <c r="L100" s="6">
        <f t="shared" si="123"/>
        <v>42.99212598425197</v>
      </c>
      <c r="M100" s="6">
        <f t="shared" si="123"/>
        <v>1.5748031496062993</v>
      </c>
      <c r="N100" s="6">
        <f t="shared" si="123"/>
        <v>34.409448818897644</v>
      </c>
      <c r="O100" s="6">
        <f t="shared" si="124"/>
        <v>18.110236220472441</v>
      </c>
      <c r="P100" s="6">
        <f t="shared" si="124"/>
        <v>16.929133858267718</v>
      </c>
      <c r="Q100" s="6">
        <f t="shared" si="124"/>
        <v>15.748031496062993</v>
      </c>
      <c r="R100" s="6">
        <f t="shared" si="124"/>
        <v>15.748031496062993</v>
      </c>
      <c r="S100" s="6">
        <f t="shared" si="124"/>
        <v>19.527559055118111</v>
      </c>
      <c r="T100" s="6">
        <f t="shared" si="124"/>
        <v>15.748031496062993</v>
      </c>
      <c r="U100" s="6">
        <f t="shared" si="124"/>
        <v>24.212598425196852</v>
      </c>
      <c r="V100" s="6">
        <f t="shared" si="124"/>
        <v>19.094488188976378</v>
      </c>
      <c r="W100" s="6">
        <f t="shared" si="124"/>
        <v>16.73228346456693</v>
      </c>
      <c r="X100" s="6">
        <f t="shared" si="124"/>
        <v>18.586614173228348</v>
      </c>
      <c r="Y100" s="6">
        <f t="shared" si="125"/>
        <v>19.177165354330711</v>
      </c>
      <c r="Z100" s="6">
        <f t="shared" si="125"/>
        <v>18.980314960629926</v>
      </c>
      <c r="AA100" s="6">
        <f t="shared" si="125"/>
        <v>15.240157480314963</v>
      </c>
      <c r="AB100" s="6">
        <f t="shared" si="125"/>
        <v>19.767716535433074</v>
      </c>
      <c r="AC100" s="6">
        <f t="shared" si="125"/>
        <v>16.421259842519689</v>
      </c>
      <c r="AD100" s="6">
        <f t="shared" si="125"/>
        <v>16.421259842519689</v>
      </c>
      <c r="AE100" s="6">
        <f t="shared" si="125"/>
        <v>16.2244094488189</v>
      </c>
      <c r="AF100" s="6">
        <f t="shared" si="125"/>
        <v>21.736220472440948</v>
      </c>
      <c r="AG100" s="6">
        <f t="shared" si="125"/>
        <v>16.421259842519689</v>
      </c>
      <c r="AH100" s="6">
        <f t="shared" si="125"/>
        <v>15.240157480314963</v>
      </c>
      <c r="AI100" s="6">
        <f t="shared" si="126"/>
        <v>16.814960629921263</v>
      </c>
      <c r="AJ100" s="6">
        <f t="shared" si="126"/>
        <v>19.177165354330711</v>
      </c>
      <c r="AK100" s="6">
        <f t="shared" si="126"/>
        <v>29.019685039370081</v>
      </c>
      <c r="AL100" s="6">
        <f t="shared" si="126"/>
        <v>86.496993987975955</v>
      </c>
      <c r="AM100" s="6">
        <f t="shared" si="126"/>
        <v>21.527054108216433</v>
      </c>
      <c r="AN100" s="6">
        <f t="shared" si="126"/>
        <v>17.118236472945895</v>
      </c>
      <c r="AO100" s="6">
        <f t="shared" si="126"/>
        <v>17.519038076152306</v>
      </c>
      <c r="AP100" s="6">
        <f t="shared" si="126"/>
        <v>17.719438877755515</v>
      </c>
      <c r="AQ100" s="6">
        <f t="shared" si="126"/>
        <v>17.719438877755515</v>
      </c>
      <c r="AR100" s="6">
        <f t="shared" si="126"/>
        <v>16.476953907815634</v>
      </c>
      <c r="AS100" s="6">
        <f t="shared" si="127"/>
        <v>17.879759519038078</v>
      </c>
      <c r="AT100" s="6">
        <f t="shared" si="127"/>
        <v>19.523046092184373</v>
      </c>
      <c r="AU100" s="6">
        <f t="shared" si="127"/>
        <v>15.515030060120242</v>
      </c>
      <c r="AV100" s="6">
        <f t="shared" si="127"/>
        <v>22.128256513026052</v>
      </c>
      <c r="AW100" s="6">
        <f t="shared" si="127"/>
        <v>19.122244488977959</v>
      </c>
      <c r="AX100" s="6">
        <f t="shared" si="127"/>
        <v>21.126252505010022</v>
      </c>
      <c r="AY100" s="6">
        <f t="shared" si="127"/>
        <v>17.118236472945895</v>
      </c>
      <c r="AZ100" s="6">
        <f t="shared" si="127"/>
        <v>23.130260521042086</v>
      </c>
      <c r="BA100" s="6">
        <f t="shared" si="127"/>
        <v>17.118236472945895</v>
      </c>
      <c r="BB100" s="6">
        <f t="shared" si="127"/>
        <v>53.987975951903593</v>
      </c>
      <c r="BC100" s="6">
        <f t="shared" si="128"/>
        <v>20.725450901803608</v>
      </c>
      <c r="BD100" s="6">
        <f t="shared" si="128"/>
        <v>16.921553090332807</v>
      </c>
      <c r="BE100" s="6">
        <f t="shared" si="128"/>
        <v>20.091125198098258</v>
      </c>
      <c r="BF100" s="6">
        <f t="shared" si="128"/>
        <v>16.921553090332807</v>
      </c>
      <c r="BG100" s="6">
        <f t="shared" si="128"/>
        <v>19.298732171156896</v>
      </c>
      <c r="BH100" s="6">
        <f t="shared" si="128"/>
        <v>15.33676703645008</v>
      </c>
      <c r="BI100" s="6">
        <f t="shared" si="128"/>
        <v>17.317749603803488</v>
      </c>
      <c r="BJ100" s="6">
        <f t="shared" si="128"/>
        <v>16.921553090332807</v>
      </c>
      <c r="BK100" s="6">
        <f t="shared" si="128"/>
        <v>16.327258320126784</v>
      </c>
      <c r="BL100" s="6">
        <f t="shared" si="129"/>
        <v>18.308240887480192</v>
      </c>
      <c r="BM100" s="6">
        <f t="shared" si="129"/>
        <v>18.506339144215531</v>
      </c>
      <c r="BN100" s="6">
        <f t="shared" si="129"/>
        <v>15.33676703645008</v>
      </c>
      <c r="BO100" s="6">
        <f t="shared" si="129"/>
        <v>68.585578446909679</v>
      </c>
      <c r="BP100" s="6">
        <f t="shared" si="129"/>
        <v>16.921553090332807</v>
      </c>
      <c r="BQ100" s="6">
        <f t="shared" si="129"/>
        <v>17.317749603803488</v>
      </c>
      <c r="BR100" s="6">
        <f t="shared" si="129"/>
        <v>17.515847860538827</v>
      </c>
      <c r="BS100" s="6">
        <f t="shared" si="129"/>
        <v>18.902535657686215</v>
      </c>
      <c r="BT100" s="6">
        <f t="shared" si="129"/>
        <v>15.33676703645008</v>
      </c>
      <c r="BU100" s="6">
        <f t="shared" si="129"/>
        <v>15.33676703645008</v>
      </c>
      <c r="BV100" s="6">
        <f t="shared" si="129"/>
        <v>15.33676703645008</v>
      </c>
      <c r="BW100" s="6">
        <f t="shared" si="129"/>
        <v>15.693343898573694</v>
      </c>
      <c r="BX100" s="6">
        <f t="shared" si="129"/>
        <v>15.693343898573694</v>
      </c>
      <c r="BY100" s="6">
        <f t="shared" si="129"/>
        <v>15.33676703645008</v>
      </c>
      <c r="BZ100" s="6">
        <f t="shared" si="129"/>
        <v>47.032488114104595</v>
      </c>
      <c r="CA100" s="6">
        <f t="shared" si="129"/>
        <v>23.062599049128369</v>
      </c>
      <c r="CB100" s="6">
        <f t="shared" si="129"/>
        <v>15.33676703645008</v>
      </c>
      <c r="CC100" s="6">
        <f t="shared" si="129"/>
        <v>19.298732171156896</v>
      </c>
      <c r="CD100" s="6">
        <f t="shared" si="129"/>
        <v>15.33676703645008</v>
      </c>
      <c r="CE100" s="6">
        <f t="shared" si="129"/>
        <v>15.33676703645008</v>
      </c>
      <c r="CF100" s="6">
        <f t="shared" si="129"/>
        <v>15.33676703645008</v>
      </c>
      <c r="CG100" s="6">
        <f t="shared" si="129"/>
        <v>67.076069730586369</v>
      </c>
      <c r="CH100" s="6">
        <f t="shared" si="129"/>
        <v>40.751584786053883</v>
      </c>
      <c r="CI100" s="6">
        <f t="shared" si="129"/>
        <v>18.168383518225042</v>
      </c>
      <c r="CJ100" s="6">
        <f t="shared" si="129"/>
        <v>16.979793977812996</v>
      </c>
      <c r="CK100" s="6">
        <f t="shared" si="129"/>
        <v>16.979793977812996</v>
      </c>
      <c r="CL100" s="6">
        <f t="shared" si="129"/>
        <v>16.979793977812996</v>
      </c>
      <c r="CM100" s="6">
        <f t="shared" si="129"/>
        <v>27.569046246938484</v>
      </c>
      <c r="CN100" s="6">
        <f t="shared" si="129"/>
        <v>18.643819334389857</v>
      </c>
      <c r="CO100" s="6">
        <f t="shared" si="129"/>
        <v>16.979793977812996</v>
      </c>
      <c r="CP100" s="6">
        <f t="shared" si="129"/>
        <v>22.123145079959659</v>
      </c>
      <c r="CQ100" s="6">
        <f t="shared" si="129"/>
        <v>19.702744561302406</v>
      </c>
      <c r="CR100" s="6">
        <f t="shared" si="129"/>
        <v>20.428864716899582</v>
      </c>
      <c r="CS100" s="6">
        <f t="shared" si="129"/>
        <v>16.979793977812996</v>
      </c>
      <c r="CT100" s="6">
        <f t="shared" si="129"/>
        <v>16.979793977812996</v>
      </c>
      <c r="CU100" s="6">
        <f t="shared" si="129"/>
        <v>16.979793977812996</v>
      </c>
      <c r="CV100" s="6">
        <f t="shared" si="129"/>
        <v>16.979793977812996</v>
      </c>
      <c r="CW100" s="6">
        <f t="shared" si="129"/>
        <v>16.979793977812996</v>
      </c>
      <c r="CX100" s="6">
        <f t="shared" si="129"/>
        <v>16.979793977812996</v>
      </c>
      <c r="CY100" s="6">
        <f t="shared" si="129"/>
        <v>18.564580031695723</v>
      </c>
      <c r="CZ100" s="6">
        <f t="shared" si="129"/>
        <v>26.09231378763867</v>
      </c>
      <c r="DA100" s="6">
        <f t="shared" si="129"/>
        <v>16.979793977812996</v>
      </c>
      <c r="DB100" s="6">
        <f t="shared" si="129"/>
        <v>18.960776545166404</v>
      </c>
      <c r="DC100" s="6">
        <f t="shared" si="129"/>
        <v>16.979793977812996</v>
      </c>
      <c r="DD100" s="6">
        <f t="shared" si="129"/>
        <v>17.375990491283677</v>
      </c>
      <c r="DE100" s="6">
        <f t="shared" si="129"/>
        <v>21.337955625990492</v>
      </c>
      <c r="DF100" s="6">
        <f t="shared" si="129"/>
        <v>20.149366085578446</v>
      </c>
      <c r="DG100" s="6">
        <f t="shared" si="129"/>
        <v>16.979793977812996</v>
      </c>
      <c r="DH100" s="6">
        <f t="shared" si="129"/>
        <v>16.979793977812996</v>
      </c>
      <c r="DI100" s="6">
        <f t="shared" si="129"/>
        <v>18.169968304279088</v>
      </c>
      <c r="DJ100" s="6">
        <f t="shared" si="129"/>
        <v>15.847860538827259</v>
      </c>
      <c r="DK100" s="6">
        <f t="shared" si="129"/>
        <v>18.225039619651348</v>
      </c>
      <c r="DL100" s="6">
        <f t="shared" si="129"/>
        <v>15.847860538827259</v>
      </c>
      <c r="DM100" s="6">
        <f t="shared" si="129"/>
        <v>17.036450079239302</v>
      </c>
      <c r="DN100" s="6">
        <f t="shared" si="129"/>
        <v>17.036450079239302</v>
      </c>
      <c r="DO100" s="6">
        <f t="shared" si="129"/>
        <v>15.847860538827259</v>
      </c>
      <c r="DP100" s="6">
        <f t="shared" si="129"/>
        <v>18.026941362916006</v>
      </c>
      <c r="DQ100" s="6">
        <f t="shared" si="129"/>
        <v>15.847860538827259</v>
      </c>
      <c r="DR100" s="6">
        <f t="shared" si="130"/>
        <v>95.087163232963562</v>
      </c>
      <c r="DS100" s="6">
        <f t="shared" si="130"/>
        <v>47.860538827258324</v>
      </c>
      <c r="DT100" s="6">
        <f t="shared" si="130"/>
        <v>0</v>
      </c>
      <c r="DU100" s="6">
        <f t="shared" si="129"/>
        <v>0</v>
      </c>
      <c r="DV100" s="198">
        <f t="shared" si="131"/>
        <v>0</v>
      </c>
      <c r="DW100" s="63">
        <f t="shared" si="131"/>
        <v>0</v>
      </c>
      <c r="DX100" s="28">
        <f>SUM($E100:DU100)</f>
        <v>2676.6894209231932</v>
      </c>
      <c r="DZ100" s="20"/>
      <c r="ED100" s="4"/>
      <c r="FD100" t="s">
        <v>631</v>
      </c>
      <c r="FE100" s="6">
        <f ca="1">SUM((INDIRECT(FE$9&amp;ROW()):(INDIRECT(FE$10&amp;ROW()))))+SUM((INDIRECT(FE$9&amp;ROW()+1):(INDIRECT(FE$10&amp;ROW()+1))))</f>
        <v>0</v>
      </c>
      <c r="FF100" s="6">
        <f ca="1">SUM((INDIRECT(FF$9&amp;ROW()):(INDIRECT(FF$10&amp;ROW()))))+SUM((INDIRECT(FF$9&amp;ROW()+1):(INDIRECT(FF$10&amp;ROW()+1))))</f>
        <v>642.55905511811022</v>
      </c>
      <c r="FG100" s="6">
        <f ca="1">SUM((INDIRECT(FG$9&amp;ROW()):(INDIRECT(FG$10&amp;ROW()))))+SUM((INDIRECT(FG$9&amp;ROW()+1):(INDIRECT(FG$10&amp;ROW()+1))))</f>
        <v>751.31778517665225</v>
      </c>
      <c r="FH100" s="6">
        <f ca="1">SUM((INDIRECT(FH$9&amp;ROW()):(INDIRECT(FH$10&amp;ROW()))))+SUM((INDIRECT(FH$9&amp;ROW()+1):(INDIRECT(FH$10&amp;ROW()+1))))</f>
        <v>707.76586294617732</v>
      </c>
      <c r="FI100" s="6">
        <f ca="1">SUM((INDIRECT(FI$9&amp;ROW()):(INDIRECT(FI$10&amp;ROW()))))+SUM((INDIRECT(FI$9&amp;ROW()+1):(INDIRECT(FI$10&amp;ROW()+1))))</f>
        <v>1214.1091586226773</v>
      </c>
      <c r="FJ100" s="6">
        <f ca="1">SUM((INDIRECT(FJ$9&amp;ROW()):(INDIRECT(FJ$10&amp;ROW()))))+SUM((INDIRECT(FJ$9&amp;ROW()+1):(INDIRECT(FJ$10&amp;ROW()+1))))</f>
        <v>350.66402535657687</v>
      </c>
      <c r="FK100" s="6" t="e">
        <f ca="1">SUM((INDIRECT(FK$9&amp;ROW()):(INDIRECT(FK$10&amp;ROW()))))</f>
        <v>#REF!</v>
      </c>
      <c r="FL100" s="6" t="e">
        <f ca="1">SUM((INDIRECT(FL$9&amp;ROW()):(INDIRECT(FL$10&amp;ROW()))))</f>
        <v>#REF!</v>
      </c>
      <c r="FN100" s="6">
        <f ca="1">SUM(FF100:FJ100)</f>
        <v>3666.4158872201947</v>
      </c>
      <c r="FO100" s="6">
        <f ca="1">FN100/$FN$98</f>
        <v>30.553465726834954</v>
      </c>
      <c r="FP100" s="2">
        <v>30</v>
      </c>
      <c r="FQ100" s="14">
        <f ca="1">+FG100/$FG$98</f>
        <v>24.23605758634362</v>
      </c>
    </row>
    <row r="101" spans="1:183" outlineLevel="1">
      <c r="B101" t="s">
        <v>61</v>
      </c>
      <c r="C101" s="2" t="s">
        <v>23</v>
      </c>
      <c r="D101" s="6">
        <v>0</v>
      </c>
      <c r="E101" s="6">
        <f t="shared" si="123"/>
        <v>0</v>
      </c>
      <c r="F101" s="6">
        <f t="shared" si="123"/>
        <v>11.811023622047244</v>
      </c>
      <c r="G101" s="6">
        <f t="shared" si="123"/>
        <v>0</v>
      </c>
      <c r="H101" s="6">
        <f t="shared" si="123"/>
        <v>0</v>
      </c>
      <c r="I101" s="6">
        <f t="shared" si="123"/>
        <v>0</v>
      </c>
      <c r="J101" s="6">
        <f t="shared" si="123"/>
        <v>23.622047244094489</v>
      </c>
      <c r="K101" s="6">
        <f t="shared" si="123"/>
        <v>0</v>
      </c>
      <c r="L101" s="6">
        <f t="shared" si="123"/>
        <v>0</v>
      </c>
      <c r="M101" s="6">
        <f t="shared" si="123"/>
        <v>0</v>
      </c>
      <c r="N101" s="6">
        <f t="shared" si="123"/>
        <v>0</v>
      </c>
      <c r="O101" s="6">
        <f t="shared" si="124"/>
        <v>0</v>
      </c>
      <c r="P101" s="6">
        <f t="shared" si="124"/>
        <v>0</v>
      </c>
      <c r="Q101" s="6">
        <f t="shared" si="124"/>
        <v>0</v>
      </c>
      <c r="R101" s="6">
        <f t="shared" si="124"/>
        <v>50.393700787401578</v>
      </c>
      <c r="S101" s="6">
        <f t="shared" si="124"/>
        <v>30.15748031496063</v>
      </c>
      <c r="T101" s="6">
        <f t="shared" si="124"/>
        <v>14.566929133858268</v>
      </c>
      <c r="U101" s="6">
        <f t="shared" si="124"/>
        <v>0</v>
      </c>
      <c r="V101" s="6">
        <f t="shared" si="124"/>
        <v>0</v>
      </c>
      <c r="W101" s="6">
        <f t="shared" si="124"/>
        <v>0</v>
      </c>
      <c r="X101" s="6">
        <f t="shared" si="124"/>
        <v>0</v>
      </c>
      <c r="Y101" s="6">
        <f t="shared" si="125"/>
        <v>0</v>
      </c>
      <c r="Z101" s="6">
        <f t="shared" si="125"/>
        <v>19.685039370078741</v>
      </c>
      <c r="AA101" s="6">
        <f t="shared" si="125"/>
        <v>0</v>
      </c>
      <c r="AB101" s="6">
        <f t="shared" si="125"/>
        <v>0</v>
      </c>
      <c r="AC101" s="6">
        <f t="shared" si="125"/>
        <v>0</v>
      </c>
      <c r="AD101" s="6">
        <f t="shared" si="125"/>
        <v>29.133858267716537</v>
      </c>
      <c r="AE101" s="6">
        <f t="shared" si="125"/>
        <v>0</v>
      </c>
      <c r="AF101" s="6">
        <f t="shared" si="125"/>
        <v>0</v>
      </c>
      <c r="AG101" s="6">
        <f t="shared" si="125"/>
        <v>0</v>
      </c>
      <c r="AH101" s="6">
        <f t="shared" si="125"/>
        <v>0</v>
      </c>
      <c r="AI101" s="6">
        <f t="shared" si="126"/>
        <v>0</v>
      </c>
      <c r="AJ101" s="6">
        <f t="shared" si="126"/>
        <v>0</v>
      </c>
      <c r="AK101" s="6">
        <f t="shared" si="126"/>
        <v>0</v>
      </c>
      <c r="AL101" s="6">
        <f t="shared" si="126"/>
        <v>0</v>
      </c>
      <c r="AM101" s="6">
        <f t="shared" si="126"/>
        <v>0</v>
      </c>
      <c r="AN101" s="6">
        <f t="shared" si="126"/>
        <v>0</v>
      </c>
      <c r="AO101" s="6">
        <f t="shared" si="126"/>
        <v>0</v>
      </c>
      <c r="AP101" s="6">
        <f t="shared" si="126"/>
        <v>0</v>
      </c>
      <c r="AQ101" s="6">
        <f t="shared" si="126"/>
        <v>0</v>
      </c>
      <c r="AR101" s="6">
        <f t="shared" si="126"/>
        <v>0</v>
      </c>
      <c r="AS101" s="6">
        <f t="shared" si="127"/>
        <v>22.044088176352705</v>
      </c>
      <c r="AT101" s="6">
        <f t="shared" si="127"/>
        <v>0</v>
      </c>
      <c r="AU101" s="6">
        <f t="shared" si="127"/>
        <v>0</v>
      </c>
      <c r="AV101" s="6">
        <f t="shared" si="127"/>
        <v>0</v>
      </c>
      <c r="AW101" s="6">
        <f t="shared" si="127"/>
        <v>0</v>
      </c>
      <c r="AX101" s="6">
        <f t="shared" si="127"/>
        <v>0</v>
      </c>
      <c r="AY101" s="6">
        <f t="shared" si="127"/>
        <v>0</v>
      </c>
      <c r="AZ101" s="6">
        <f t="shared" si="127"/>
        <v>0</v>
      </c>
      <c r="BA101" s="6">
        <f t="shared" si="127"/>
        <v>0</v>
      </c>
      <c r="BB101" s="6">
        <f t="shared" si="127"/>
        <v>0</v>
      </c>
      <c r="BC101" s="6">
        <f t="shared" si="128"/>
        <v>0</v>
      </c>
      <c r="BD101" s="6">
        <f t="shared" si="128"/>
        <v>0</v>
      </c>
      <c r="BE101" s="6">
        <f t="shared" si="128"/>
        <v>0</v>
      </c>
      <c r="BF101" s="6">
        <f t="shared" si="128"/>
        <v>0</v>
      </c>
      <c r="BG101" s="6">
        <f t="shared" si="128"/>
        <v>0</v>
      </c>
      <c r="BH101" s="6">
        <f t="shared" si="128"/>
        <v>0</v>
      </c>
      <c r="BI101" s="6">
        <f t="shared" si="128"/>
        <v>0</v>
      </c>
      <c r="BJ101" s="6">
        <f t="shared" si="128"/>
        <v>0</v>
      </c>
      <c r="BK101" s="6">
        <f t="shared" si="128"/>
        <v>0</v>
      </c>
      <c r="BL101" s="6">
        <f t="shared" si="129"/>
        <v>0</v>
      </c>
      <c r="BM101" s="6">
        <f t="shared" si="129"/>
        <v>0</v>
      </c>
      <c r="BN101" s="6">
        <f t="shared" si="129"/>
        <v>0</v>
      </c>
      <c r="BO101" s="6">
        <f t="shared" si="129"/>
        <v>0</v>
      </c>
      <c r="BP101" s="6">
        <f t="shared" si="129"/>
        <v>0</v>
      </c>
      <c r="BQ101" s="6">
        <f t="shared" si="129"/>
        <v>0</v>
      </c>
      <c r="BR101" s="6">
        <f t="shared" si="129"/>
        <v>0</v>
      </c>
      <c r="BS101" s="6">
        <f t="shared" si="129"/>
        <v>0</v>
      </c>
      <c r="BT101" s="6">
        <f t="shared" si="129"/>
        <v>0</v>
      </c>
      <c r="BU101" s="6">
        <f t="shared" si="129"/>
        <v>0</v>
      </c>
      <c r="BV101" s="6">
        <f t="shared" si="129"/>
        <v>7.9239302694136295</v>
      </c>
      <c r="BW101" s="6">
        <f t="shared" si="129"/>
        <v>22.187004754358163</v>
      </c>
      <c r="BX101" s="6">
        <f t="shared" si="129"/>
        <v>0</v>
      </c>
      <c r="BY101" s="6">
        <f t="shared" si="129"/>
        <v>0</v>
      </c>
      <c r="BZ101" s="6">
        <f t="shared" si="129"/>
        <v>0</v>
      </c>
      <c r="CA101" s="6">
        <f t="shared" si="129"/>
        <v>0</v>
      </c>
      <c r="CB101" s="6">
        <f t="shared" si="129"/>
        <v>0</v>
      </c>
      <c r="CC101" s="6">
        <f t="shared" si="129"/>
        <v>15.847860538827259</v>
      </c>
      <c r="CD101" s="6">
        <f t="shared" si="129"/>
        <v>0</v>
      </c>
      <c r="CE101" s="6">
        <f t="shared" si="129"/>
        <v>0</v>
      </c>
      <c r="CF101" s="6">
        <f t="shared" si="129"/>
        <v>0</v>
      </c>
      <c r="CG101" s="6">
        <f t="shared" si="129"/>
        <v>0</v>
      </c>
      <c r="CH101" s="6">
        <f t="shared" si="129"/>
        <v>0</v>
      </c>
      <c r="CI101" s="6">
        <f t="shared" si="129"/>
        <v>19.809825673534075</v>
      </c>
      <c r="CJ101" s="6">
        <f t="shared" si="129"/>
        <v>0</v>
      </c>
      <c r="CK101" s="6">
        <f t="shared" si="129"/>
        <v>0</v>
      </c>
      <c r="CL101" s="6">
        <f t="shared" si="129"/>
        <v>0</v>
      </c>
      <c r="CM101" s="6">
        <f t="shared" si="129"/>
        <v>72.023003889929399</v>
      </c>
      <c r="CN101" s="6">
        <f t="shared" si="129"/>
        <v>60.510012966431354</v>
      </c>
      <c r="CO101" s="6">
        <f t="shared" si="129"/>
        <v>90.765019449647042</v>
      </c>
      <c r="CP101" s="6">
        <f t="shared" si="129"/>
        <v>72.612015559717634</v>
      </c>
      <c r="CQ101" s="6">
        <f t="shared" si="129"/>
        <v>100.44662152427605</v>
      </c>
      <c r="CR101" s="6">
        <f t="shared" si="129"/>
        <v>0</v>
      </c>
      <c r="CS101" s="6">
        <f t="shared" si="129"/>
        <v>0</v>
      </c>
      <c r="CT101" s="6">
        <f t="shared" si="129"/>
        <v>0</v>
      </c>
      <c r="CU101" s="6">
        <f t="shared" si="129"/>
        <v>5.9429477020602226</v>
      </c>
      <c r="CV101" s="6">
        <f t="shared" si="129"/>
        <v>0</v>
      </c>
      <c r="CW101" s="6">
        <f t="shared" si="129"/>
        <v>0</v>
      </c>
      <c r="CX101" s="6">
        <f t="shared" si="129"/>
        <v>0</v>
      </c>
      <c r="CY101" s="6">
        <f t="shared" si="129"/>
        <v>0</v>
      </c>
      <c r="CZ101" s="6">
        <f t="shared" si="129"/>
        <v>0</v>
      </c>
      <c r="DA101" s="6">
        <f t="shared" si="129"/>
        <v>0</v>
      </c>
      <c r="DB101" s="6">
        <f t="shared" si="129"/>
        <v>0</v>
      </c>
      <c r="DC101" s="6">
        <f t="shared" si="129"/>
        <v>0</v>
      </c>
      <c r="DD101" s="6">
        <f t="shared" si="129"/>
        <v>0</v>
      </c>
      <c r="DE101" s="6">
        <f t="shared" si="129"/>
        <v>0</v>
      </c>
      <c r="DF101" s="6">
        <f t="shared" si="129"/>
        <v>0</v>
      </c>
      <c r="DG101" s="6">
        <f t="shared" si="129"/>
        <v>150.71473851030112</v>
      </c>
      <c r="DH101" s="6">
        <f t="shared" si="129"/>
        <v>30.58637083993661</v>
      </c>
      <c r="DI101" s="6">
        <f t="shared" si="129"/>
        <v>64.942947702060223</v>
      </c>
      <c r="DJ101" s="6">
        <f t="shared" si="129"/>
        <v>0</v>
      </c>
      <c r="DK101" s="6">
        <f t="shared" si="129"/>
        <v>0</v>
      </c>
      <c r="DL101" s="6">
        <f t="shared" si="129"/>
        <v>0</v>
      </c>
      <c r="DM101" s="6">
        <f t="shared" si="129"/>
        <v>0</v>
      </c>
      <c r="DN101" s="6">
        <f t="shared" si="129"/>
        <v>0</v>
      </c>
      <c r="DO101" s="6">
        <f t="shared" si="129"/>
        <v>0</v>
      </c>
      <c r="DP101" s="6">
        <f t="shared" si="129"/>
        <v>0</v>
      </c>
      <c r="DQ101" s="6">
        <f t="shared" si="129"/>
        <v>0</v>
      </c>
      <c r="DR101" s="6">
        <f t="shared" si="130"/>
        <v>0</v>
      </c>
      <c r="DS101" s="6">
        <f t="shared" si="130"/>
        <v>0</v>
      </c>
      <c r="DT101" s="6">
        <f t="shared" si="130"/>
        <v>40</v>
      </c>
      <c r="DU101" s="6">
        <f t="shared" si="129"/>
        <v>34</v>
      </c>
      <c r="DV101" s="198">
        <f t="shared" si="131"/>
        <v>0</v>
      </c>
      <c r="DW101" s="63">
        <f t="shared" si="131"/>
        <v>0</v>
      </c>
      <c r="DX101" s="28">
        <f>SUM($E101:DU101)</f>
        <v>989.72646629700307</v>
      </c>
      <c r="DY101" s="154"/>
      <c r="DZ101" s="157"/>
      <c r="ED101" s="4"/>
      <c r="FD101" s="327" t="s">
        <v>862</v>
      </c>
      <c r="FE101" s="113">
        <f ca="1">SUM((INDIRECT(FE$9&amp;ROW()+1):(INDIRECT(FE$10&amp;ROW()+1))))</f>
        <v>1633.82</v>
      </c>
      <c r="FF101" s="6">
        <f ca="1">SUM((INDIRECT(FF$9&amp;ROW()+1):(INDIRECT(FF$10&amp;ROW()+1))))</f>
        <v>96.456692913385837</v>
      </c>
      <c r="FG101" s="6">
        <f ca="1">SUM((INDIRECT(FG$9&amp;ROW()+1):(INDIRECT(FG$10&amp;ROW()+1))))</f>
        <v>57.515819039654119</v>
      </c>
      <c r="FH101" s="6">
        <f ca="1">SUM((INDIRECT(FH$9&amp;ROW()+1):(INDIRECT(FH$10&amp;ROW()+1))))</f>
        <v>87.876386687797151</v>
      </c>
      <c r="FI101" s="6">
        <f ca="1">SUM((INDIRECT(FI$9&amp;ROW()+1):(INDIRECT(FI$10&amp;ROW()+1))))</f>
        <v>1393.5268693271864</v>
      </c>
      <c r="FJ101" s="6">
        <f ca="1">SUM((INDIRECT(FJ$9&amp;ROW()+1):(INDIRECT(FJ$10&amp;ROW()+1))))</f>
        <v>13.866877971473851</v>
      </c>
      <c r="FK101" s="6" t="e">
        <f ca="1">SUM((INDIRECT(FK$9&amp;ROW()):(INDIRECT(FK$10&amp;ROW()))))</f>
        <v>#REF!</v>
      </c>
      <c r="FL101" s="6" t="e">
        <f ca="1">SUM((INDIRECT(FL$9&amp;ROW()):(INDIRECT(FL$10&amp;ROW()))))</f>
        <v>#REF!</v>
      </c>
      <c r="FN101" s="6">
        <f ca="1">SUM(FF101:FJ101)</f>
        <v>1649.2426459394972</v>
      </c>
      <c r="FO101" s="6">
        <f ca="1">FN101/$FN$98</f>
        <v>13.743688716162476</v>
      </c>
      <c r="FP101" s="2">
        <v>9</v>
      </c>
      <c r="FQ101" s="14">
        <f ca="1">+FG101/$FG$98</f>
        <v>1.8553490012791651</v>
      </c>
      <c r="FS101" t="s">
        <v>720</v>
      </c>
    </row>
    <row r="102" spans="1:183" outlineLevel="1">
      <c r="B102" t="s">
        <v>61</v>
      </c>
      <c r="C102" s="2" t="s">
        <v>25</v>
      </c>
      <c r="D102" s="6">
        <v>0</v>
      </c>
      <c r="E102" s="6">
        <f t="shared" si="123"/>
        <v>1633.82</v>
      </c>
      <c r="F102" s="6">
        <f t="shared" si="123"/>
        <v>61.811023622047244</v>
      </c>
      <c r="G102" s="6">
        <f t="shared" si="123"/>
        <v>0</v>
      </c>
      <c r="H102" s="6">
        <f t="shared" si="123"/>
        <v>0</v>
      </c>
      <c r="I102" s="6">
        <f t="shared" si="123"/>
        <v>0</v>
      </c>
      <c r="J102" s="6">
        <f t="shared" si="123"/>
        <v>0</v>
      </c>
      <c r="K102" s="6">
        <f t="shared" si="123"/>
        <v>0</v>
      </c>
      <c r="L102" s="6">
        <f t="shared" si="123"/>
        <v>0</v>
      </c>
      <c r="M102" s="6">
        <f t="shared" si="123"/>
        <v>0</v>
      </c>
      <c r="N102" s="6">
        <f t="shared" si="123"/>
        <v>0</v>
      </c>
      <c r="O102" s="6">
        <f t="shared" si="124"/>
        <v>0</v>
      </c>
      <c r="P102" s="6">
        <f t="shared" si="124"/>
        <v>0</v>
      </c>
      <c r="Q102" s="6">
        <f t="shared" si="124"/>
        <v>0</v>
      </c>
      <c r="R102" s="6">
        <f t="shared" si="124"/>
        <v>15.748031496062993</v>
      </c>
      <c r="S102" s="6">
        <f t="shared" si="124"/>
        <v>0</v>
      </c>
      <c r="T102" s="6">
        <f t="shared" si="124"/>
        <v>18.897637795275593</v>
      </c>
      <c r="U102" s="6">
        <f t="shared" si="124"/>
        <v>0</v>
      </c>
      <c r="V102" s="6">
        <f t="shared" si="124"/>
        <v>0</v>
      </c>
      <c r="W102" s="6">
        <f t="shared" si="124"/>
        <v>0</v>
      </c>
      <c r="X102" s="6">
        <f t="shared" si="124"/>
        <v>0</v>
      </c>
      <c r="Y102" s="6">
        <f t="shared" si="125"/>
        <v>0</v>
      </c>
      <c r="Z102" s="6">
        <f t="shared" si="125"/>
        <v>9.0551181102362222</v>
      </c>
      <c r="AA102" s="6">
        <f t="shared" si="125"/>
        <v>5.1181102362204731</v>
      </c>
      <c r="AB102" s="6">
        <f t="shared" si="125"/>
        <v>0</v>
      </c>
      <c r="AC102" s="6">
        <f t="shared" si="125"/>
        <v>0</v>
      </c>
      <c r="AD102" s="6">
        <f t="shared" si="125"/>
        <v>41.338582677165356</v>
      </c>
      <c r="AE102" s="6">
        <f t="shared" si="125"/>
        <v>0</v>
      </c>
      <c r="AF102" s="6">
        <f t="shared" si="125"/>
        <v>0</v>
      </c>
      <c r="AG102" s="6">
        <f t="shared" si="125"/>
        <v>0</v>
      </c>
      <c r="AH102" s="6">
        <f t="shared" si="125"/>
        <v>0</v>
      </c>
      <c r="AI102" s="6">
        <f t="shared" si="126"/>
        <v>0</v>
      </c>
      <c r="AJ102" s="6">
        <f t="shared" si="126"/>
        <v>0</v>
      </c>
      <c r="AK102" s="6">
        <f t="shared" si="126"/>
        <v>0</v>
      </c>
      <c r="AL102" s="6">
        <f t="shared" si="126"/>
        <v>0</v>
      </c>
      <c r="AM102" s="6">
        <f t="shared" si="126"/>
        <v>0</v>
      </c>
      <c r="AN102" s="6">
        <f t="shared" si="126"/>
        <v>0</v>
      </c>
      <c r="AO102" s="6">
        <f t="shared" si="126"/>
        <v>0</v>
      </c>
      <c r="AP102" s="6">
        <f t="shared" si="126"/>
        <v>0</v>
      </c>
      <c r="AQ102" s="6">
        <f t="shared" si="126"/>
        <v>0</v>
      </c>
      <c r="AR102" s="6">
        <f t="shared" si="126"/>
        <v>0</v>
      </c>
      <c r="AS102" s="6">
        <f t="shared" si="127"/>
        <v>2.0040080160320644</v>
      </c>
      <c r="AT102" s="6">
        <f t="shared" si="127"/>
        <v>0</v>
      </c>
      <c r="AU102" s="6">
        <f t="shared" si="127"/>
        <v>0</v>
      </c>
      <c r="AV102" s="6">
        <f t="shared" si="127"/>
        <v>0</v>
      </c>
      <c r="AW102" s="6">
        <f t="shared" si="127"/>
        <v>0</v>
      </c>
      <c r="AX102" s="6">
        <f t="shared" si="127"/>
        <v>0</v>
      </c>
      <c r="AY102" s="6">
        <f t="shared" si="127"/>
        <v>0</v>
      </c>
      <c r="AZ102" s="6">
        <f t="shared" si="127"/>
        <v>0</v>
      </c>
      <c r="BA102" s="6">
        <f t="shared" si="127"/>
        <v>0</v>
      </c>
      <c r="BB102" s="6">
        <f t="shared" si="127"/>
        <v>0</v>
      </c>
      <c r="BC102" s="6">
        <f t="shared" si="128"/>
        <v>0</v>
      </c>
      <c r="BD102" s="6">
        <f t="shared" si="128"/>
        <v>0</v>
      </c>
      <c r="BE102" s="6">
        <f t="shared" si="128"/>
        <v>0</v>
      </c>
      <c r="BF102" s="6">
        <f t="shared" si="128"/>
        <v>0</v>
      </c>
      <c r="BG102" s="6">
        <f t="shared" si="128"/>
        <v>0</v>
      </c>
      <c r="BH102" s="6">
        <f t="shared" si="128"/>
        <v>85.182250396196523</v>
      </c>
      <c r="BI102" s="6">
        <f t="shared" si="128"/>
        <v>0</v>
      </c>
      <c r="BJ102" s="6">
        <f t="shared" si="128"/>
        <v>0</v>
      </c>
      <c r="BK102" s="6">
        <f t="shared" si="128"/>
        <v>0</v>
      </c>
      <c r="BL102" s="6">
        <f t="shared" si="129"/>
        <v>0</v>
      </c>
      <c r="BM102" s="6">
        <f t="shared" si="129"/>
        <v>0</v>
      </c>
      <c r="BN102" s="6">
        <f t="shared" si="129"/>
        <v>0</v>
      </c>
      <c r="BO102" s="6">
        <f t="shared" si="129"/>
        <v>0</v>
      </c>
      <c r="BP102" s="6">
        <f t="shared" si="129"/>
        <v>0</v>
      </c>
      <c r="BQ102" s="6">
        <f t="shared" si="129"/>
        <v>0</v>
      </c>
      <c r="BR102" s="6">
        <f t="shared" si="129"/>
        <v>0</v>
      </c>
      <c r="BS102" s="6">
        <f t="shared" si="129"/>
        <v>0</v>
      </c>
      <c r="BT102" s="6">
        <f t="shared" si="129"/>
        <v>0</v>
      </c>
      <c r="BU102" s="6">
        <f t="shared" si="129"/>
        <v>0</v>
      </c>
      <c r="BV102" s="6">
        <f t="shared" si="129"/>
        <v>0</v>
      </c>
      <c r="BW102" s="6">
        <f t="shared" si="129"/>
        <v>2.6941362916006342</v>
      </c>
      <c r="BX102" s="6">
        <f t="shared" si="129"/>
        <v>0</v>
      </c>
      <c r="BY102" s="6">
        <f t="shared" si="129"/>
        <v>0</v>
      </c>
      <c r="BZ102" s="6">
        <f t="shared" si="129"/>
        <v>0</v>
      </c>
      <c r="CA102" s="6">
        <f t="shared" si="129"/>
        <v>0</v>
      </c>
      <c r="CB102" s="6">
        <f t="shared" si="129"/>
        <v>0</v>
      </c>
      <c r="CC102" s="6">
        <f t="shared" si="129"/>
        <v>0</v>
      </c>
      <c r="CD102" s="6">
        <f t="shared" si="129"/>
        <v>0</v>
      </c>
      <c r="CE102" s="6">
        <f t="shared" si="129"/>
        <v>0</v>
      </c>
      <c r="CF102" s="6">
        <f t="shared" si="129"/>
        <v>0</v>
      </c>
      <c r="CG102" s="6">
        <f t="shared" si="129"/>
        <v>0</v>
      </c>
      <c r="CH102" s="6">
        <f t="shared" si="129"/>
        <v>0</v>
      </c>
      <c r="CI102" s="6">
        <f t="shared" si="129"/>
        <v>0</v>
      </c>
      <c r="CJ102" s="6">
        <f t="shared" si="129"/>
        <v>0</v>
      </c>
      <c r="CK102" s="6">
        <f t="shared" si="129"/>
        <v>0</v>
      </c>
      <c r="CL102" s="6">
        <f t="shared" si="129"/>
        <v>0</v>
      </c>
      <c r="CM102" s="6">
        <f t="shared" si="129"/>
        <v>382.76184987753925</v>
      </c>
      <c r="CN102" s="6">
        <f t="shared" si="129"/>
        <v>23.296354992076072</v>
      </c>
      <c r="CO102" s="6">
        <f t="shared" si="129"/>
        <v>0</v>
      </c>
      <c r="CP102" s="6">
        <f t="shared" si="129"/>
        <v>8.652931854199684</v>
      </c>
      <c r="CQ102" s="6">
        <f t="shared" si="129"/>
        <v>99.049128367670377</v>
      </c>
      <c r="CR102" s="6">
        <f t="shared" si="129"/>
        <v>12.888632761849879</v>
      </c>
      <c r="CS102" s="6">
        <f t="shared" si="129"/>
        <v>0</v>
      </c>
      <c r="CT102" s="6">
        <f t="shared" si="129"/>
        <v>0</v>
      </c>
      <c r="CU102" s="6">
        <f t="shared" si="129"/>
        <v>0</v>
      </c>
      <c r="CV102" s="6">
        <f t="shared" si="129"/>
        <v>0</v>
      </c>
      <c r="CW102" s="6">
        <f t="shared" si="129"/>
        <v>0</v>
      </c>
      <c r="CX102" s="6">
        <f t="shared" si="129"/>
        <v>39.61965134706815</v>
      </c>
      <c r="CY102" s="6">
        <f t="shared" si="129"/>
        <v>0</v>
      </c>
      <c r="CZ102" s="6">
        <f t="shared" si="129"/>
        <v>0</v>
      </c>
      <c r="DA102" s="6">
        <f t="shared" si="129"/>
        <v>0</v>
      </c>
      <c r="DB102" s="6">
        <f t="shared" si="129"/>
        <v>0</v>
      </c>
      <c r="DC102" s="6">
        <f t="shared" si="129"/>
        <v>0</v>
      </c>
      <c r="DD102" s="6">
        <f t="shared" si="129"/>
        <v>0</v>
      </c>
      <c r="DE102" s="6">
        <f t="shared" si="129"/>
        <v>0</v>
      </c>
      <c r="DF102" s="6">
        <f t="shared" si="129"/>
        <v>0</v>
      </c>
      <c r="DG102" s="6">
        <f t="shared" si="129"/>
        <v>9.9049128367670374</v>
      </c>
      <c r="DH102" s="6">
        <f t="shared" si="129"/>
        <v>0</v>
      </c>
      <c r="DI102" s="6">
        <f t="shared" si="129"/>
        <v>817.35340729001587</v>
      </c>
      <c r="DJ102" s="6">
        <f t="shared" si="129"/>
        <v>0</v>
      </c>
      <c r="DK102" s="6">
        <f t="shared" si="129"/>
        <v>0</v>
      </c>
      <c r="DL102" s="6">
        <f t="shared" si="129"/>
        <v>0</v>
      </c>
      <c r="DM102" s="6">
        <f t="shared" si="129"/>
        <v>0</v>
      </c>
      <c r="DN102" s="6">
        <f t="shared" si="129"/>
        <v>0</v>
      </c>
      <c r="DO102" s="6">
        <f t="shared" si="129"/>
        <v>0</v>
      </c>
      <c r="DP102" s="6">
        <f t="shared" si="129"/>
        <v>0</v>
      </c>
      <c r="DQ102" s="6">
        <f t="shared" si="129"/>
        <v>0</v>
      </c>
      <c r="DR102" s="6">
        <f t="shared" si="130"/>
        <v>3.9619651347068148</v>
      </c>
      <c r="DS102" s="6">
        <f t="shared" si="130"/>
        <v>0</v>
      </c>
      <c r="DT102" s="6">
        <f t="shared" si="130"/>
        <v>9.9049128367670374</v>
      </c>
      <c r="DU102" s="6">
        <f t="shared" si="129"/>
        <v>0</v>
      </c>
      <c r="DV102" s="198">
        <f t="shared" si="131"/>
        <v>0</v>
      </c>
      <c r="DW102" s="63">
        <f t="shared" si="131"/>
        <v>0</v>
      </c>
      <c r="DX102" s="28">
        <f>SUM($E102:DU102)</f>
        <v>3283.0626459394962</v>
      </c>
      <c r="DY102" s="154"/>
      <c r="DZ102" s="155"/>
      <c r="ED102" s="4"/>
      <c r="FD102" s="176" t="s">
        <v>304</v>
      </c>
      <c r="FE102" s="176">
        <f t="shared" ref="FE102:FK102" ca="1" si="132">SUM(FE99:FE101)/FE$98</f>
        <v>13.615166666666665</v>
      </c>
      <c r="FF102" s="176">
        <f t="shared" ca="1" si="132"/>
        <v>61.782589676290463</v>
      </c>
      <c r="FG102" s="176">
        <f t="shared" ca="1" si="132"/>
        <v>50.027717105534414</v>
      </c>
      <c r="FH102" s="176">
        <f t="shared" ca="1" si="132"/>
        <v>49.973898976317741</v>
      </c>
      <c r="FI102" s="176">
        <f t="shared" ca="1" si="132"/>
        <v>118.63462279004673</v>
      </c>
      <c r="FJ102" s="176">
        <f t="shared" ca="1" si="132"/>
        <v>58.453645007923939</v>
      </c>
      <c r="FK102" s="176" t="e">
        <f t="shared" ca="1" si="132"/>
        <v>#REF!</v>
      </c>
      <c r="FL102" s="176" t="e">
        <f ca="1">SUM(FL99:FL101)/FL$98</f>
        <v>#REF!</v>
      </c>
      <c r="FN102" s="230">
        <f ca="1">SUM(FN99:FN101)/FN$98</f>
        <v>68.627915757725347</v>
      </c>
      <c r="FO102" s="231">
        <f ca="1">SUM(FO99:FO101)</f>
        <v>68.627915757725347</v>
      </c>
      <c r="FP102" s="4">
        <f>SUM(FP99:FP101)</f>
        <v>65</v>
      </c>
    </row>
    <row r="103" spans="1:183" outlineLevel="1">
      <c r="B103" t="s">
        <v>24</v>
      </c>
      <c r="C103" s="2" t="s">
        <v>24</v>
      </c>
      <c r="D103" s="6"/>
      <c r="E103" s="6">
        <f t="shared" si="123"/>
        <v>494.02</v>
      </c>
      <c r="F103" s="6">
        <f t="shared" si="123"/>
        <v>2.3622047244094491</v>
      </c>
      <c r="G103" s="6">
        <f t="shared" si="123"/>
        <v>9.8425196850393704</v>
      </c>
      <c r="H103" s="6">
        <f t="shared" si="123"/>
        <v>7.0866141732283472</v>
      </c>
      <c r="I103" s="6">
        <f t="shared" si="123"/>
        <v>0</v>
      </c>
      <c r="J103" s="6">
        <f t="shared" si="123"/>
        <v>0</v>
      </c>
      <c r="K103" s="6">
        <f t="shared" si="123"/>
        <v>0</v>
      </c>
      <c r="L103" s="6">
        <f t="shared" si="123"/>
        <v>0</v>
      </c>
      <c r="M103" s="6">
        <f t="shared" si="123"/>
        <v>0</v>
      </c>
      <c r="N103" s="6">
        <f t="shared" si="123"/>
        <v>0</v>
      </c>
      <c r="O103" s="6">
        <f t="shared" si="124"/>
        <v>0</v>
      </c>
      <c r="P103" s="6">
        <f t="shared" si="124"/>
        <v>0</v>
      </c>
      <c r="Q103" s="6">
        <f t="shared" si="124"/>
        <v>0</v>
      </c>
      <c r="R103" s="6">
        <f t="shared" si="124"/>
        <v>0</v>
      </c>
      <c r="S103" s="6">
        <f t="shared" si="124"/>
        <v>0</v>
      </c>
      <c r="T103" s="6">
        <f t="shared" si="124"/>
        <v>0</v>
      </c>
      <c r="U103" s="6">
        <f t="shared" si="124"/>
        <v>0</v>
      </c>
      <c r="V103" s="6">
        <f t="shared" si="124"/>
        <v>0</v>
      </c>
      <c r="W103" s="6">
        <f t="shared" si="124"/>
        <v>9.8425196850393704</v>
      </c>
      <c r="X103" s="6">
        <f t="shared" si="124"/>
        <v>8.6614173228346463</v>
      </c>
      <c r="Y103" s="6">
        <f t="shared" si="125"/>
        <v>15.354330708661418</v>
      </c>
      <c r="Z103" s="6">
        <f t="shared" si="125"/>
        <v>0</v>
      </c>
      <c r="AA103" s="6">
        <f t="shared" si="125"/>
        <v>39.370078740157481</v>
      </c>
      <c r="AB103" s="6">
        <f t="shared" si="125"/>
        <v>10.62992125984252</v>
      </c>
      <c r="AC103" s="6">
        <f t="shared" si="125"/>
        <v>19.685039370078741</v>
      </c>
      <c r="AD103" s="6">
        <f t="shared" si="125"/>
        <v>0</v>
      </c>
      <c r="AE103" s="6">
        <f t="shared" si="125"/>
        <v>33.464566929133859</v>
      </c>
      <c r="AF103" s="6">
        <f t="shared" si="125"/>
        <v>8.6614173228346463</v>
      </c>
      <c r="AG103" s="6">
        <f t="shared" si="125"/>
        <v>0</v>
      </c>
      <c r="AH103" s="6">
        <f t="shared" si="125"/>
        <v>0</v>
      </c>
      <c r="AI103" s="6">
        <f t="shared" si="126"/>
        <v>0</v>
      </c>
      <c r="AJ103" s="6">
        <f t="shared" si="126"/>
        <v>19.685039370078741</v>
      </c>
      <c r="AK103" s="6">
        <f t="shared" si="126"/>
        <v>0</v>
      </c>
      <c r="AL103" s="6">
        <f t="shared" si="126"/>
        <v>0</v>
      </c>
      <c r="AM103" s="6">
        <f t="shared" si="126"/>
        <v>0</v>
      </c>
      <c r="AN103" s="6">
        <f t="shared" si="126"/>
        <v>0</v>
      </c>
      <c r="AO103" s="6">
        <f t="shared" si="126"/>
        <v>0</v>
      </c>
      <c r="AP103" s="6">
        <f t="shared" si="126"/>
        <v>0</v>
      </c>
      <c r="AQ103" s="6">
        <f t="shared" si="126"/>
        <v>0</v>
      </c>
      <c r="AR103" s="6">
        <f t="shared" si="126"/>
        <v>0</v>
      </c>
      <c r="AS103" s="6">
        <f t="shared" si="127"/>
        <v>0</v>
      </c>
      <c r="AT103" s="6">
        <f t="shared" si="127"/>
        <v>8.4168336673346698</v>
      </c>
      <c r="AU103" s="6">
        <f t="shared" si="127"/>
        <v>0</v>
      </c>
      <c r="AV103" s="6">
        <f t="shared" si="127"/>
        <v>0</v>
      </c>
      <c r="AW103" s="6">
        <f t="shared" si="127"/>
        <v>0</v>
      </c>
      <c r="AX103" s="6">
        <f t="shared" si="127"/>
        <v>0</v>
      </c>
      <c r="AY103" s="6">
        <f t="shared" si="127"/>
        <v>0</v>
      </c>
      <c r="AZ103" s="6">
        <f t="shared" si="127"/>
        <v>0</v>
      </c>
      <c r="BA103" s="6">
        <f t="shared" si="127"/>
        <v>0</v>
      </c>
      <c r="BB103" s="6">
        <f t="shared" si="127"/>
        <v>298.59719438877755</v>
      </c>
      <c r="BC103" s="6">
        <f t="shared" si="128"/>
        <v>0</v>
      </c>
      <c r="BD103" s="6">
        <f t="shared" si="128"/>
        <v>0</v>
      </c>
      <c r="BE103" s="6">
        <f t="shared" si="128"/>
        <v>0</v>
      </c>
      <c r="BF103" s="6">
        <f t="shared" si="128"/>
        <v>0</v>
      </c>
      <c r="BG103" s="6">
        <f t="shared" si="128"/>
        <v>0</v>
      </c>
      <c r="BH103" s="6">
        <f t="shared" si="128"/>
        <v>39.61965134706815</v>
      </c>
      <c r="BI103" s="6">
        <f t="shared" si="128"/>
        <v>0</v>
      </c>
      <c r="BJ103" s="6">
        <f t="shared" si="128"/>
        <v>39.61965134706815</v>
      </c>
      <c r="BK103" s="6">
        <f t="shared" si="128"/>
        <v>0</v>
      </c>
      <c r="BL103" s="6">
        <f t="shared" si="129"/>
        <v>0</v>
      </c>
      <c r="BM103" s="6">
        <f t="shared" si="129"/>
        <v>0</v>
      </c>
      <c r="BN103" s="6">
        <f t="shared" si="129"/>
        <v>0</v>
      </c>
      <c r="BO103" s="6">
        <f t="shared" si="129"/>
        <v>26.426307448494455</v>
      </c>
      <c r="BP103" s="6">
        <f t="shared" si="129"/>
        <v>0</v>
      </c>
      <c r="BQ103" s="6">
        <f t="shared" si="129"/>
        <v>0</v>
      </c>
      <c r="BR103" s="6">
        <f t="shared" si="129"/>
        <v>0</v>
      </c>
      <c r="BS103" s="6">
        <f t="shared" si="129"/>
        <v>0</v>
      </c>
      <c r="BT103" s="6">
        <f t="shared" si="129"/>
        <v>0</v>
      </c>
      <c r="BU103" s="6">
        <f t="shared" si="129"/>
        <v>0</v>
      </c>
      <c r="BV103" s="6">
        <f t="shared" si="129"/>
        <v>0</v>
      </c>
      <c r="BW103" s="6">
        <f t="shared" si="129"/>
        <v>0</v>
      </c>
      <c r="BX103" s="6">
        <f t="shared" si="129"/>
        <v>0</v>
      </c>
      <c r="BY103" s="6">
        <f t="shared" si="129"/>
        <v>59.429477020602221</v>
      </c>
      <c r="BZ103" s="6">
        <f t="shared" si="129"/>
        <v>0</v>
      </c>
      <c r="CA103" s="6">
        <f t="shared" si="129"/>
        <v>0</v>
      </c>
      <c r="CB103" s="6">
        <f t="shared" si="129"/>
        <v>0</v>
      </c>
      <c r="CC103" s="6">
        <f t="shared" si="129"/>
        <v>0</v>
      </c>
      <c r="CD103" s="6">
        <f t="shared" si="129"/>
        <v>0</v>
      </c>
      <c r="CE103" s="6">
        <f t="shared" si="129"/>
        <v>0</v>
      </c>
      <c r="CF103" s="6">
        <f t="shared" si="129"/>
        <v>0</v>
      </c>
      <c r="CG103" s="6">
        <f t="shared" si="129"/>
        <v>0</v>
      </c>
      <c r="CH103" s="6">
        <f t="shared" si="129"/>
        <v>0</v>
      </c>
      <c r="CI103" s="6">
        <f t="shared" si="129"/>
        <v>0</v>
      </c>
      <c r="CJ103" s="6">
        <f t="shared" si="129"/>
        <v>0</v>
      </c>
      <c r="CK103" s="6">
        <f t="shared" si="129"/>
        <v>0</v>
      </c>
      <c r="CL103" s="6">
        <f t="shared" ref="BL103:DU104" si="133">SUMIF($B$72:$B$89,$C103,CL$72:CL$89)</f>
        <v>19.809825673534075</v>
      </c>
      <c r="CM103" s="6">
        <f t="shared" si="133"/>
        <v>0</v>
      </c>
      <c r="CN103" s="6">
        <f t="shared" si="133"/>
        <v>0</v>
      </c>
      <c r="CO103" s="6">
        <f t="shared" si="133"/>
        <v>10.589252269125488</v>
      </c>
      <c r="CP103" s="6">
        <f t="shared" si="133"/>
        <v>0</v>
      </c>
      <c r="CQ103" s="6">
        <f t="shared" si="133"/>
        <v>0</v>
      </c>
      <c r="CR103" s="6">
        <f t="shared" si="133"/>
        <v>0</v>
      </c>
      <c r="CS103" s="6">
        <f t="shared" si="133"/>
        <v>0</v>
      </c>
      <c r="CT103" s="6">
        <f t="shared" si="133"/>
        <v>0</v>
      </c>
      <c r="CU103" s="6">
        <f t="shared" si="133"/>
        <v>0</v>
      </c>
      <c r="CV103" s="6">
        <f t="shared" si="133"/>
        <v>0</v>
      </c>
      <c r="CW103" s="6">
        <f t="shared" si="133"/>
        <v>0</v>
      </c>
      <c r="CX103" s="6">
        <f t="shared" si="133"/>
        <v>9.9049128367670374</v>
      </c>
      <c r="CY103" s="6">
        <f t="shared" si="133"/>
        <v>31.695721077654518</v>
      </c>
      <c r="CZ103" s="6">
        <f t="shared" si="133"/>
        <v>55.467511885895405</v>
      </c>
      <c r="DA103" s="6">
        <f t="shared" si="133"/>
        <v>0</v>
      </c>
      <c r="DB103" s="6">
        <f t="shared" si="133"/>
        <v>0</v>
      </c>
      <c r="DC103" s="6">
        <f t="shared" si="133"/>
        <v>9.5087163232963547</v>
      </c>
      <c r="DD103" s="6">
        <f t="shared" si="133"/>
        <v>89.144215530903338</v>
      </c>
      <c r="DE103" s="6">
        <f t="shared" si="133"/>
        <v>0</v>
      </c>
      <c r="DF103" s="6">
        <f t="shared" si="133"/>
        <v>0</v>
      </c>
      <c r="DG103" s="6">
        <f t="shared" si="133"/>
        <v>0</v>
      </c>
      <c r="DH103" s="6">
        <f t="shared" si="133"/>
        <v>39.61965134706815</v>
      </c>
      <c r="DI103" s="6">
        <f t="shared" si="133"/>
        <v>0</v>
      </c>
      <c r="DJ103" s="6">
        <f t="shared" si="133"/>
        <v>0</v>
      </c>
      <c r="DK103" s="6">
        <f t="shared" si="133"/>
        <v>0</v>
      </c>
      <c r="DL103" s="6">
        <f t="shared" si="133"/>
        <v>19.017432646592709</v>
      </c>
      <c r="DM103" s="6">
        <f t="shared" si="133"/>
        <v>0</v>
      </c>
      <c r="DN103" s="6">
        <f t="shared" si="133"/>
        <v>0</v>
      </c>
      <c r="DO103" s="6">
        <f t="shared" si="133"/>
        <v>0</v>
      </c>
      <c r="DP103" s="6">
        <f t="shared" si="133"/>
        <v>19.413629160063394</v>
      </c>
      <c r="DQ103" s="6">
        <f t="shared" si="133"/>
        <v>81.220285261489707</v>
      </c>
      <c r="DR103" s="6">
        <f t="shared" si="133"/>
        <v>15.847860538827259</v>
      </c>
      <c r="DS103" s="6">
        <f t="shared" si="133"/>
        <v>0</v>
      </c>
      <c r="DT103" s="6">
        <f t="shared" si="133"/>
        <v>0</v>
      </c>
      <c r="DU103" s="6">
        <f t="shared" si="133"/>
        <v>0</v>
      </c>
      <c r="DV103" s="198"/>
      <c r="DW103" s="63"/>
      <c r="DX103" s="28">
        <f>SUM($E103:DU103)</f>
        <v>1552.0137990619007</v>
      </c>
      <c r="DY103" s="154"/>
      <c r="DZ103" s="155"/>
      <c r="ED103" s="4"/>
      <c r="FD103" s="176"/>
      <c r="FE103" s="176"/>
      <c r="FF103" s="176"/>
      <c r="FG103" s="176"/>
      <c r="FH103" s="176"/>
      <c r="FI103" s="176"/>
      <c r="FJ103" s="176"/>
      <c r="FK103" s="176"/>
      <c r="FL103" s="176"/>
      <c r="FN103" s="230"/>
      <c r="FO103" s="231"/>
      <c r="FP103" s="2"/>
    </row>
    <row r="104" spans="1:183" outlineLevel="1">
      <c r="B104" t="s">
        <v>558</v>
      </c>
      <c r="C104" s="2" t="s">
        <v>558</v>
      </c>
      <c r="D104" s="6">
        <v>0</v>
      </c>
      <c r="E104" s="6">
        <f t="shared" si="123"/>
        <v>0</v>
      </c>
      <c r="F104" s="6">
        <f t="shared" si="123"/>
        <v>0</v>
      </c>
      <c r="G104" s="6">
        <f t="shared" si="123"/>
        <v>0</v>
      </c>
      <c r="H104" s="6">
        <f t="shared" si="123"/>
        <v>0</v>
      </c>
      <c r="I104" s="6">
        <f t="shared" si="123"/>
        <v>0</v>
      </c>
      <c r="J104" s="6">
        <f t="shared" si="123"/>
        <v>0</v>
      </c>
      <c r="K104" s="6">
        <f t="shared" si="123"/>
        <v>0</v>
      </c>
      <c r="L104" s="6">
        <f t="shared" si="123"/>
        <v>0</v>
      </c>
      <c r="M104" s="6">
        <f t="shared" si="123"/>
        <v>0</v>
      </c>
      <c r="N104" s="6">
        <f t="shared" si="123"/>
        <v>0</v>
      </c>
      <c r="O104" s="6">
        <f t="shared" si="124"/>
        <v>0</v>
      </c>
      <c r="P104" s="6">
        <f t="shared" si="124"/>
        <v>0</v>
      </c>
      <c r="Q104" s="6">
        <f t="shared" si="124"/>
        <v>0</v>
      </c>
      <c r="R104" s="6">
        <f t="shared" si="124"/>
        <v>0</v>
      </c>
      <c r="S104" s="6">
        <f t="shared" si="124"/>
        <v>0</v>
      </c>
      <c r="T104" s="6">
        <f t="shared" si="124"/>
        <v>0</v>
      </c>
      <c r="U104" s="6">
        <f t="shared" si="124"/>
        <v>0</v>
      </c>
      <c r="V104" s="6">
        <f t="shared" si="124"/>
        <v>0</v>
      </c>
      <c r="W104" s="6">
        <f t="shared" si="124"/>
        <v>0</v>
      </c>
      <c r="X104" s="6">
        <f t="shared" si="124"/>
        <v>0</v>
      </c>
      <c r="Y104" s="6">
        <f t="shared" si="125"/>
        <v>0</v>
      </c>
      <c r="Z104" s="6">
        <f t="shared" si="125"/>
        <v>0</v>
      </c>
      <c r="AA104" s="6">
        <f t="shared" si="125"/>
        <v>0</v>
      </c>
      <c r="AB104" s="6">
        <f t="shared" si="125"/>
        <v>0</v>
      </c>
      <c r="AC104" s="6">
        <f t="shared" si="125"/>
        <v>0</v>
      </c>
      <c r="AD104" s="6">
        <f t="shared" si="125"/>
        <v>0</v>
      </c>
      <c r="AE104" s="6">
        <f t="shared" si="125"/>
        <v>0</v>
      </c>
      <c r="AF104" s="6">
        <f t="shared" si="125"/>
        <v>0</v>
      </c>
      <c r="AG104" s="6">
        <f t="shared" si="125"/>
        <v>0</v>
      </c>
      <c r="AH104" s="6">
        <f t="shared" si="125"/>
        <v>0</v>
      </c>
      <c r="AI104" s="6">
        <f t="shared" si="126"/>
        <v>0</v>
      </c>
      <c r="AJ104" s="6">
        <f t="shared" si="126"/>
        <v>0</v>
      </c>
      <c r="AK104" s="6">
        <f t="shared" si="126"/>
        <v>0</v>
      </c>
      <c r="AL104" s="6">
        <f t="shared" si="126"/>
        <v>0</v>
      </c>
      <c r="AM104" s="6">
        <f t="shared" si="126"/>
        <v>0</v>
      </c>
      <c r="AN104" s="6">
        <f t="shared" si="126"/>
        <v>0</v>
      </c>
      <c r="AO104" s="6">
        <f t="shared" si="126"/>
        <v>0</v>
      </c>
      <c r="AP104" s="6">
        <f t="shared" si="126"/>
        <v>0</v>
      </c>
      <c r="AQ104" s="6">
        <f t="shared" si="126"/>
        <v>0</v>
      </c>
      <c r="AR104" s="6">
        <f t="shared" si="126"/>
        <v>0</v>
      </c>
      <c r="AS104" s="6">
        <f t="shared" si="127"/>
        <v>0</v>
      </c>
      <c r="AT104" s="6">
        <f t="shared" si="127"/>
        <v>0</v>
      </c>
      <c r="AU104" s="6">
        <f t="shared" si="127"/>
        <v>0</v>
      </c>
      <c r="AV104" s="6">
        <f t="shared" si="127"/>
        <v>0</v>
      </c>
      <c r="AW104" s="6">
        <f t="shared" si="127"/>
        <v>0</v>
      </c>
      <c r="AX104" s="6">
        <f t="shared" si="127"/>
        <v>0</v>
      </c>
      <c r="AY104" s="6">
        <f t="shared" si="127"/>
        <v>0</v>
      </c>
      <c r="AZ104" s="6">
        <f t="shared" si="127"/>
        <v>0</v>
      </c>
      <c r="BA104" s="6">
        <f t="shared" si="127"/>
        <v>0</v>
      </c>
      <c r="BB104" s="6">
        <f t="shared" si="127"/>
        <v>0</v>
      </c>
      <c r="BC104" s="6">
        <f t="shared" si="128"/>
        <v>0</v>
      </c>
      <c r="BD104" s="6">
        <f t="shared" si="128"/>
        <v>0</v>
      </c>
      <c r="BE104" s="6">
        <f t="shared" si="128"/>
        <v>0</v>
      </c>
      <c r="BF104" s="6">
        <f t="shared" si="128"/>
        <v>0</v>
      </c>
      <c r="BG104" s="6">
        <f t="shared" si="128"/>
        <v>0</v>
      </c>
      <c r="BH104" s="6">
        <f t="shared" si="128"/>
        <v>0</v>
      </c>
      <c r="BI104" s="6">
        <f t="shared" si="128"/>
        <v>0</v>
      </c>
      <c r="BJ104" s="6">
        <f t="shared" si="128"/>
        <v>0</v>
      </c>
      <c r="BK104" s="6">
        <f t="shared" si="128"/>
        <v>0</v>
      </c>
      <c r="BL104" s="6">
        <f t="shared" si="133"/>
        <v>0</v>
      </c>
      <c r="BM104" s="6">
        <f t="shared" si="133"/>
        <v>0</v>
      </c>
      <c r="BN104" s="6">
        <f t="shared" si="133"/>
        <v>0</v>
      </c>
      <c r="BO104" s="6">
        <f t="shared" si="133"/>
        <v>0</v>
      </c>
      <c r="BP104" s="6">
        <f t="shared" si="133"/>
        <v>0</v>
      </c>
      <c r="BQ104" s="6">
        <f t="shared" si="133"/>
        <v>0</v>
      </c>
      <c r="BR104" s="6">
        <f t="shared" si="133"/>
        <v>0</v>
      </c>
      <c r="BS104" s="6">
        <f t="shared" si="133"/>
        <v>0</v>
      </c>
      <c r="BT104" s="6">
        <f t="shared" si="133"/>
        <v>0</v>
      </c>
      <c r="BU104" s="6">
        <f t="shared" si="133"/>
        <v>399.36608557844693</v>
      </c>
      <c r="BV104" s="6">
        <f t="shared" si="133"/>
        <v>0</v>
      </c>
      <c r="BW104" s="6">
        <f t="shared" si="133"/>
        <v>0</v>
      </c>
      <c r="BX104" s="6">
        <f t="shared" si="133"/>
        <v>0</v>
      </c>
      <c r="BY104" s="6">
        <f t="shared" si="133"/>
        <v>0</v>
      </c>
      <c r="BZ104" s="6">
        <f t="shared" si="133"/>
        <v>0</v>
      </c>
      <c r="CA104" s="6">
        <f t="shared" si="133"/>
        <v>0</v>
      </c>
      <c r="CB104" s="6">
        <f t="shared" si="133"/>
        <v>0</v>
      </c>
      <c r="CC104" s="6">
        <f t="shared" si="133"/>
        <v>0</v>
      </c>
      <c r="CD104" s="6">
        <f t="shared" si="133"/>
        <v>0</v>
      </c>
      <c r="CE104" s="6">
        <f t="shared" si="133"/>
        <v>0</v>
      </c>
      <c r="CF104" s="6">
        <f t="shared" si="133"/>
        <v>0</v>
      </c>
      <c r="CG104" s="6">
        <f t="shared" si="133"/>
        <v>0</v>
      </c>
      <c r="CH104" s="6">
        <f t="shared" si="133"/>
        <v>0</v>
      </c>
      <c r="CI104" s="6">
        <f t="shared" si="133"/>
        <v>0</v>
      </c>
      <c r="CJ104" s="6">
        <f t="shared" si="133"/>
        <v>0</v>
      </c>
      <c r="CK104" s="6">
        <f t="shared" si="133"/>
        <v>0</v>
      </c>
      <c r="CL104" s="6">
        <f t="shared" si="133"/>
        <v>0</v>
      </c>
      <c r="CM104" s="6">
        <f t="shared" si="133"/>
        <v>0</v>
      </c>
      <c r="CN104" s="6">
        <f t="shared" si="133"/>
        <v>0</v>
      </c>
      <c r="CO104" s="6">
        <f t="shared" si="133"/>
        <v>0</v>
      </c>
      <c r="CP104" s="6">
        <f t="shared" si="133"/>
        <v>0</v>
      </c>
      <c r="CQ104" s="6">
        <f t="shared" si="133"/>
        <v>0</v>
      </c>
      <c r="CR104" s="6">
        <f t="shared" si="133"/>
        <v>0</v>
      </c>
      <c r="CS104" s="6">
        <f t="shared" si="133"/>
        <v>0</v>
      </c>
      <c r="CT104" s="6">
        <f t="shared" si="133"/>
        <v>0</v>
      </c>
      <c r="CU104" s="6">
        <f t="shared" si="133"/>
        <v>0</v>
      </c>
      <c r="CV104" s="6">
        <f t="shared" si="133"/>
        <v>0</v>
      </c>
      <c r="CW104" s="6">
        <f t="shared" si="133"/>
        <v>0</v>
      </c>
      <c r="CX104" s="6">
        <f t="shared" si="133"/>
        <v>0</v>
      </c>
      <c r="CY104" s="6">
        <f t="shared" si="133"/>
        <v>0</v>
      </c>
      <c r="CZ104" s="6">
        <f t="shared" si="133"/>
        <v>0</v>
      </c>
      <c r="DA104" s="6">
        <f t="shared" si="133"/>
        <v>0</v>
      </c>
      <c r="DB104" s="6">
        <f t="shared" si="133"/>
        <v>0</v>
      </c>
      <c r="DC104" s="6">
        <f t="shared" si="133"/>
        <v>0</v>
      </c>
      <c r="DD104" s="6">
        <f t="shared" si="133"/>
        <v>0</v>
      </c>
      <c r="DE104" s="6">
        <f t="shared" si="133"/>
        <v>0</v>
      </c>
      <c r="DF104" s="6">
        <f t="shared" si="133"/>
        <v>0</v>
      </c>
      <c r="DG104" s="6">
        <f t="shared" si="133"/>
        <v>0</v>
      </c>
      <c r="DH104" s="6">
        <f t="shared" si="133"/>
        <v>0</v>
      </c>
      <c r="DI104" s="6">
        <f t="shared" si="133"/>
        <v>0</v>
      </c>
      <c r="DJ104" s="6">
        <f t="shared" si="133"/>
        <v>0</v>
      </c>
      <c r="DK104" s="6">
        <f t="shared" si="133"/>
        <v>0</v>
      </c>
      <c r="DL104" s="6">
        <f t="shared" si="133"/>
        <v>0</v>
      </c>
      <c r="DM104" s="6">
        <f t="shared" si="133"/>
        <v>0</v>
      </c>
      <c r="DN104" s="6">
        <f t="shared" si="133"/>
        <v>0</v>
      </c>
      <c r="DO104" s="6">
        <f t="shared" si="133"/>
        <v>0</v>
      </c>
      <c r="DP104" s="6">
        <f t="shared" si="133"/>
        <v>0</v>
      </c>
      <c r="DQ104" s="6">
        <f t="shared" si="133"/>
        <v>0</v>
      </c>
      <c r="DR104" s="6">
        <f t="shared" si="133"/>
        <v>0</v>
      </c>
      <c r="DS104" s="6">
        <f t="shared" si="133"/>
        <v>0</v>
      </c>
      <c r="DT104" s="6">
        <f t="shared" si="133"/>
        <v>0</v>
      </c>
      <c r="DU104" s="6">
        <f t="shared" si="133"/>
        <v>0</v>
      </c>
      <c r="DV104" s="198">
        <f>SUMIF($B$72:$B$87,$C104,DV$72:DV$87)</f>
        <v>0</v>
      </c>
      <c r="DW104" s="63">
        <f>SUMIF($B$72:$B$87,$C104,DW$72:DW$87)</f>
        <v>0</v>
      </c>
      <c r="DX104" s="28">
        <f>SUM($E104:DU104)</f>
        <v>399.36608557844693</v>
      </c>
      <c r="DY104" s="154"/>
      <c r="DZ104" s="155"/>
      <c r="ED104" s="4"/>
      <c r="FD104" t="s">
        <v>24</v>
      </c>
      <c r="FE104" s="6">
        <f ca="1">SUM((INDIRECT(FE$9&amp;ROW()):(INDIRECT(FE$10&amp;ROW()))))+SUM((INDIRECT(FE$9&amp;ROW()-1):(INDIRECT(FE$10&amp;ROW()-1))))</f>
        <v>494.02</v>
      </c>
      <c r="FF104" s="6">
        <f ca="1">SUM((INDIRECT(FF$9&amp;ROW()):(INDIRECT(FF$10&amp;ROW()))))+SUM((INDIRECT(FF$9&amp;ROW()-1):(INDIRECT(FF$10&amp;ROW()-1))))</f>
        <v>29.133858267716537</v>
      </c>
      <c r="FG104" s="6">
        <f ca="1">SUM((INDIRECT(FG$9&amp;ROW()):(INDIRECT(FG$10&amp;ROW()))))+SUM((INDIRECT(FG$9&amp;ROW()-1):(INDIRECT(FG$10&amp;ROW()-1))))</f>
        <v>462.52583907973428</v>
      </c>
      <c r="FH104" s="6">
        <f ca="1">SUM((INDIRECT(FH$9&amp;ROW()):(INDIRECT(FH$10&amp;ROW()))))+SUM((INDIRECT(FH$9&amp;ROW()-1):(INDIRECT(FH$10&amp;ROW()-1))))</f>
        <v>564.46117274167989</v>
      </c>
      <c r="FI104" s="6">
        <f ca="1">SUM((INDIRECT(FI$9&amp;ROW()):(INDIRECT(FI$10&amp;ROW()))))+SUM((INDIRECT(FI$9&amp;ROW()-1):(INDIRECT(FI$10&amp;ROW()-1))))</f>
        <v>265.73980694424438</v>
      </c>
      <c r="FJ104" s="6">
        <f ca="1">SUM((INDIRECT(FJ$9&amp;ROW()):(INDIRECT(FJ$10&amp;ROW()))))+SUM((INDIRECT(FJ$9&amp;ROW()-1):(INDIRECT(FJ$10&amp;ROW()-1))))</f>
        <v>135.49920760697307</v>
      </c>
      <c r="FK104" s="6" t="e">
        <f ca="1">SUM((INDIRECT(FK$9&amp;ROW()):(INDIRECT(FK$10&amp;ROW()))))</f>
        <v>#REF!</v>
      </c>
      <c r="FL104" s="6" t="e">
        <f ca="1">SUM((INDIRECT(FL$9&amp;ROW()):(INDIRECT(FL$10&amp;ROW()))))</f>
        <v>#REF!</v>
      </c>
      <c r="FN104" s="6">
        <f ca="1">SUM(FF104:FJ104)</f>
        <v>1457.3598846403479</v>
      </c>
      <c r="FO104" s="6">
        <f ca="1">FN104/$FN$98</f>
        <v>12.144665705336232</v>
      </c>
      <c r="FP104" s="4">
        <v>8</v>
      </c>
      <c r="FQ104" s="14">
        <f ca="1">+FG104/$FG$98</f>
        <v>14.920188357410783</v>
      </c>
    </row>
    <row r="105" spans="1:183" outlineLevel="1">
      <c r="C105" s="9" t="s">
        <v>14</v>
      </c>
      <c r="D105" s="28">
        <v>0</v>
      </c>
      <c r="E105" s="28">
        <f t="shared" ref="E105:BK105" si="134">SUM(E99:E104)</f>
        <v>2127.84</v>
      </c>
      <c r="F105" s="28">
        <f t="shared" si="134"/>
        <v>161.88976377952756</v>
      </c>
      <c r="G105" s="28">
        <f t="shared" si="134"/>
        <v>80.826771653543318</v>
      </c>
      <c r="H105" s="28">
        <f t="shared" si="134"/>
        <v>78.779527559055111</v>
      </c>
      <c r="I105" s="28">
        <f t="shared" si="134"/>
        <v>52.362204724409452</v>
      </c>
      <c r="J105" s="28">
        <f t="shared" si="134"/>
        <v>90.236220472440948</v>
      </c>
      <c r="K105" s="28">
        <f t="shared" si="134"/>
        <v>64.566929133858267</v>
      </c>
      <c r="L105" s="28">
        <f t="shared" si="134"/>
        <v>55.984251968503941</v>
      </c>
      <c r="M105" s="28">
        <f t="shared" si="134"/>
        <v>50.590551181102363</v>
      </c>
      <c r="N105" s="28">
        <f t="shared" si="134"/>
        <v>40.826771653543311</v>
      </c>
      <c r="O105" s="28">
        <f t="shared" si="134"/>
        <v>34.645669291338585</v>
      </c>
      <c r="P105" s="28">
        <f t="shared" si="134"/>
        <v>29.055118110236222</v>
      </c>
      <c r="Q105" s="28">
        <f t="shared" si="134"/>
        <v>19.448818897637796</v>
      </c>
      <c r="R105" s="28">
        <f t="shared" si="134"/>
        <v>111.41732283464567</v>
      </c>
      <c r="S105" s="28">
        <f t="shared" si="134"/>
        <v>64.763779527559052</v>
      </c>
      <c r="T105" s="28">
        <f>SUM(T99:T104)</f>
        <v>59.055118110236222</v>
      </c>
      <c r="U105" s="28">
        <f>SUM(U99:U104)</f>
        <v>53.346456692913392</v>
      </c>
      <c r="V105" s="28">
        <f t="shared" si="134"/>
        <v>39.685039370078741</v>
      </c>
      <c r="W105" s="28">
        <f t="shared" si="134"/>
        <v>53.740157480314963</v>
      </c>
      <c r="X105" s="28">
        <f t="shared" si="134"/>
        <v>47.64173228346457</v>
      </c>
      <c r="Y105" s="28">
        <f t="shared" si="134"/>
        <v>55.594488188976385</v>
      </c>
      <c r="Z105" s="28">
        <f t="shared" si="134"/>
        <v>58.744094488188985</v>
      </c>
      <c r="AA105" s="28">
        <f t="shared" si="134"/>
        <v>80.003937007874029</v>
      </c>
      <c r="AB105" s="28">
        <f t="shared" si="134"/>
        <v>49.688976377952756</v>
      </c>
      <c r="AC105" s="28">
        <f t="shared" si="134"/>
        <v>61.539370078740163</v>
      </c>
      <c r="AD105" s="28">
        <f t="shared" si="134"/>
        <v>102.20866141732284</v>
      </c>
      <c r="AE105" s="28">
        <f t="shared" si="134"/>
        <v>55.397637795275593</v>
      </c>
      <c r="AF105" s="28">
        <f t="shared" si="134"/>
        <v>48.704724409448822</v>
      </c>
      <c r="AG105" s="28">
        <f t="shared" si="134"/>
        <v>58.586614173228348</v>
      </c>
      <c r="AH105" s="28">
        <f t="shared" si="134"/>
        <v>49.807086614173237</v>
      </c>
      <c r="AI105" s="28">
        <f t="shared" si="134"/>
        <v>83.547244094488192</v>
      </c>
      <c r="AJ105" s="28">
        <f t="shared" si="134"/>
        <v>58.350393700787407</v>
      </c>
      <c r="AK105" s="28">
        <f t="shared" si="134"/>
        <v>50.279527559055126</v>
      </c>
      <c r="AL105" s="28">
        <f t="shared" si="134"/>
        <v>114.55310621242485</v>
      </c>
      <c r="AM105" s="28">
        <f t="shared" si="134"/>
        <v>34.75350701402806</v>
      </c>
      <c r="AN105" s="28">
        <f t="shared" si="134"/>
        <v>52.188376753507022</v>
      </c>
      <c r="AO105" s="28">
        <f t="shared" si="134"/>
        <v>37.358717434869746</v>
      </c>
      <c r="AP105" s="28">
        <f t="shared" si="134"/>
        <v>36.276553106212432</v>
      </c>
      <c r="AQ105" s="28">
        <f t="shared" si="134"/>
        <v>41.326653306613231</v>
      </c>
      <c r="AR105" s="28">
        <f t="shared" si="134"/>
        <v>28.100200400801604</v>
      </c>
      <c r="AS105" s="28">
        <f t="shared" si="134"/>
        <v>53.310621242484977</v>
      </c>
      <c r="AT105" s="28">
        <f t="shared" si="134"/>
        <v>64.61322645290582</v>
      </c>
      <c r="AU105" s="28">
        <f t="shared" si="134"/>
        <v>53.551102204408821</v>
      </c>
      <c r="AV105" s="28">
        <f t="shared" si="134"/>
        <v>41.967935871743492</v>
      </c>
      <c r="AW105" s="28">
        <f t="shared" si="134"/>
        <v>43.651302605210425</v>
      </c>
      <c r="AX105" s="28">
        <f t="shared" si="134"/>
        <v>45.575150300601209</v>
      </c>
      <c r="AY105" s="28">
        <f t="shared" si="134"/>
        <v>41.767535070140283</v>
      </c>
      <c r="AZ105" s="28">
        <f t="shared" si="134"/>
        <v>34.272545090180358</v>
      </c>
      <c r="BA105" s="28">
        <f t="shared" si="134"/>
        <v>41.366733466933866</v>
      </c>
      <c r="BB105" s="28">
        <f t="shared" si="134"/>
        <v>388.65731462925828</v>
      </c>
      <c r="BC105" s="28">
        <f t="shared" si="134"/>
        <v>43.370741482965933</v>
      </c>
      <c r="BD105" s="28">
        <f t="shared" si="134"/>
        <v>30.59033280507132</v>
      </c>
      <c r="BE105" s="28">
        <f t="shared" si="134"/>
        <v>30.94690966719493</v>
      </c>
      <c r="BF105" s="28">
        <f t="shared" si="134"/>
        <v>42.872424722662444</v>
      </c>
      <c r="BG105" s="28">
        <f t="shared" si="134"/>
        <v>48.022979397781299</v>
      </c>
      <c r="BH105" s="28">
        <f t="shared" si="134"/>
        <v>150.83597464342316</v>
      </c>
      <c r="BI105" s="28">
        <f t="shared" si="134"/>
        <v>39.544374009508715</v>
      </c>
      <c r="BJ105" s="28">
        <f t="shared" si="134"/>
        <v>116.56497622820922</v>
      </c>
      <c r="BK105" s="28">
        <f t="shared" si="134"/>
        <v>34.156101426307451</v>
      </c>
      <c r="BL105" s="28">
        <f t="shared" ref="BL105:DU105" si="135">SUM(BL99:BL104)</f>
        <v>39.108557844690964</v>
      </c>
      <c r="BM105" s="28">
        <f t="shared" si="135"/>
        <v>39.70285261489699</v>
      </c>
      <c r="BN105" s="28">
        <f t="shared" si="135"/>
        <v>34.948494453248813</v>
      </c>
      <c r="BO105" s="28">
        <f t="shared" si="135"/>
        <v>105.62995245641839</v>
      </c>
      <c r="BP105" s="28">
        <f t="shared" si="135"/>
        <v>47.032488114104595</v>
      </c>
      <c r="BQ105" s="28">
        <f t="shared" si="135"/>
        <v>43.506339144215531</v>
      </c>
      <c r="BR105" s="28">
        <f t="shared" si="135"/>
        <v>39.306656101426306</v>
      </c>
      <c r="BS105" s="28">
        <f t="shared" si="135"/>
        <v>70.408082408874805</v>
      </c>
      <c r="BT105" s="28">
        <f t="shared" si="135"/>
        <v>39.465134706814581</v>
      </c>
      <c r="BU105" s="28">
        <f t="shared" si="135"/>
        <v>484.86925515055469</v>
      </c>
      <c r="BV105" s="28">
        <f t="shared" si="135"/>
        <v>76.747226624405712</v>
      </c>
      <c r="BW105" s="28">
        <f t="shared" si="135"/>
        <v>60.582408874801907</v>
      </c>
      <c r="BX105" s="28">
        <f t="shared" si="135"/>
        <v>20.051505546751191</v>
      </c>
      <c r="BY105" s="28">
        <f t="shared" si="135"/>
        <v>88.118066561014274</v>
      </c>
      <c r="BZ105" s="28">
        <f t="shared" si="135"/>
        <v>54.758320126782884</v>
      </c>
      <c r="CA105" s="28">
        <f t="shared" si="135"/>
        <v>50.003961965134707</v>
      </c>
      <c r="CB105" s="28">
        <f t="shared" si="135"/>
        <v>24.845483359746435</v>
      </c>
      <c r="CC105" s="28">
        <f t="shared" si="135"/>
        <v>56.620443740095098</v>
      </c>
      <c r="CD105" s="28">
        <f t="shared" si="135"/>
        <v>30.788431061806659</v>
      </c>
      <c r="CE105" s="28">
        <f t="shared" si="135"/>
        <v>36.889857369255154</v>
      </c>
      <c r="CF105" s="28">
        <f t="shared" si="135"/>
        <v>27.024564183835182</v>
      </c>
      <c r="CG105" s="28">
        <f t="shared" si="135"/>
        <v>106.33914421553091</v>
      </c>
      <c r="CH105" s="28">
        <f t="shared" si="135"/>
        <v>54.143026941362919</v>
      </c>
      <c r="CI105" s="28">
        <f t="shared" si="135"/>
        <v>50.101822503961969</v>
      </c>
      <c r="CJ105" s="28">
        <f t="shared" si="135"/>
        <v>25.141442155309036</v>
      </c>
      <c r="CK105" s="28">
        <f t="shared" si="135"/>
        <v>61.472662440570531</v>
      </c>
      <c r="CL105" s="28">
        <f t="shared" si="135"/>
        <v>62.34429477020602</v>
      </c>
      <c r="CM105" s="28">
        <f t="shared" si="135"/>
        <v>521.83668347500361</v>
      </c>
      <c r="CN105" s="28">
        <f t="shared" si="135"/>
        <v>137.63675983287712</v>
      </c>
      <c r="CO105" s="28">
        <f t="shared" si="135"/>
        <v>173.91251260625273</v>
      </c>
      <c r="CP105" s="28">
        <f t="shared" si="135"/>
        <v>128.98382797867745</v>
      </c>
      <c r="CQ105" s="28">
        <f t="shared" si="135"/>
        <v>246.09519521682756</v>
      </c>
      <c r="CR105" s="28">
        <f t="shared" si="135"/>
        <v>54.528418095375322</v>
      </c>
      <c r="CS105" s="28">
        <f t="shared" si="135"/>
        <v>38.176307448494455</v>
      </c>
      <c r="CT105" s="28">
        <f t="shared" si="135"/>
        <v>44.911648177496041</v>
      </c>
      <c r="CU105" s="28">
        <f t="shared" si="135"/>
        <v>56.797543581616488</v>
      </c>
      <c r="CV105" s="28">
        <f t="shared" si="135"/>
        <v>31.639064976228212</v>
      </c>
      <c r="CW105" s="28">
        <f t="shared" si="135"/>
        <v>30.846671949286847</v>
      </c>
      <c r="CX105" s="28">
        <f t="shared" si="135"/>
        <v>134.25396196513472</v>
      </c>
      <c r="CY105" s="28">
        <f t="shared" si="135"/>
        <v>71.456814580031704</v>
      </c>
      <c r="CZ105" s="28">
        <f t="shared" si="135"/>
        <v>97.011489698890657</v>
      </c>
      <c r="DA105" s="28">
        <f t="shared" si="135"/>
        <v>52.914817749603806</v>
      </c>
      <c r="DB105" s="28">
        <f t="shared" si="135"/>
        <v>29.222266244057053</v>
      </c>
      <c r="DC105" s="28">
        <f t="shared" si="135"/>
        <v>50.062202852614902</v>
      </c>
      <c r="DD105" s="28">
        <f t="shared" si="135"/>
        <v>119.87202852614898</v>
      </c>
      <c r="DE105" s="28">
        <f t="shared" si="135"/>
        <v>37.582012678288436</v>
      </c>
      <c r="DF105" s="28">
        <f t="shared" si="135"/>
        <v>42.930665610142626</v>
      </c>
      <c r="DG105" s="28">
        <f t="shared" si="135"/>
        <v>201.56933438985737</v>
      </c>
      <c r="DH105" s="28">
        <f t="shared" si="135"/>
        <v>119.31735340729003</v>
      </c>
      <c r="DI105" s="28">
        <f t="shared" si="135"/>
        <v>912.74841521394626</v>
      </c>
      <c r="DJ105" s="28">
        <f t="shared" si="135"/>
        <v>72.305863708399372</v>
      </c>
      <c r="DK105" s="28">
        <f t="shared" si="135"/>
        <v>37.995245641838352</v>
      </c>
      <c r="DL105" s="28">
        <f t="shared" si="135"/>
        <v>39.223454833597465</v>
      </c>
      <c r="DM105" s="28">
        <f t="shared" si="135"/>
        <v>28.526148969889064</v>
      </c>
      <c r="DN105" s="28">
        <f t="shared" si="135"/>
        <v>60.02377179080824</v>
      </c>
      <c r="DO105" s="28">
        <f t="shared" si="135"/>
        <v>45.562599049128366</v>
      </c>
      <c r="DP105" s="28">
        <f t="shared" si="135"/>
        <v>79.437400950871634</v>
      </c>
      <c r="DQ105" s="28">
        <f t="shared" si="135"/>
        <v>135.1030110935024</v>
      </c>
      <c r="DR105" s="28">
        <f>SUM(DR99:DR104)</f>
        <v>143.81933438985737</v>
      </c>
      <c r="DS105" s="28">
        <f>SUM(DS99:DS104)</f>
        <v>71.038034865293184</v>
      </c>
      <c r="DT105" s="28">
        <f>SUM(DT99:DT104)</f>
        <v>82.908082408874805</v>
      </c>
      <c r="DU105" s="28">
        <f t="shared" si="135"/>
        <v>41</v>
      </c>
      <c r="DV105" s="200">
        <f>SUM(DV99:DV104)</f>
        <v>0</v>
      </c>
      <c r="DW105" s="184">
        <f>SUM(DW99:DW104)</f>
        <v>0</v>
      </c>
      <c r="DX105" s="28">
        <f>SUM($E105:DU105)</f>
        <v>11820.54977556739</v>
      </c>
      <c r="DY105" s="154"/>
      <c r="DZ105" s="155"/>
      <c r="ED105" s="4"/>
      <c r="FD105" s="9" t="s">
        <v>14</v>
      </c>
      <c r="FE105" s="28">
        <f ca="1">SUM((INDIRECT(FE$9&amp;ROW()):(INDIRECT(FE$10&amp;ROW()))))</f>
        <v>2127.84</v>
      </c>
      <c r="FF105" s="28">
        <f ca="1">SUM((INDIRECT(FF$9&amp;ROW()):(INDIRECT(FF$10&amp;ROW()))))</f>
        <v>1141.2204724409451</v>
      </c>
      <c r="FG105" s="28">
        <f ca="1">SUM((INDIRECT(FG$9&amp;ROW()):(INDIRECT(FG$10&amp;ROW()))))</f>
        <v>2013.3850693513014</v>
      </c>
      <c r="FH105" s="28">
        <f ca="1">SUM((INDIRECT(FH$9&amp;ROW()):(INDIRECT(FH$10&amp;ROW()))))</f>
        <v>2113.6520410075304</v>
      </c>
      <c r="FI105" s="28">
        <f ca="1">SUM((INDIRECT(FI$9&amp;ROW()):(INDIRECT(FI$10&amp;ROW()))))</f>
        <v>3587.5092450655534</v>
      </c>
      <c r="FJ105" s="28">
        <f ca="1">SUM((INDIRECT(FJ$9&amp;ROW()):(INDIRECT(FJ$10&amp;ROW()))))</f>
        <v>836.94294770206034</v>
      </c>
      <c r="FK105" s="28" t="e">
        <f ca="1">SUM((INDIRECT(FK$9&amp;ROW()):(INDIRECT(FK$10&amp;ROW()))))</f>
        <v>#REF!</v>
      </c>
      <c r="FL105" s="28" t="e">
        <f ca="1">SUM((INDIRECT(FL$9&amp;ROW()):(INDIRECT(FL$10&amp;ROW()))))</f>
        <v>#REF!</v>
      </c>
      <c r="FN105" s="6">
        <f ca="1">SUM(FF105:FJ105)</f>
        <v>9692.7097755673913</v>
      </c>
      <c r="FO105" s="6">
        <f ca="1">FN105/$FN$98</f>
        <v>80.772581463061599</v>
      </c>
      <c r="FP105" s="4">
        <f>FP102+FP104</f>
        <v>73</v>
      </c>
      <c r="FQ105" s="14">
        <f ca="1">+FG105/$FG$98</f>
        <v>64.947905462945201</v>
      </c>
    </row>
    <row r="106" spans="1:183" outlineLevel="1">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198"/>
      <c r="DW106" s="63"/>
      <c r="DX106" s="153">
        <f>SUM(E106:DW106)</f>
        <v>0</v>
      </c>
      <c r="DY106" s="154"/>
      <c r="DZ106" s="156"/>
      <c r="ED106" s="4"/>
      <c r="FD106" s="176" t="s">
        <v>14</v>
      </c>
      <c r="FE106" s="211">
        <f t="shared" ref="FE106:FK106" ca="1" si="136">FE105/FE$98</f>
        <v>17.732000000000003</v>
      </c>
      <c r="FF106" s="176">
        <f t="shared" ca="1" si="136"/>
        <v>63.401137357830279</v>
      </c>
      <c r="FG106" s="176">
        <f t="shared" ca="1" si="136"/>
        <v>64.947905462945201</v>
      </c>
      <c r="FH106" s="176">
        <f t="shared" ca="1" si="136"/>
        <v>68.182323903468728</v>
      </c>
      <c r="FI106" s="176">
        <f t="shared" ca="1" si="136"/>
        <v>128.12533018091261</v>
      </c>
      <c r="FJ106" s="176">
        <f t="shared" ca="1" si="136"/>
        <v>69.745245641838366</v>
      </c>
      <c r="FK106" s="176" t="e">
        <f t="shared" ca="1" si="136"/>
        <v>#REF!</v>
      </c>
      <c r="FL106" s="176" t="e">
        <f ca="1">FL105/FL$98</f>
        <v>#REF!</v>
      </c>
      <c r="FN106" s="230">
        <f ca="1">FN105/FN$98</f>
        <v>80.772581463061599</v>
      </c>
      <c r="FO106" s="231">
        <f ca="1">+FN106</f>
        <v>80.772581463061599</v>
      </c>
      <c r="FP106" s="2">
        <f>FP105</f>
        <v>73</v>
      </c>
    </row>
    <row r="107" spans="1:183" outlineLevel="1">
      <c r="C107" t="s">
        <v>61</v>
      </c>
      <c r="D107" s="6"/>
      <c r="E107" s="6">
        <f>SUM(E99:E102)</f>
        <v>1633.82</v>
      </c>
      <c r="F107" s="6">
        <f t="shared" ref="F107:BK107" si="137">SUM(F99:F102)</f>
        <v>159.5275590551181</v>
      </c>
      <c r="G107" s="6">
        <f t="shared" si="137"/>
        <v>70.984251968503941</v>
      </c>
      <c r="H107" s="6">
        <f t="shared" si="137"/>
        <v>71.69291338582677</v>
      </c>
      <c r="I107" s="6">
        <f t="shared" si="137"/>
        <v>52.362204724409452</v>
      </c>
      <c r="J107" s="6">
        <f t="shared" si="137"/>
        <v>90.236220472440948</v>
      </c>
      <c r="K107" s="6">
        <f t="shared" si="137"/>
        <v>64.566929133858267</v>
      </c>
      <c r="L107" s="6">
        <f t="shared" si="137"/>
        <v>55.984251968503941</v>
      </c>
      <c r="M107" s="6">
        <f t="shared" si="137"/>
        <v>50.590551181102363</v>
      </c>
      <c r="N107" s="6">
        <f t="shared" si="137"/>
        <v>40.826771653543311</v>
      </c>
      <c r="O107" s="6">
        <f t="shared" si="137"/>
        <v>34.645669291338585</v>
      </c>
      <c r="P107" s="6">
        <f t="shared" si="137"/>
        <v>29.055118110236222</v>
      </c>
      <c r="Q107" s="6">
        <f t="shared" si="137"/>
        <v>19.448818897637796</v>
      </c>
      <c r="R107" s="6">
        <f t="shared" si="137"/>
        <v>111.41732283464567</v>
      </c>
      <c r="S107" s="6">
        <f t="shared" si="137"/>
        <v>64.763779527559052</v>
      </c>
      <c r="T107" s="6">
        <f t="shared" si="137"/>
        <v>59.055118110236222</v>
      </c>
      <c r="U107" s="6">
        <f t="shared" si="137"/>
        <v>53.346456692913392</v>
      </c>
      <c r="V107" s="6">
        <f t="shared" si="137"/>
        <v>39.685039370078741</v>
      </c>
      <c r="W107" s="6">
        <f t="shared" si="137"/>
        <v>43.897637795275593</v>
      </c>
      <c r="X107" s="6">
        <f t="shared" si="137"/>
        <v>38.980314960629926</v>
      </c>
      <c r="Y107" s="6">
        <f t="shared" si="137"/>
        <v>40.240157480314963</v>
      </c>
      <c r="Z107" s="6">
        <f t="shared" si="137"/>
        <v>58.744094488188985</v>
      </c>
      <c r="AA107" s="6">
        <f t="shared" si="137"/>
        <v>40.633858267716548</v>
      </c>
      <c r="AB107" s="6">
        <f t="shared" si="137"/>
        <v>39.059055118110237</v>
      </c>
      <c r="AC107" s="6">
        <f t="shared" si="137"/>
        <v>41.854330708661422</v>
      </c>
      <c r="AD107" s="6">
        <f t="shared" si="137"/>
        <v>102.20866141732284</v>
      </c>
      <c r="AE107" s="6">
        <f t="shared" si="137"/>
        <v>21.933070866141733</v>
      </c>
      <c r="AF107" s="6">
        <f t="shared" si="137"/>
        <v>40.043307086614178</v>
      </c>
      <c r="AG107" s="6">
        <f t="shared" si="137"/>
        <v>58.586614173228348</v>
      </c>
      <c r="AH107" s="6">
        <f t="shared" si="137"/>
        <v>49.807086614173237</v>
      </c>
      <c r="AI107" s="6">
        <f t="shared" si="137"/>
        <v>83.547244094488192</v>
      </c>
      <c r="AJ107" s="6">
        <f t="shared" si="137"/>
        <v>38.665354330708666</v>
      </c>
      <c r="AK107" s="6">
        <f t="shared" si="137"/>
        <v>50.279527559055126</v>
      </c>
      <c r="AL107" s="6">
        <f t="shared" si="137"/>
        <v>114.55310621242485</v>
      </c>
      <c r="AM107" s="6">
        <f t="shared" si="137"/>
        <v>34.75350701402806</v>
      </c>
      <c r="AN107" s="6">
        <f t="shared" si="137"/>
        <v>52.188376753507022</v>
      </c>
      <c r="AO107" s="6">
        <f t="shared" si="137"/>
        <v>37.358717434869746</v>
      </c>
      <c r="AP107" s="6">
        <f t="shared" si="137"/>
        <v>36.276553106212432</v>
      </c>
      <c r="AQ107" s="6">
        <f t="shared" si="137"/>
        <v>41.326653306613231</v>
      </c>
      <c r="AR107" s="6">
        <f t="shared" si="137"/>
        <v>28.100200400801604</v>
      </c>
      <c r="AS107" s="6">
        <f t="shared" si="137"/>
        <v>53.310621242484977</v>
      </c>
      <c r="AT107" s="6">
        <f t="shared" si="137"/>
        <v>56.196392785571149</v>
      </c>
      <c r="AU107" s="6">
        <f t="shared" si="137"/>
        <v>53.551102204408821</v>
      </c>
      <c r="AV107" s="6">
        <f t="shared" si="137"/>
        <v>41.967935871743492</v>
      </c>
      <c r="AW107" s="6">
        <f t="shared" si="137"/>
        <v>43.651302605210425</v>
      </c>
      <c r="AX107" s="6">
        <f t="shared" si="137"/>
        <v>45.575150300601209</v>
      </c>
      <c r="AY107" s="6">
        <f t="shared" si="137"/>
        <v>41.767535070140283</v>
      </c>
      <c r="AZ107" s="6">
        <f t="shared" si="137"/>
        <v>34.272545090180358</v>
      </c>
      <c r="BA107" s="6">
        <f t="shared" si="137"/>
        <v>41.366733466933866</v>
      </c>
      <c r="BB107" s="6">
        <f t="shared" si="137"/>
        <v>90.060120240480757</v>
      </c>
      <c r="BC107" s="6">
        <f t="shared" si="137"/>
        <v>43.370741482965933</v>
      </c>
      <c r="BD107" s="6">
        <f t="shared" si="137"/>
        <v>30.59033280507132</v>
      </c>
      <c r="BE107" s="6">
        <f t="shared" si="137"/>
        <v>30.94690966719493</v>
      </c>
      <c r="BF107" s="6">
        <f t="shared" si="137"/>
        <v>42.872424722662444</v>
      </c>
      <c r="BG107" s="6">
        <f t="shared" si="137"/>
        <v>48.022979397781299</v>
      </c>
      <c r="BH107" s="6">
        <f t="shared" si="137"/>
        <v>111.216323296355</v>
      </c>
      <c r="BI107" s="6">
        <f t="shared" si="137"/>
        <v>39.544374009508715</v>
      </c>
      <c r="BJ107" s="6">
        <f t="shared" si="137"/>
        <v>76.945324881141062</v>
      </c>
      <c r="BK107" s="6">
        <f t="shared" si="137"/>
        <v>34.156101426307451</v>
      </c>
      <c r="BL107" s="6">
        <f t="shared" ref="BL107:DU107" si="138">SUM(BL99:BL102)</f>
        <v>39.108557844690964</v>
      </c>
      <c r="BM107" s="6">
        <f t="shared" si="138"/>
        <v>39.70285261489699</v>
      </c>
      <c r="BN107" s="6">
        <f t="shared" si="138"/>
        <v>34.948494453248813</v>
      </c>
      <c r="BO107" s="6">
        <f t="shared" si="138"/>
        <v>79.203645007923939</v>
      </c>
      <c r="BP107" s="6">
        <f t="shared" si="138"/>
        <v>47.032488114104595</v>
      </c>
      <c r="BQ107" s="6">
        <f t="shared" si="138"/>
        <v>43.506339144215531</v>
      </c>
      <c r="BR107" s="6">
        <f t="shared" si="138"/>
        <v>39.306656101426306</v>
      </c>
      <c r="BS107" s="6">
        <f t="shared" si="138"/>
        <v>70.408082408874805</v>
      </c>
      <c r="BT107" s="6">
        <f t="shared" si="138"/>
        <v>39.465134706814581</v>
      </c>
      <c r="BU107" s="6">
        <f t="shared" si="138"/>
        <v>85.503169572107765</v>
      </c>
      <c r="BV107" s="6">
        <f t="shared" si="138"/>
        <v>76.747226624405712</v>
      </c>
      <c r="BW107" s="6">
        <f t="shared" si="138"/>
        <v>60.582408874801907</v>
      </c>
      <c r="BX107" s="6">
        <f t="shared" si="138"/>
        <v>20.051505546751191</v>
      </c>
      <c r="BY107" s="6">
        <f t="shared" si="138"/>
        <v>28.688589540412046</v>
      </c>
      <c r="BZ107" s="6">
        <f t="shared" si="138"/>
        <v>54.758320126782884</v>
      </c>
      <c r="CA107" s="6">
        <f t="shared" si="138"/>
        <v>50.003961965134707</v>
      </c>
      <c r="CB107" s="6">
        <f t="shared" si="138"/>
        <v>24.845483359746435</v>
      </c>
      <c r="CC107" s="6">
        <f t="shared" si="138"/>
        <v>56.620443740095098</v>
      </c>
      <c r="CD107" s="6">
        <f t="shared" si="138"/>
        <v>30.788431061806659</v>
      </c>
      <c r="CE107" s="6">
        <f t="shared" si="138"/>
        <v>36.889857369255154</v>
      </c>
      <c r="CF107" s="6">
        <f t="shared" si="138"/>
        <v>27.024564183835182</v>
      </c>
      <c r="CG107" s="6">
        <f t="shared" si="138"/>
        <v>106.33914421553091</v>
      </c>
      <c r="CH107" s="6">
        <f t="shared" si="138"/>
        <v>54.143026941362919</v>
      </c>
      <c r="CI107" s="6">
        <f t="shared" si="138"/>
        <v>50.101822503961969</v>
      </c>
      <c r="CJ107" s="6">
        <f t="shared" si="138"/>
        <v>25.141442155309036</v>
      </c>
      <c r="CK107" s="6">
        <f t="shared" si="138"/>
        <v>61.472662440570531</v>
      </c>
      <c r="CL107" s="6">
        <f t="shared" si="138"/>
        <v>42.534469096671948</v>
      </c>
      <c r="CM107" s="6">
        <f t="shared" si="138"/>
        <v>521.83668347500361</v>
      </c>
      <c r="CN107" s="6">
        <f t="shared" si="138"/>
        <v>137.63675983287712</v>
      </c>
      <c r="CO107" s="6">
        <f t="shared" si="138"/>
        <v>163.32326033712724</v>
      </c>
      <c r="CP107" s="6">
        <f t="shared" si="138"/>
        <v>128.98382797867745</v>
      </c>
      <c r="CQ107" s="6">
        <f t="shared" si="138"/>
        <v>246.09519521682756</v>
      </c>
      <c r="CR107" s="6">
        <f t="shared" si="138"/>
        <v>54.528418095375322</v>
      </c>
      <c r="CS107" s="6">
        <f t="shared" si="138"/>
        <v>38.176307448494455</v>
      </c>
      <c r="CT107" s="6">
        <f t="shared" si="138"/>
        <v>44.911648177496041</v>
      </c>
      <c r="CU107" s="6">
        <f t="shared" si="138"/>
        <v>56.797543581616488</v>
      </c>
      <c r="CV107" s="6">
        <f t="shared" si="138"/>
        <v>31.639064976228212</v>
      </c>
      <c r="CW107" s="6">
        <f t="shared" si="138"/>
        <v>30.846671949286847</v>
      </c>
      <c r="CX107" s="6">
        <f t="shared" si="138"/>
        <v>124.34904912836768</v>
      </c>
      <c r="CY107" s="6">
        <f t="shared" si="138"/>
        <v>39.761093502377179</v>
      </c>
      <c r="CZ107" s="6">
        <f t="shared" si="138"/>
        <v>41.543977812995251</v>
      </c>
      <c r="DA107" s="6">
        <f t="shared" si="138"/>
        <v>52.914817749603806</v>
      </c>
      <c r="DB107" s="6">
        <f t="shared" si="138"/>
        <v>29.222266244057053</v>
      </c>
      <c r="DC107" s="6">
        <f t="shared" si="138"/>
        <v>40.553486529318548</v>
      </c>
      <c r="DD107" s="6">
        <f t="shared" si="138"/>
        <v>30.727812995245642</v>
      </c>
      <c r="DE107" s="6">
        <f t="shared" si="138"/>
        <v>37.582012678288436</v>
      </c>
      <c r="DF107" s="6">
        <f t="shared" si="138"/>
        <v>42.930665610142626</v>
      </c>
      <c r="DG107" s="6">
        <f t="shared" si="138"/>
        <v>201.56933438985737</v>
      </c>
      <c r="DH107" s="6">
        <f t="shared" si="138"/>
        <v>79.697702060221872</v>
      </c>
      <c r="DI107" s="6">
        <f t="shared" si="138"/>
        <v>912.74841521394626</v>
      </c>
      <c r="DJ107" s="6">
        <f t="shared" si="138"/>
        <v>72.305863708399372</v>
      </c>
      <c r="DK107" s="6">
        <f t="shared" si="138"/>
        <v>37.995245641838352</v>
      </c>
      <c r="DL107" s="6">
        <f t="shared" si="138"/>
        <v>20.206022187004756</v>
      </c>
      <c r="DM107" s="6">
        <f t="shared" si="138"/>
        <v>28.526148969889064</v>
      </c>
      <c r="DN107" s="6">
        <f t="shared" si="138"/>
        <v>60.02377179080824</v>
      </c>
      <c r="DO107" s="6">
        <f t="shared" si="138"/>
        <v>45.562599049128366</v>
      </c>
      <c r="DP107" s="6">
        <f t="shared" si="138"/>
        <v>60.02377179080824</v>
      </c>
      <c r="DQ107" s="6">
        <f t="shared" si="138"/>
        <v>53.882725832012682</v>
      </c>
      <c r="DR107" s="6">
        <f>SUM(DR99:DR102)</f>
        <v>127.97147385103013</v>
      </c>
      <c r="DS107" s="6">
        <f>SUM(DS99:DS102)</f>
        <v>71.038034865293184</v>
      </c>
      <c r="DT107" s="6">
        <f>SUM(DT99:DT102)</f>
        <v>82.908082408874805</v>
      </c>
      <c r="DU107" s="6">
        <f t="shared" si="138"/>
        <v>41</v>
      </c>
      <c r="DV107" s="198"/>
      <c r="DW107" s="63"/>
      <c r="DX107" s="153">
        <f>SUM(E107:DW107)</f>
        <v>9869.1698909270381</v>
      </c>
      <c r="DY107" s="154"/>
      <c r="DZ107" s="156"/>
      <c r="ED107" s="4"/>
      <c r="FD107" t="s">
        <v>61</v>
      </c>
      <c r="FE107" s="6">
        <f ca="1">SUM((INDIRECT(FE$9&amp;ROW()):(INDIRECT(FE$10&amp;ROW()))))</f>
        <v>1633.82</v>
      </c>
      <c r="FF107" s="6">
        <f ca="1">SUM((INDIRECT(FF$9&amp;ROW()):(INDIRECT(FF$10&amp;ROW()))))</f>
        <v>1112.0866141732283</v>
      </c>
      <c r="FG107" s="6">
        <f ca="1">SUM((INDIRECT(FG$9&amp;ROW()):(INDIRECT(FG$10&amp;ROW()))))</f>
        <v>1550.8592302715667</v>
      </c>
      <c r="FH107" s="6">
        <f ca="1">SUM((INDIRECT(FH$9&amp;ROW()):(INDIRECT(FH$10&amp;ROW()))))</f>
        <v>1549.1908682658504</v>
      </c>
      <c r="FI107" s="6">
        <f ca="1">SUM((INDIRECT(FI$9&amp;ROW()):(INDIRECT(FI$10&amp;ROW()))))</f>
        <v>3321.7694381213082</v>
      </c>
      <c r="FJ107" s="6">
        <f ca="1">SUM((INDIRECT(FJ$9&amp;ROW()):(INDIRECT(FJ$10&amp;ROW()))))</f>
        <v>701.44374009508715</v>
      </c>
      <c r="FK107" s="6" t="e">
        <f ca="1">SUM((INDIRECT(FK$9&amp;ROW()):(INDIRECT(FK$10&amp;ROW()))))</f>
        <v>#REF!</v>
      </c>
      <c r="FL107" s="6" t="e">
        <f ca="1">SUM((INDIRECT(FL$9&amp;ROW()):(INDIRECT(FL$10&amp;ROW()))))</f>
        <v>#REF!</v>
      </c>
      <c r="FN107" s="6">
        <f ca="1">SUM(FF107:FJ107)</f>
        <v>8235.3498909270402</v>
      </c>
      <c r="FO107" s="6">
        <f ca="1">FN107/$FN$98</f>
        <v>68.627915757725333</v>
      </c>
      <c r="FP107" s="2">
        <f>SUM(FP99:FP101)</f>
        <v>65</v>
      </c>
      <c r="FQ107" s="14">
        <f ca="1">+FG107/$FG$98</f>
        <v>50.027717105534414</v>
      </c>
    </row>
    <row r="108" spans="1:183" outlineLevel="1">
      <c r="C108" t="s">
        <v>24</v>
      </c>
      <c r="D108" s="6">
        <v>0</v>
      </c>
      <c r="E108" s="6">
        <f>+E103</f>
        <v>494.02</v>
      </c>
      <c r="F108" s="6">
        <f t="shared" ref="F108:BK108" si="139">+F103</f>
        <v>2.3622047244094491</v>
      </c>
      <c r="G108" s="6">
        <f t="shared" si="139"/>
        <v>9.8425196850393704</v>
      </c>
      <c r="H108" s="6">
        <f t="shared" si="139"/>
        <v>7.0866141732283472</v>
      </c>
      <c r="I108" s="6">
        <f t="shared" si="139"/>
        <v>0</v>
      </c>
      <c r="J108" s="6">
        <f t="shared" si="139"/>
        <v>0</v>
      </c>
      <c r="K108" s="6">
        <f t="shared" si="139"/>
        <v>0</v>
      </c>
      <c r="L108" s="6">
        <f t="shared" si="139"/>
        <v>0</v>
      </c>
      <c r="M108" s="6">
        <f t="shared" si="139"/>
        <v>0</v>
      </c>
      <c r="N108" s="6">
        <f t="shared" si="139"/>
        <v>0</v>
      </c>
      <c r="O108" s="6">
        <f t="shared" si="139"/>
        <v>0</v>
      </c>
      <c r="P108" s="6">
        <f t="shared" si="139"/>
        <v>0</v>
      </c>
      <c r="Q108" s="6">
        <f t="shared" si="139"/>
        <v>0</v>
      </c>
      <c r="R108" s="6">
        <f t="shared" si="139"/>
        <v>0</v>
      </c>
      <c r="S108" s="6">
        <f t="shared" si="139"/>
        <v>0</v>
      </c>
      <c r="T108" s="6">
        <f t="shared" si="139"/>
        <v>0</v>
      </c>
      <c r="U108" s="6">
        <f t="shared" si="139"/>
        <v>0</v>
      </c>
      <c r="V108" s="6">
        <f t="shared" si="139"/>
        <v>0</v>
      </c>
      <c r="W108" s="6">
        <f t="shared" si="139"/>
        <v>9.8425196850393704</v>
      </c>
      <c r="X108" s="6">
        <f t="shared" si="139"/>
        <v>8.6614173228346463</v>
      </c>
      <c r="Y108" s="6">
        <f t="shared" si="139"/>
        <v>15.354330708661418</v>
      </c>
      <c r="Z108" s="6">
        <f t="shared" si="139"/>
        <v>0</v>
      </c>
      <c r="AA108" s="6">
        <f t="shared" si="139"/>
        <v>39.370078740157481</v>
      </c>
      <c r="AB108" s="6">
        <f t="shared" si="139"/>
        <v>10.62992125984252</v>
      </c>
      <c r="AC108" s="6">
        <f t="shared" si="139"/>
        <v>19.685039370078741</v>
      </c>
      <c r="AD108" s="6">
        <f t="shared" si="139"/>
        <v>0</v>
      </c>
      <c r="AE108" s="6">
        <f t="shared" si="139"/>
        <v>33.464566929133859</v>
      </c>
      <c r="AF108" s="6">
        <f t="shared" si="139"/>
        <v>8.6614173228346463</v>
      </c>
      <c r="AG108" s="6">
        <f t="shared" si="139"/>
        <v>0</v>
      </c>
      <c r="AH108" s="6">
        <f t="shared" si="139"/>
        <v>0</v>
      </c>
      <c r="AI108" s="6">
        <f t="shared" si="139"/>
        <v>0</v>
      </c>
      <c r="AJ108" s="6">
        <f t="shared" si="139"/>
        <v>19.685039370078741</v>
      </c>
      <c r="AK108" s="6">
        <f t="shared" si="139"/>
        <v>0</v>
      </c>
      <c r="AL108" s="6">
        <f t="shared" si="139"/>
        <v>0</v>
      </c>
      <c r="AM108" s="6">
        <f t="shared" si="139"/>
        <v>0</v>
      </c>
      <c r="AN108" s="6">
        <f t="shared" si="139"/>
        <v>0</v>
      </c>
      <c r="AO108" s="6">
        <f t="shared" si="139"/>
        <v>0</v>
      </c>
      <c r="AP108" s="6">
        <f t="shared" si="139"/>
        <v>0</v>
      </c>
      <c r="AQ108" s="6">
        <f t="shared" si="139"/>
        <v>0</v>
      </c>
      <c r="AR108" s="6">
        <f t="shared" si="139"/>
        <v>0</v>
      </c>
      <c r="AS108" s="6">
        <f t="shared" si="139"/>
        <v>0</v>
      </c>
      <c r="AT108" s="6">
        <f t="shared" si="139"/>
        <v>8.4168336673346698</v>
      </c>
      <c r="AU108" s="6">
        <f t="shared" si="139"/>
        <v>0</v>
      </c>
      <c r="AV108" s="6">
        <f t="shared" si="139"/>
        <v>0</v>
      </c>
      <c r="AW108" s="6">
        <f t="shared" si="139"/>
        <v>0</v>
      </c>
      <c r="AX108" s="6">
        <f t="shared" si="139"/>
        <v>0</v>
      </c>
      <c r="AY108" s="6">
        <f t="shared" si="139"/>
        <v>0</v>
      </c>
      <c r="AZ108" s="6">
        <f t="shared" si="139"/>
        <v>0</v>
      </c>
      <c r="BA108" s="6">
        <f t="shared" si="139"/>
        <v>0</v>
      </c>
      <c r="BB108" s="6">
        <f t="shared" si="139"/>
        <v>298.59719438877755</v>
      </c>
      <c r="BC108" s="6">
        <f t="shared" si="139"/>
        <v>0</v>
      </c>
      <c r="BD108" s="6">
        <f t="shared" si="139"/>
        <v>0</v>
      </c>
      <c r="BE108" s="6">
        <f t="shared" si="139"/>
        <v>0</v>
      </c>
      <c r="BF108" s="6">
        <f t="shared" si="139"/>
        <v>0</v>
      </c>
      <c r="BG108" s="6">
        <f t="shared" si="139"/>
        <v>0</v>
      </c>
      <c r="BH108" s="6">
        <f t="shared" si="139"/>
        <v>39.61965134706815</v>
      </c>
      <c r="BI108" s="6">
        <f t="shared" si="139"/>
        <v>0</v>
      </c>
      <c r="BJ108" s="6">
        <f t="shared" si="139"/>
        <v>39.61965134706815</v>
      </c>
      <c r="BK108" s="6">
        <f t="shared" si="139"/>
        <v>0</v>
      </c>
      <c r="BL108" s="6">
        <f t="shared" ref="BL108:DU108" si="140">+BL103</f>
        <v>0</v>
      </c>
      <c r="BM108" s="6">
        <f t="shared" si="140"/>
        <v>0</v>
      </c>
      <c r="BN108" s="6">
        <f t="shared" si="140"/>
        <v>0</v>
      </c>
      <c r="BO108" s="6">
        <f t="shared" si="140"/>
        <v>26.426307448494455</v>
      </c>
      <c r="BP108" s="6">
        <f t="shared" si="140"/>
        <v>0</v>
      </c>
      <c r="BQ108" s="6">
        <f t="shared" si="140"/>
        <v>0</v>
      </c>
      <c r="BR108" s="6">
        <f t="shared" si="140"/>
        <v>0</v>
      </c>
      <c r="BS108" s="6">
        <f t="shared" si="140"/>
        <v>0</v>
      </c>
      <c r="BT108" s="6">
        <f t="shared" si="140"/>
        <v>0</v>
      </c>
      <c r="BU108" s="6">
        <f t="shared" si="140"/>
        <v>0</v>
      </c>
      <c r="BV108" s="6">
        <f t="shared" si="140"/>
        <v>0</v>
      </c>
      <c r="BW108" s="6">
        <f t="shared" si="140"/>
        <v>0</v>
      </c>
      <c r="BX108" s="6">
        <f t="shared" si="140"/>
        <v>0</v>
      </c>
      <c r="BY108" s="6">
        <f t="shared" si="140"/>
        <v>59.429477020602221</v>
      </c>
      <c r="BZ108" s="6">
        <f t="shared" si="140"/>
        <v>0</v>
      </c>
      <c r="CA108" s="6">
        <f t="shared" si="140"/>
        <v>0</v>
      </c>
      <c r="CB108" s="6">
        <f t="shared" si="140"/>
        <v>0</v>
      </c>
      <c r="CC108" s="6">
        <f t="shared" si="140"/>
        <v>0</v>
      </c>
      <c r="CD108" s="6">
        <f t="shared" si="140"/>
        <v>0</v>
      </c>
      <c r="CE108" s="6">
        <f t="shared" si="140"/>
        <v>0</v>
      </c>
      <c r="CF108" s="6">
        <f t="shared" si="140"/>
        <v>0</v>
      </c>
      <c r="CG108" s="6">
        <f t="shared" si="140"/>
        <v>0</v>
      </c>
      <c r="CH108" s="6">
        <f t="shared" si="140"/>
        <v>0</v>
      </c>
      <c r="CI108" s="6">
        <f t="shared" si="140"/>
        <v>0</v>
      </c>
      <c r="CJ108" s="6">
        <f t="shared" si="140"/>
        <v>0</v>
      </c>
      <c r="CK108" s="6">
        <f t="shared" si="140"/>
        <v>0</v>
      </c>
      <c r="CL108" s="6">
        <f t="shared" si="140"/>
        <v>19.809825673534075</v>
      </c>
      <c r="CM108" s="6">
        <f t="shared" si="140"/>
        <v>0</v>
      </c>
      <c r="CN108" s="6">
        <f t="shared" si="140"/>
        <v>0</v>
      </c>
      <c r="CO108" s="6">
        <f t="shared" si="140"/>
        <v>10.589252269125488</v>
      </c>
      <c r="CP108" s="6">
        <f t="shared" si="140"/>
        <v>0</v>
      </c>
      <c r="CQ108" s="6">
        <f t="shared" si="140"/>
        <v>0</v>
      </c>
      <c r="CR108" s="6">
        <f t="shared" si="140"/>
        <v>0</v>
      </c>
      <c r="CS108" s="6">
        <f t="shared" si="140"/>
        <v>0</v>
      </c>
      <c r="CT108" s="6">
        <f t="shared" si="140"/>
        <v>0</v>
      </c>
      <c r="CU108" s="6">
        <f t="shared" si="140"/>
        <v>0</v>
      </c>
      <c r="CV108" s="6">
        <f t="shared" si="140"/>
        <v>0</v>
      </c>
      <c r="CW108" s="6">
        <f t="shared" si="140"/>
        <v>0</v>
      </c>
      <c r="CX108" s="6">
        <f t="shared" si="140"/>
        <v>9.9049128367670374</v>
      </c>
      <c r="CY108" s="6">
        <f t="shared" si="140"/>
        <v>31.695721077654518</v>
      </c>
      <c r="CZ108" s="6">
        <f t="shared" si="140"/>
        <v>55.467511885895405</v>
      </c>
      <c r="DA108" s="6">
        <f t="shared" si="140"/>
        <v>0</v>
      </c>
      <c r="DB108" s="6">
        <f t="shared" si="140"/>
        <v>0</v>
      </c>
      <c r="DC108" s="6">
        <f t="shared" si="140"/>
        <v>9.5087163232963547</v>
      </c>
      <c r="DD108" s="6">
        <f t="shared" si="140"/>
        <v>89.144215530903338</v>
      </c>
      <c r="DE108" s="6">
        <f t="shared" si="140"/>
        <v>0</v>
      </c>
      <c r="DF108" s="6">
        <f t="shared" si="140"/>
        <v>0</v>
      </c>
      <c r="DG108" s="6">
        <f t="shared" si="140"/>
        <v>0</v>
      </c>
      <c r="DH108" s="6">
        <f t="shared" si="140"/>
        <v>39.61965134706815</v>
      </c>
      <c r="DI108" s="6">
        <f t="shared" si="140"/>
        <v>0</v>
      </c>
      <c r="DJ108" s="6">
        <f t="shared" si="140"/>
        <v>0</v>
      </c>
      <c r="DK108" s="6">
        <f t="shared" si="140"/>
        <v>0</v>
      </c>
      <c r="DL108" s="6">
        <f t="shared" si="140"/>
        <v>19.017432646592709</v>
      </c>
      <c r="DM108" s="6">
        <f t="shared" si="140"/>
        <v>0</v>
      </c>
      <c r="DN108" s="6">
        <f t="shared" si="140"/>
        <v>0</v>
      </c>
      <c r="DO108" s="6">
        <f t="shared" si="140"/>
        <v>0</v>
      </c>
      <c r="DP108" s="6">
        <f t="shared" si="140"/>
        <v>19.413629160063394</v>
      </c>
      <c r="DQ108" s="6">
        <f t="shared" si="140"/>
        <v>81.220285261489707</v>
      </c>
      <c r="DR108" s="6">
        <f>+DR103</f>
        <v>15.847860538827259</v>
      </c>
      <c r="DS108" s="6">
        <f>+DS103</f>
        <v>0</v>
      </c>
      <c r="DT108" s="6">
        <f>+DT103</f>
        <v>0</v>
      </c>
      <c r="DU108" s="6">
        <f t="shared" si="140"/>
        <v>0</v>
      </c>
      <c r="DV108" s="198">
        <f>SUM(DV99:DV102)</f>
        <v>0</v>
      </c>
      <c r="DW108" s="63">
        <f>SUM(DW99:DW102)</f>
        <v>0</v>
      </c>
      <c r="DX108" s="28">
        <f>SUM($E108:DU108)</f>
        <v>1552.0137990619007</v>
      </c>
      <c r="DY108" s="154"/>
      <c r="DZ108" s="155"/>
      <c r="ED108" s="4"/>
      <c r="FD108" t="s">
        <v>24</v>
      </c>
      <c r="FE108" s="6">
        <f ca="1">SUM((INDIRECT(FE$9&amp;ROW()):(INDIRECT(FE$10&amp;ROW()))))</f>
        <v>494.02</v>
      </c>
      <c r="FF108" s="6">
        <f ca="1">SUM((INDIRECT(FF$9&amp;ROW()):(INDIRECT(FF$10&amp;ROW()))))</f>
        <v>29.133858267716537</v>
      </c>
      <c r="FG108" s="6">
        <f ca="1">SUM((INDIRECT(FG$9&amp;ROW()):(INDIRECT(FG$10&amp;ROW()))))</f>
        <v>462.52583907973428</v>
      </c>
      <c r="FH108" s="6">
        <f ca="1">SUM((INDIRECT(FH$9&amp;ROW()):(INDIRECT(FH$10&amp;ROW()))))</f>
        <v>165.09508716323296</v>
      </c>
      <c r="FI108" s="6">
        <f ca="1">SUM((INDIRECT(FI$9&amp;ROW()):(INDIRECT(FI$10&amp;ROW()))))</f>
        <v>265.73980694424438</v>
      </c>
      <c r="FJ108" s="6">
        <f ca="1">SUM((INDIRECT(FJ$9&amp;ROW()):(INDIRECT(FJ$10&amp;ROW()))))</f>
        <v>135.49920760697307</v>
      </c>
      <c r="FK108" s="6" t="e">
        <f ca="1">SUM((INDIRECT(FK$9&amp;ROW()):(INDIRECT(FK$10&amp;ROW()))))</f>
        <v>#REF!</v>
      </c>
      <c r="FL108" s="6" t="e">
        <f ca="1">SUM((INDIRECT(FL$9&amp;ROW()):(INDIRECT(FL$10&amp;ROW()))))</f>
        <v>#REF!</v>
      </c>
      <c r="FN108" s="6">
        <f ca="1">SUM(FF108:FJ108)</f>
        <v>1057.9937990619012</v>
      </c>
      <c r="FO108" s="6">
        <f ca="1">FN108/$FN$98</f>
        <v>8.8166149921825099</v>
      </c>
      <c r="FP108" s="2">
        <v>7</v>
      </c>
      <c r="FQ108" s="14">
        <f ca="1">+FG108/$FG$98</f>
        <v>14.920188357410783</v>
      </c>
    </row>
    <row r="109" spans="1:183" outlineLevel="1">
      <c r="C109" t="s">
        <v>558</v>
      </c>
      <c r="D109" s="6">
        <v>0</v>
      </c>
      <c r="E109" s="6">
        <f>E104</f>
        <v>0</v>
      </c>
      <c r="F109" s="6">
        <f t="shared" ref="F109:BK109" si="141">F104</f>
        <v>0</v>
      </c>
      <c r="G109" s="6">
        <f t="shared" si="141"/>
        <v>0</v>
      </c>
      <c r="H109" s="6">
        <f t="shared" si="141"/>
        <v>0</v>
      </c>
      <c r="I109" s="6">
        <f t="shared" si="141"/>
        <v>0</v>
      </c>
      <c r="J109" s="6">
        <f t="shared" si="141"/>
        <v>0</v>
      </c>
      <c r="K109" s="6">
        <f t="shared" si="141"/>
        <v>0</v>
      </c>
      <c r="L109" s="6">
        <f t="shared" si="141"/>
        <v>0</v>
      </c>
      <c r="M109" s="6">
        <f t="shared" si="141"/>
        <v>0</v>
      </c>
      <c r="N109" s="6">
        <f t="shared" si="141"/>
        <v>0</v>
      </c>
      <c r="O109" s="6">
        <f t="shared" si="141"/>
        <v>0</v>
      </c>
      <c r="P109" s="6">
        <f t="shared" si="141"/>
        <v>0</v>
      </c>
      <c r="Q109" s="6">
        <f t="shared" si="141"/>
        <v>0</v>
      </c>
      <c r="R109" s="6">
        <f t="shared" si="141"/>
        <v>0</v>
      </c>
      <c r="S109" s="6">
        <f t="shared" si="141"/>
        <v>0</v>
      </c>
      <c r="T109" s="6">
        <f t="shared" si="141"/>
        <v>0</v>
      </c>
      <c r="U109" s="6">
        <f t="shared" si="141"/>
        <v>0</v>
      </c>
      <c r="V109" s="6">
        <f t="shared" si="141"/>
        <v>0</v>
      </c>
      <c r="W109" s="6">
        <f t="shared" si="141"/>
        <v>0</v>
      </c>
      <c r="X109" s="6">
        <f t="shared" si="141"/>
        <v>0</v>
      </c>
      <c r="Y109" s="6">
        <f t="shared" si="141"/>
        <v>0</v>
      </c>
      <c r="Z109" s="6">
        <f t="shared" si="141"/>
        <v>0</v>
      </c>
      <c r="AA109" s="6">
        <f t="shared" si="141"/>
        <v>0</v>
      </c>
      <c r="AB109" s="6">
        <f t="shared" si="141"/>
        <v>0</v>
      </c>
      <c r="AC109" s="6">
        <f t="shared" si="141"/>
        <v>0</v>
      </c>
      <c r="AD109" s="6">
        <f t="shared" si="141"/>
        <v>0</v>
      </c>
      <c r="AE109" s="6">
        <f t="shared" si="141"/>
        <v>0</v>
      </c>
      <c r="AF109" s="6">
        <f t="shared" si="141"/>
        <v>0</v>
      </c>
      <c r="AG109" s="6">
        <f t="shared" si="141"/>
        <v>0</v>
      </c>
      <c r="AH109" s="6">
        <f t="shared" si="141"/>
        <v>0</v>
      </c>
      <c r="AI109" s="6">
        <f t="shared" si="141"/>
        <v>0</v>
      </c>
      <c r="AJ109" s="6">
        <f t="shared" si="141"/>
        <v>0</v>
      </c>
      <c r="AK109" s="6">
        <f t="shared" si="141"/>
        <v>0</v>
      </c>
      <c r="AL109" s="6">
        <f t="shared" si="141"/>
        <v>0</v>
      </c>
      <c r="AM109" s="6">
        <f t="shared" si="141"/>
        <v>0</v>
      </c>
      <c r="AN109" s="6">
        <f t="shared" si="141"/>
        <v>0</v>
      </c>
      <c r="AO109" s="6">
        <f t="shared" si="141"/>
        <v>0</v>
      </c>
      <c r="AP109" s="6">
        <f t="shared" si="141"/>
        <v>0</v>
      </c>
      <c r="AQ109" s="6">
        <f t="shared" si="141"/>
        <v>0</v>
      </c>
      <c r="AR109" s="6">
        <f t="shared" si="141"/>
        <v>0</v>
      </c>
      <c r="AS109" s="6">
        <f t="shared" si="141"/>
        <v>0</v>
      </c>
      <c r="AT109" s="6">
        <f t="shared" si="141"/>
        <v>0</v>
      </c>
      <c r="AU109" s="6">
        <f t="shared" si="141"/>
        <v>0</v>
      </c>
      <c r="AV109" s="6">
        <f t="shared" si="141"/>
        <v>0</v>
      </c>
      <c r="AW109" s="6">
        <f t="shared" si="141"/>
        <v>0</v>
      </c>
      <c r="AX109" s="6">
        <f t="shared" si="141"/>
        <v>0</v>
      </c>
      <c r="AY109" s="6">
        <f t="shared" si="141"/>
        <v>0</v>
      </c>
      <c r="AZ109" s="6">
        <f t="shared" si="141"/>
        <v>0</v>
      </c>
      <c r="BA109" s="6">
        <f t="shared" si="141"/>
        <v>0</v>
      </c>
      <c r="BB109" s="6">
        <f t="shared" si="141"/>
        <v>0</v>
      </c>
      <c r="BC109" s="6">
        <f t="shared" si="141"/>
        <v>0</v>
      </c>
      <c r="BD109" s="6">
        <f t="shared" si="141"/>
        <v>0</v>
      </c>
      <c r="BE109" s="6">
        <f t="shared" si="141"/>
        <v>0</v>
      </c>
      <c r="BF109" s="6">
        <f t="shared" si="141"/>
        <v>0</v>
      </c>
      <c r="BG109" s="6">
        <f t="shared" si="141"/>
        <v>0</v>
      </c>
      <c r="BH109" s="6">
        <f t="shared" si="141"/>
        <v>0</v>
      </c>
      <c r="BI109" s="6">
        <f t="shared" si="141"/>
        <v>0</v>
      </c>
      <c r="BJ109" s="6">
        <f t="shared" si="141"/>
        <v>0</v>
      </c>
      <c r="BK109" s="6">
        <f t="shared" si="141"/>
        <v>0</v>
      </c>
      <c r="BL109" s="6">
        <f t="shared" ref="BL109:DU109" si="142">BL104</f>
        <v>0</v>
      </c>
      <c r="BM109" s="6">
        <f t="shared" si="142"/>
        <v>0</v>
      </c>
      <c r="BN109" s="6">
        <f t="shared" si="142"/>
        <v>0</v>
      </c>
      <c r="BO109" s="6">
        <f t="shared" si="142"/>
        <v>0</v>
      </c>
      <c r="BP109" s="6">
        <f t="shared" si="142"/>
        <v>0</v>
      </c>
      <c r="BQ109" s="6">
        <f t="shared" si="142"/>
        <v>0</v>
      </c>
      <c r="BR109" s="6">
        <f t="shared" si="142"/>
        <v>0</v>
      </c>
      <c r="BS109" s="6">
        <f t="shared" si="142"/>
        <v>0</v>
      </c>
      <c r="BT109" s="6">
        <f t="shared" si="142"/>
        <v>0</v>
      </c>
      <c r="BU109" s="6">
        <f t="shared" si="142"/>
        <v>399.36608557844693</v>
      </c>
      <c r="BV109" s="6">
        <f t="shared" si="142"/>
        <v>0</v>
      </c>
      <c r="BW109" s="6">
        <f t="shared" si="142"/>
        <v>0</v>
      </c>
      <c r="BX109" s="6">
        <f t="shared" si="142"/>
        <v>0</v>
      </c>
      <c r="BY109" s="6">
        <f t="shared" si="142"/>
        <v>0</v>
      </c>
      <c r="BZ109" s="6">
        <f t="shared" si="142"/>
        <v>0</v>
      </c>
      <c r="CA109" s="6">
        <f t="shared" si="142"/>
        <v>0</v>
      </c>
      <c r="CB109" s="6">
        <f t="shared" si="142"/>
        <v>0</v>
      </c>
      <c r="CC109" s="6">
        <f t="shared" si="142"/>
        <v>0</v>
      </c>
      <c r="CD109" s="6">
        <f t="shared" si="142"/>
        <v>0</v>
      </c>
      <c r="CE109" s="6">
        <f t="shared" si="142"/>
        <v>0</v>
      </c>
      <c r="CF109" s="6">
        <f t="shared" si="142"/>
        <v>0</v>
      </c>
      <c r="CG109" s="6">
        <f t="shared" si="142"/>
        <v>0</v>
      </c>
      <c r="CH109" s="6">
        <f t="shared" si="142"/>
        <v>0</v>
      </c>
      <c r="CI109" s="6">
        <f t="shared" si="142"/>
        <v>0</v>
      </c>
      <c r="CJ109" s="6">
        <f t="shared" si="142"/>
        <v>0</v>
      </c>
      <c r="CK109" s="6">
        <f t="shared" si="142"/>
        <v>0</v>
      </c>
      <c r="CL109" s="6">
        <f t="shared" si="142"/>
        <v>0</v>
      </c>
      <c r="CM109" s="6">
        <f t="shared" si="142"/>
        <v>0</v>
      </c>
      <c r="CN109" s="6">
        <f t="shared" si="142"/>
        <v>0</v>
      </c>
      <c r="CO109" s="6">
        <f t="shared" si="142"/>
        <v>0</v>
      </c>
      <c r="CP109" s="6">
        <f t="shared" si="142"/>
        <v>0</v>
      </c>
      <c r="CQ109" s="6">
        <f t="shared" si="142"/>
        <v>0</v>
      </c>
      <c r="CR109" s="6">
        <f t="shared" si="142"/>
        <v>0</v>
      </c>
      <c r="CS109" s="6">
        <f t="shared" si="142"/>
        <v>0</v>
      </c>
      <c r="CT109" s="6">
        <f t="shared" si="142"/>
        <v>0</v>
      </c>
      <c r="CU109" s="6">
        <f t="shared" si="142"/>
        <v>0</v>
      </c>
      <c r="CV109" s="6">
        <f t="shared" si="142"/>
        <v>0</v>
      </c>
      <c r="CW109" s="6">
        <f t="shared" si="142"/>
        <v>0</v>
      </c>
      <c r="CX109" s="6">
        <f t="shared" si="142"/>
        <v>0</v>
      </c>
      <c r="CY109" s="6">
        <f t="shared" si="142"/>
        <v>0</v>
      </c>
      <c r="CZ109" s="6">
        <f t="shared" si="142"/>
        <v>0</v>
      </c>
      <c r="DA109" s="6">
        <f t="shared" si="142"/>
        <v>0</v>
      </c>
      <c r="DB109" s="6">
        <f t="shared" si="142"/>
        <v>0</v>
      </c>
      <c r="DC109" s="6">
        <f t="shared" si="142"/>
        <v>0</v>
      </c>
      <c r="DD109" s="6">
        <f t="shared" si="142"/>
        <v>0</v>
      </c>
      <c r="DE109" s="6">
        <f t="shared" si="142"/>
        <v>0</v>
      </c>
      <c r="DF109" s="6">
        <f t="shared" si="142"/>
        <v>0</v>
      </c>
      <c r="DG109" s="6">
        <f t="shared" si="142"/>
        <v>0</v>
      </c>
      <c r="DH109" s="6">
        <f t="shared" si="142"/>
        <v>0</v>
      </c>
      <c r="DI109" s="6">
        <f t="shared" si="142"/>
        <v>0</v>
      </c>
      <c r="DJ109" s="6">
        <f t="shared" si="142"/>
        <v>0</v>
      </c>
      <c r="DK109" s="6">
        <f t="shared" si="142"/>
        <v>0</v>
      </c>
      <c r="DL109" s="6">
        <f t="shared" si="142"/>
        <v>0</v>
      </c>
      <c r="DM109" s="6">
        <f t="shared" si="142"/>
        <v>0</v>
      </c>
      <c r="DN109" s="6">
        <f t="shared" si="142"/>
        <v>0</v>
      </c>
      <c r="DO109" s="6">
        <f t="shared" si="142"/>
        <v>0</v>
      </c>
      <c r="DP109" s="6">
        <f t="shared" si="142"/>
        <v>0</v>
      </c>
      <c r="DQ109" s="6">
        <f t="shared" si="142"/>
        <v>0</v>
      </c>
      <c r="DR109" s="6">
        <f>DR104</f>
        <v>0</v>
      </c>
      <c r="DS109" s="6">
        <f>DS104</f>
        <v>0</v>
      </c>
      <c r="DT109" s="6">
        <f>DT104</f>
        <v>0</v>
      </c>
      <c r="DU109" s="6">
        <f t="shared" si="142"/>
        <v>0</v>
      </c>
      <c r="DV109" s="198">
        <f>DV104</f>
        <v>0</v>
      </c>
      <c r="DW109" s="63">
        <f>DW104</f>
        <v>0</v>
      </c>
      <c r="DX109" s="28">
        <f>SUM($E109:DU109)</f>
        <v>399.36608557844693</v>
      </c>
      <c r="DY109" s="154"/>
      <c r="DZ109" s="155"/>
      <c r="ED109" s="4"/>
      <c r="FD109" t="s">
        <v>863</v>
      </c>
      <c r="FE109" s="6">
        <f ca="1">SUM((INDIRECT(FE$9&amp;ROW()):(INDIRECT(FE$10&amp;ROW()))))</f>
        <v>0</v>
      </c>
      <c r="FF109" s="6">
        <f ca="1">SUM((INDIRECT(FF$9&amp;ROW()):(INDIRECT(FF$10&amp;ROW()))))</f>
        <v>0</v>
      </c>
      <c r="FG109" s="6">
        <f ca="1">SUM((INDIRECT(FG$9&amp;ROW()):(INDIRECT(FG$10&amp;ROW()))))</f>
        <v>0</v>
      </c>
      <c r="FH109" s="6">
        <f ca="1">SUM((INDIRECT(FH$9&amp;ROW()):(INDIRECT(FH$10&amp;ROW()))))</f>
        <v>399.36608557844693</v>
      </c>
      <c r="FI109" s="6">
        <f ca="1">SUM((INDIRECT(FI$9&amp;ROW()):(INDIRECT(FI$10&amp;ROW()))))</f>
        <v>0</v>
      </c>
      <c r="FJ109" s="6">
        <f ca="1">SUM((INDIRECT(FJ$9&amp;ROW()):(INDIRECT(FJ$10&amp;ROW()))))</f>
        <v>0</v>
      </c>
      <c r="FK109" s="6" t="e">
        <f ca="1">SUM((INDIRECT(FK$9&amp;ROW()):(INDIRECT(FK$10&amp;ROW()))))</f>
        <v>#REF!</v>
      </c>
      <c r="FL109" s="6" t="e">
        <f ca="1">SUM((INDIRECT(FL$9&amp;ROW()):(INDIRECT(FL$10&amp;ROW()))))</f>
        <v>#REF!</v>
      </c>
      <c r="FN109" s="6">
        <f ca="1">SUM(FF109:FJ109)</f>
        <v>399.36608557844693</v>
      </c>
      <c r="FO109" s="6">
        <f ca="1">FN109/$FN$98</f>
        <v>3.3280507131537242</v>
      </c>
      <c r="FP109" s="2"/>
      <c r="FQ109" s="14">
        <f ca="1">+FG109/FG108</f>
        <v>0</v>
      </c>
    </row>
    <row r="110" spans="1:183" outlineLevel="1">
      <c r="C110" s="9" t="s">
        <v>14</v>
      </c>
      <c r="D110" s="28">
        <v>0</v>
      </c>
      <c r="E110" s="28">
        <f>SUM(E107:E109)</f>
        <v>2127.84</v>
      </c>
      <c r="F110" s="28">
        <f t="shared" ref="F110:BK110" si="143">SUM(F107:F109)</f>
        <v>161.88976377952756</v>
      </c>
      <c r="G110" s="28">
        <f t="shared" si="143"/>
        <v>80.826771653543318</v>
      </c>
      <c r="H110" s="28">
        <f t="shared" si="143"/>
        <v>78.779527559055111</v>
      </c>
      <c r="I110" s="28">
        <f t="shared" si="143"/>
        <v>52.362204724409452</v>
      </c>
      <c r="J110" s="28">
        <f t="shared" si="143"/>
        <v>90.236220472440948</v>
      </c>
      <c r="K110" s="28">
        <f t="shared" si="143"/>
        <v>64.566929133858267</v>
      </c>
      <c r="L110" s="28">
        <f t="shared" si="143"/>
        <v>55.984251968503941</v>
      </c>
      <c r="M110" s="28">
        <f t="shared" si="143"/>
        <v>50.590551181102363</v>
      </c>
      <c r="N110" s="28">
        <f t="shared" si="143"/>
        <v>40.826771653543311</v>
      </c>
      <c r="O110" s="28">
        <f t="shared" si="143"/>
        <v>34.645669291338585</v>
      </c>
      <c r="P110" s="28">
        <f t="shared" si="143"/>
        <v>29.055118110236222</v>
      </c>
      <c r="Q110" s="28">
        <f t="shared" si="143"/>
        <v>19.448818897637796</v>
      </c>
      <c r="R110" s="28">
        <f t="shared" si="143"/>
        <v>111.41732283464567</v>
      </c>
      <c r="S110" s="28">
        <f t="shared" si="143"/>
        <v>64.763779527559052</v>
      </c>
      <c r="T110" s="28">
        <f t="shared" si="143"/>
        <v>59.055118110236222</v>
      </c>
      <c r="U110" s="28">
        <f t="shared" si="143"/>
        <v>53.346456692913392</v>
      </c>
      <c r="V110" s="28">
        <f t="shared" si="143"/>
        <v>39.685039370078741</v>
      </c>
      <c r="W110" s="28">
        <f t="shared" si="143"/>
        <v>53.740157480314963</v>
      </c>
      <c r="X110" s="28">
        <f t="shared" si="143"/>
        <v>47.64173228346457</v>
      </c>
      <c r="Y110" s="28">
        <f t="shared" si="143"/>
        <v>55.594488188976385</v>
      </c>
      <c r="Z110" s="28">
        <f t="shared" si="143"/>
        <v>58.744094488188985</v>
      </c>
      <c r="AA110" s="28">
        <f t="shared" si="143"/>
        <v>80.003937007874029</v>
      </c>
      <c r="AB110" s="28">
        <f t="shared" si="143"/>
        <v>49.688976377952756</v>
      </c>
      <c r="AC110" s="28">
        <f t="shared" si="143"/>
        <v>61.539370078740163</v>
      </c>
      <c r="AD110" s="28">
        <f t="shared" si="143"/>
        <v>102.20866141732284</v>
      </c>
      <c r="AE110" s="28">
        <f t="shared" si="143"/>
        <v>55.397637795275593</v>
      </c>
      <c r="AF110" s="28">
        <f t="shared" si="143"/>
        <v>48.704724409448822</v>
      </c>
      <c r="AG110" s="28">
        <f t="shared" si="143"/>
        <v>58.586614173228348</v>
      </c>
      <c r="AH110" s="28">
        <f t="shared" si="143"/>
        <v>49.807086614173237</v>
      </c>
      <c r="AI110" s="28">
        <f t="shared" si="143"/>
        <v>83.547244094488192</v>
      </c>
      <c r="AJ110" s="28">
        <f t="shared" si="143"/>
        <v>58.350393700787407</v>
      </c>
      <c r="AK110" s="28">
        <f t="shared" si="143"/>
        <v>50.279527559055126</v>
      </c>
      <c r="AL110" s="28">
        <f t="shared" si="143"/>
        <v>114.55310621242485</v>
      </c>
      <c r="AM110" s="28">
        <f t="shared" si="143"/>
        <v>34.75350701402806</v>
      </c>
      <c r="AN110" s="28">
        <f t="shared" si="143"/>
        <v>52.188376753507022</v>
      </c>
      <c r="AO110" s="28">
        <f t="shared" si="143"/>
        <v>37.358717434869746</v>
      </c>
      <c r="AP110" s="28">
        <f t="shared" si="143"/>
        <v>36.276553106212432</v>
      </c>
      <c r="AQ110" s="28">
        <f t="shared" si="143"/>
        <v>41.326653306613231</v>
      </c>
      <c r="AR110" s="28">
        <f t="shared" si="143"/>
        <v>28.100200400801604</v>
      </c>
      <c r="AS110" s="28">
        <f t="shared" si="143"/>
        <v>53.310621242484977</v>
      </c>
      <c r="AT110" s="28">
        <f t="shared" si="143"/>
        <v>64.61322645290582</v>
      </c>
      <c r="AU110" s="28">
        <f t="shared" si="143"/>
        <v>53.551102204408821</v>
      </c>
      <c r="AV110" s="28">
        <f t="shared" si="143"/>
        <v>41.967935871743492</v>
      </c>
      <c r="AW110" s="28">
        <f t="shared" si="143"/>
        <v>43.651302605210425</v>
      </c>
      <c r="AX110" s="28">
        <f t="shared" si="143"/>
        <v>45.575150300601209</v>
      </c>
      <c r="AY110" s="28">
        <f t="shared" si="143"/>
        <v>41.767535070140283</v>
      </c>
      <c r="AZ110" s="28">
        <f t="shared" si="143"/>
        <v>34.272545090180358</v>
      </c>
      <c r="BA110" s="28">
        <f t="shared" si="143"/>
        <v>41.366733466933866</v>
      </c>
      <c r="BB110" s="28">
        <f t="shared" si="143"/>
        <v>388.65731462925828</v>
      </c>
      <c r="BC110" s="28">
        <f t="shared" si="143"/>
        <v>43.370741482965933</v>
      </c>
      <c r="BD110" s="28">
        <f t="shared" si="143"/>
        <v>30.59033280507132</v>
      </c>
      <c r="BE110" s="28">
        <f t="shared" si="143"/>
        <v>30.94690966719493</v>
      </c>
      <c r="BF110" s="28">
        <f t="shared" si="143"/>
        <v>42.872424722662444</v>
      </c>
      <c r="BG110" s="28">
        <f t="shared" si="143"/>
        <v>48.022979397781299</v>
      </c>
      <c r="BH110" s="28">
        <f t="shared" si="143"/>
        <v>150.83597464342316</v>
      </c>
      <c r="BI110" s="28">
        <f t="shared" si="143"/>
        <v>39.544374009508715</v>
      </c>
      <c r="BJ110" s="28">
        <f t="shared" si="143"/>
        <v>116.56497622820922</v>
      </c>
      <c r="BK110" s="28">
        <f t="shared" si="143"/>
        <v>34.156101426307451</v>
      </c>
      <c r="BL110" s="28">
        <f t="shared" ref="BL110:DU110" si="144">SUM(BL107:BL109)</f>
        <v>39.108557844690964</v>
      </c>
      <c r="BM110" s="28">
        <f t="shared" si="144"/>
        <v>39.70285261489699</v>
      </c>
      <c r="BN110" s="28">
        <f t="shared" si="144"/>
        <v>34.948494453248813</v>
      </c>
      <c r="BO110" s="28">
        <f t="shared" si="144"/>
        <v>105.62995245641839</v>
      </c>
      <c r="BP110" s="28">
        <f t="shared" si="144"/>
        <v>47.032488114104595</v>
      </c>
      <c r="BQ110" s="28">
        <f t="shared" si="144"/>
        <v>43.506339144215531</v>
      </c>
      <c r="BR110" s="28">
        <f t="shared" si="144"/>
        <v>39.306656101426306</v>
      </c>
      <c r="BS110" s="28">
        <f t="shared" si="144"/>
        <v>70.408082408874805</v>
      </c>
      <c r="BT110" s="28">
        <f t="shared" si="144"/>
        <v>39.465134706814581</v>
      </c>
      <c r="BU110" s="28">
        <f t="shared" si="144"/>
        <v>484.86925515055469</v>
      </c>
      <c r="BV110" s="28">
        <f t="shared" si="144"/>
        <v>76.747226624405712</v>
      </c>
      <c r="BW110" s="28">
        <f t="shared" si="144"/>
        <v>60.582408874801907</v>
      </c>
      <c r="BX110" s="28">
        <f t="shared" si="144"/>
        <v>20.051505546751191</v>
      </c>
      <c r="BY110" s="28">
        <f t="shared" si="144"/>
        <v>88.118066561014274</v>
      </c>
      <c r="BZ110" s="28">
        <f t="shared" si="144"/>
        <v>54.758320126782884</v>
      </c>
      <c r="CA110" s="28">
        <f t="shared" si="144"/>
        <v>50.003961965134707</v>
      </c>
      <c r="CB110" s="28">
        <f t="shared" si="144"/>
        <v>24.845483359746435</v>
      </c>
      <c r="CC110" s="28">
        <f t="shared" si="144"/>
        <v>56.620443740095098</v>
      </c>
      <c r="CD110" s="28">
        <f t="shared" si="144"/>
        <v>30.788431061806659</v>
      </c>
      <c r="CE110" s="28">
        <f t="shared" si="144"/>
        <v>36.889857369255154</v>
      </c>
      <c r="CF110" s="28">
        <f t="shared" si="144"/>
        <v>27.024564183835182</v>
      </c>
      <c r="CG110" s="28">
        <f t="shared" si="144"/>
        <v>106.33914421553091</v>
      </c>
      <c r="CH110" s="28">
        <f t="shared" si="144"/>
        <v>54.143026941362919</v>
      </c>
      <c r="CI110" s="28">
        <f t="shared" si="144"/>
        <v>50.101822503961969</v>
      </c>
      <c r="CJ110" s="28">
        <f t="shared" si="144"/>
        <v>25.141442155309036</v>
      </c>
      <c r="CK110" s="28">
        <f t="shared" si="144"/>
        <v>61.472662440570531</v>
      </c>
      <c r="CL110" s="28">
        <f t="shared" si="144"/>
        <v>62.34429477020602</v>
      </c>
      <c r="CM110" s="28">
        <f t="shared" si="144"/>
        <v>521.83668347500361</v>
      </c>
      <c r="CN110" s="28">
        <f t="shared" si="144"/>
        <v>137.63675983287712</v>
      </c>
      <c r="CO110" s="28">
        <f t="shared" si="144"/>
        <v>173.91251260625273</v>
      </c>
      <c r="CP110" s="28">
        <f t="shared" si="144"/>
        <v>128.98382797867745</v>
      </c>
      <c r="CQ110" s="28">
        <f t="shared" si="144"/>
        <v>246.09519521682756</v>
      </c>
      <c r="CR110" s="28">
        <f t="shared" si="144"/>
        <v>54.528418095375322</v>
      </c>
      <c r="CS110" s="28">
        <f t="shared" si="144"/>
        <v>38.176307448494455</v>
      </c>
      <c r="CT110" s="28">
        <f t="shared" si="144"/>
        <v>44.911648177496041</v>
      </c>
      <c r="CU110" s="28">
        <f t="shared" si="144"/>
        <v>56.797543581616488</v>
      </c>
      <c r="CV110" s="28">
        <f t="shared" si="144"/>
        <v>31.639064976228212</v>
      </c>
      <c r="CW110" s="28">
        <f t="shared" si="144"/>
        <v>30.846671949286847</v>
      </c>
      <c r="CX110" s="28">
        <f t="shared" si="144"/>
        <v>134.25396196513472</v>
      </c>
      <c r="CY110" s="28">
        <f t="shared" si="144"/>
        <v>71.456814580031704</v>
      </c>
      <c r="CZ110" s="28">
        <f t="shared" si="144"/>
        <v>97.011489698890657</v>
      </c>
      <c r="DA110" s="28">
        <f t="shared" si="144"/>
        <v>52.914817749603806</v>
      </c>
      <c r="DB110" s="28">
        <f t="shared" si="144"/>
        <v>29.222266244057053</v>
      </c>
      <c r="DC110" s="28">
        <f t="shared" si="144"/>
        <v>50.062202852614902</v>
      </c>
      <c r="DD110" s="28">
        <f t="shared" si="144"/>
        <v>119.87202852614898</v>
      </c>
      <c r="DE110" s="28">
        <f t="shared" si="144"/>
        <v>37.582012678288436</v>
      </c>
      <c r="DF110" s="28">
        <f t="shared" si="144"/>
        <v>42.930665610142626</v>
      </c>
      <c r="DG110" s="28">
        <f t="shared" si="144"/>
        <v>201.56933438985737</v>
      </c>
      <c r="DH110" s="28">
        <f t="shared" si="144"/>
        <v>119.31735340729003</v>
      </c>
      <c r="DI110" s="28">
        <f t="shared" si="144"/>
        <v>912.74841521394626</v>
      </c>
      <c r="DJ110" s="28">
        <f t="shared" si="144"/>
        <v>72.305863708399372</v>
      </c>
      <c r="DK110" s="28">
        <f t="shared" si="144"/>
        <v>37.995245641838352</v>
      </c>
      <c r="DL110" s="28">
        <f t="shared" si="144"/>
        <v>39.223454833597465</v>
      </c>
      <c r="DM110" s="28">
        <f t="shared" si="144"/>
        <v>28.526148969889064</v>
      </c>
      <c r="DN110" s="28">
        <f t="shared" si="144"/>
        <v>60.02377179080824</v>
      </c>
      <c r="DO110" s="28">
        <f t="shared" si="144"/>
        <v>45.562599049128366</v>
      </c>
      <c r="DP110" s="28">
        <f t="shared" si="144"/>
        <v>79.437400950871634</v>
      </c>
      <c r="DQ110" s="28">
        <f t="shared" si="144"/>
        <v>135.1030110935024</v>
      </c>
      <c r="DR110" s="28">
        <f>SUM(DR107:DR109)</f>
        <v>143.81933438985737</v>
      </c>
      <c r="DS110" s="28">
        <f>SUM(DS107:DS109)</f>
        <v>71.038034865293184</v>
      </c>
      <c r="DT110" s="28">
        <f>SUM(DT107:DT109)</f>
        <v>82.908082408874805</v>
      </c>
      <c r="DU110" s="28">
        <f t="shared" si="144"/>
        <v>41</v>
      </c>
      <c r="DV110" s="200">
        <f>SUM(DV108:DV109)</f>
        <v>0</v>
      </c>
      <c r="DW110" s="184">
        <f>SUM(DW108:DW109)</f>
        <v>0</v>
      </c>
      <c r="DX110" s="28">
        <f>SUM($E110:DU110)</f>
        <v>11820.54977556739</v>
      </c>
      <c r="DY110" s="154"/>
      <c r="DZ110" s="155"/>
      <c r="ED110" s="4"/>
      <c r="FD110" s="9" t="s">
        <v>14</v>
      </c>
      <c r="FE110" s="28">
        <f ca="1">SUM((INDIRECT(FE$9&amp;ROW()):(INDIRECT(FE$10&amp;ROW()))))</f>
        <v>2127.84</v>
      </c>
      <c r="FF110" s="28">
        <f ca="1">SUM((INDIRECT(FF$9&amp;ROW()):(INDIRECT(FF$10&amp;ROW()))))</f>
        <v>1141.2204724409451</v>
      </c>
      <c r="FG110" s="28">
        <f ca="1">SUM((INDIRECT(FG$9&amp;ROW()):(INDIRECT(FG$10&amp;ROW()))))</f>
        <v>2013.3850693513014</v>
      </c>
      <c r="FH110" s="28">
        <f ca="1">SUM((INDIRECT(FH$9&amp;ROW()):(INDIRECT(FH$10&amp;ROW()))))</f>
        <v>2113.6520410075304</v>
      </c>
      <c r="FI110" s="28">
        <f ca="1">SUM((INDIRECT(FI$9&amp;ROW()):(INDIRECT(FI$10&amp;ROW()))))</f>
        <v>3587.5092450655534</v>
      </c>
      <c r="FJ110" s="28">
        <f ca="1">SUM((INDIRECT(FJ$9&amp;ROW()):(INDIRECT(FJ$10&amp;ROW()))))</f>
        <v>836.94294770206034</v>
      </c>
      <c r="FK110" s="28" t="e">
        <f ca="1">SUM((INDIRECT(FK$9&amp;ROW()):(INDIRECT(FK$10&amp;ROW()))))</f>
        <v>#REF!</v>
      </c>
      <c r="FL110" s="28" t="e">
        <f ca="1">SUM((INDIRECT(FL$9&amp;ROW()):(INDIRECT(FL$10&amp;ROW()))))</f>
        <v>#REF!</v>
      </c>
      <c r="FN110" s="6">
        <f ca="1">SUM(FF110:FJ110)</f>
        <v>9692.7097755673913</v>
      </c>
      <c r="FO110" s="6">
        <f ca="1">FN110/$FN$98</f>
        <v>80.772581463061599</v>
      </c>
      <c r="FP110" s="2">
        <f>SUM(FP107:FP108)</f>
        <v>72</v>
      </c>
      <c r="FQ110" s="14">
        <f ca="1">+FG110/FG98</f>
        <v>64.947905462945201</v>
      </c>
    </row>
    <row r="111" spans="1:183">
      <c r="A111" s="9" t="s">
        <v>98</v>
      </c>
      <c r="ED111" s="4"/>
    </row>
    <row r="112" spans="1:183">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198">
        <f>+DV110-DV78</f>
        <v>0</v>
      </c>
      <c r="DW112" s="63">
        <f>+DW110-DW78</f>
        <v>0</v>
      </c>
      <c r="DX112" s="28">
        <v>0</v>
      </c>
      <c r="ED112" s="4"/>
      <c r="FC112" s="9"/>
      <c r="FD112" s="75" t="s">
        <v>96</v>
      </c>
      <c r="FE112" s="6">
        <f t="shared" ref="FE112:FL112" ca="1" si="145">FE110-FE66</f>
        <v>0</v>
      </c>
      <c r="FF112" s="6">
        <f t="shared" ca="1" si="145"/>
        <v>1141.2204724409451</v>
      </c>
      <c r="FG112" s="6">
        <f t="shared" ca="1" si="145"/>
        <v>2013.3850693513014</v>
      </c>
      <c r="FH112" s="6">
        <f t="shared" ca="1" si="145"/>
        <v>2113.6520410075304</v>
      </c>
      <c r="FI112" s="6">
        <f t="shared" ca="1" si="145"/>
        <v>3353.6392450655535</v>
      </c>
      <c r="FJ112" s="6">
        <f t="shared" ca="1" si="145"/>
        <v>755.94294770206034</v>
      </c>
      <c r="FK112" s="6" t="e">
        <f t="shared" ca="1" si="145"/>
        <v>#REF!</v>
      </c>
      <c r="FL112" s="6" t="e">
        <f t="shared" ca="1" si="145"/>
        <v>#REF!</v>
      </c>
      <c r="FN112" s="6">
        <f ca="1">SUM(FF112:FJ112)</f>
        <v>9377.8397755673905</v>
      </c>
      <c r="FO112" s="6">
        <f ca="1">FN112/$FN$98</f>
        <v>78.148664796394925</v>
      </c>
    </row>
    <row r="113" spans="1:170" ht="28.8" outlineLevel="1">
      <c r="D113" s="18"/>
      <c r="E113" s="17"/>
      <c r="F113" s="17" t="s">
        <v>639</v>
      </c>
      <c r="G113" s="17" t="s">
        <v>639</v>
      </c>
      <c r="H113" s="17" t="s">
        <v>639</v>
      </c>
      <c r="I113" s="17" t="s">
        <v>639</v>
      </c>
      <c r="J113" s="17" t="s">
        <v>639</v>
      </c>
      <c r="K113" s="17" t="s">
        <v>639</v>
      </c>
      <c r="L113" s="17" t="s">
        <v>639</v>
      </c>
      <c r="M113" s="17"/>
      <c r="N113" s="17"/>
      <c r="O113" s="17" t="s">
        <v>280</v>
      </c>
      <c r="P113" s="17" t="s">
        <v>280</v>
      </c>
      <c r="Q113" s="17" t="s">
        <v>280</v>
      </c>
      <c r="R113" s="17" t="s">
        <v>280</v>
      </c>
      <c r="S113" s="17" t="s">
        <v>280</v>
      </c>
      <c r="T113" s="17" t="s">
        <v>280</v>
      </c>
      <c r="U113" s="17" t="s">
        <v>280</v>
      </c>
      <c r="V113" s="17" t="s">
        <v>280</v>
      </c>
      <c r="W113" s="17" t="s">
        <v>280</v>
      </c>
      <c r="X113" s="17" t="s">
        <v>280</v>
      </c>
      <c r="Y113" s="17" t="s">
        <v>280</v>
      </c>
      <c r="Z113" s="17" t="s">
        <v>280</v>
      </c>
      <c r="AA113" s="17" t="s">
        <v>280</v>
      </c>
      <c r="AB113" s="17" t="s">
        <v>280</v>
      </c>
      <c r="AC113" s="17" t="s">
        <v>280</v>
      </c>
      <c r="AD113" s="17" t="s">
        <v>280</v>
      </c>
      <c r="AE113" s="17" t="s">
        <v>280</v>
      </c>
      <c r="AF113" s="17" t="s">
        <v>280</v>
      </c>
      <c r="AG113" s="17" t="s">
        <v>280</v>
      </c>
      <c r="AH113" s="17" t="s">
        <v>280</v>
      </c>
      <c r="AI113" s="17" t="s">
        <v>280</v>
      </c>
      <c r="AJ113" s="17" t="s">
        <v>280</v>
      </c>
      <c r="AK113" s="17" t="s">
        <v>280</v>
      </c>
      <c r="AL113" s="17" t="s">
        <v>280</v>
      </c>
      <c r="AM113" s="17" t="s">
        <v>280</v>
      </c>
      <c r="AN113" s="17" t="s">
        <v>280</v>
      </c>
      <c r="AO113" s="17" t="s">
        <v>280</v>
      </c>
      <c r="AP113" s="17" t="s">
        <v>280</v>
      </c>
      <c r="AQ113" s="17" t="s">
        <v>280</v>
      </c>
      <c r="AR113" s="17" t="s">
        <v>280</v>
      </c>
      <c r="AS113" s="17" t="s">
        <v>280</v>
      </c>
      <c r="AT113" s="17" t="s">
        <v>280</v>
      </c>
      <c r="AU113" s="17" t="s">
        <v>280</v>
      </c>
      <c r="AV113" s="17" t="s">
        <v>280</v>
      </c>
      <c r="AW113" s="17" t="s">
        <v>280</v>
      </c>
      <c r="AX113" s="17" t="s">
        <v>280</v>
      </c>
      <c r="AY113" s="17" t="s">
        <v>280</v>
      </c>
      <c r="AZ113" s="17" t="s">
        <v>280</v>
      </c>
      <c r="BA113" s="17" t="s">
        <v>280</v>
      </c>
      <c r="BB113" s="17" t="s">
        <v>280</v>
      </c>
      <c r="BC113" s="17" t="s">
        <v>280</v>
      </c>
      <c r="BD113" s="17" t="s">
        <v>280</v>
      </c>
      <c r="BE113" s="17" t="s">
        <v>280</v>
      </c>
      <c r="BF113" s="17" t="s">
        <v>280</v>
      </c>
      <c r="BG113" s="17" t="s">
        <v>280</v>
      </c>
      <c r="BH113" s="17" t="s">
        <v>280</v>
      </c>
      <c r="BI113" s="17" t="s">
        <v>280</v>
      </c>
      <c r="BJ113" s="17" t="s">
        <v>280</v>
      </c>
      <c r="BK113" s="17" t="s">
        <v>280</v>
      </c>
      <c r="BL113" s="17" t="s">
        <v>280</v>
      </c>
      <c r="BM113" s="17" t="s">
        <v>280</v>
      </c>
      <c r="BN113" s="17" t="s">
        <v>280</v>
      </c>
      <c r="BO113" s="17" t="s">
        <v>280</v>
      </c>
      <c r="BP113" s="17" t="s">
        <v>280</v>
      </c>
      <c r="BQ113" s="17" t="s">
        <v>280</v>
      </c>
      <c r="BR113" s="17" t="s">
        <v>280</v>
      </c>
      <c r="BS113" s="17" t="s">
        <v>280</v>
      </c>
      <c r="BT113" s="17" t="s">
        <v>280</v>
      </c>
      <c r="BU113" s="17" t="s">
        <v>280</v>
      </c>
      <c r="BV113" s="17" t="s">
        <v>280</v>
      </c>
      <c r="BW113" s="17" t="s">
        <v>280</v>
      </c>
      <c r="BX113" s="17" t="s">
        <v>280</v>
      </c>
      <c r="BY113" s="17" t="s">
        <v>280</v>
      </c>
      <c r="BZ113" s="17" t="s">
        <v>280</v>
      </c>
      <c r="CA113" s="17" t="s">
        <v>280</v>
      </c>
      <c r="CB113" s="17" t="s">
        <v>280</v>
      </c>
      <c r="CC113" s="17" t="s">
        <v>280</v>
      </c>
      <c r="CD113" s="17" t="s">
        <v>280</v>
      </c>
      <c r="CE113" s="17" t="s">
        <v>280</v>
      </c>
      <c r="CF113" s="17" t="s">
        <v>280</v>
      </c>
      <c r="CG113" s="17" t="s">
        <v>280</v>
      </c>
      <c r="CH113" s="17" t="s">
        <v>280</v>
      </c>
      <c r="CI113" s="17" t="s">
        <v>280</v>
      </c>
      <c r="CJ113" s="17" t="s">
        <v>280</v>
      </c>
      <c r="CK113" s="17" t="s">
        <v>280</v>
      </c>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201"/>
      <c r="DW113" s="185"/>
      <c r="DX113" s="3"/>
      <c r="DY113" s="18"/>
      <c r="ED113" s="4"/>
      <c r="EH113">
        <f>C113</f>
        <v>0</v>
      </c>
      <c r="FD113" s="362" t="s">
        <v>721</v>
      </c>
      <c r="FF113" s="361">
        <f ca="1">'Budget VIII'!M39</f>
        <v>1629.6829599506766</v>
      </c>
      <c r="FG113" s="361">
        <f ca="1">'Budget VIII'!N39</f>
        <v>2465.0095421372766</v>
      </c>
      <c r="FH113" s="361">
        <f ca="1">'Budget VIII'!O39</f>
        <v>2750.0095421372766</v>
      </c>
      <c r="FI113" s="361">
        <f ca="1">'Budget VIII'!P39</f>
        <v>2206.7957154788305</v>
      </c>
      <c r="FJ113" s="361">
        <f ca="1">'Budget VIII'!Q39</f>
        <v>847.90016011322712</v>
      </c>
    </row>
    <row r="114" spans="1:170">
      <c r="A114" s="9" t="s">
        <v>95</v>
      </c>
      <c r="EH114">
        <f>C114</f>
        <v>0</v>
      </c>
      <c r="FD114" s="401" t="s">
        <v>754</v>
      </c>
      <c r="FE114" s="402"/>
      <c r="FF114" s="403">
        <f ca="1">FF113</f>
        <v>1629.6829599506766</v>
      </c>
      <c r="FG114" s="403">
        <f ca="1">FG113</f>
        <v>2465.0095421372766</v>
      </c>
      <c r="FH114" s="403">
        <f ca="1">FH113*FH8/31</f>
        <v>2750.0095421372766</v>
      </c>
      <c r="FI114" s="403">
        <f ca="1">FI113*FI8/28</f>
        <v>2206.7957154788305</v>
      </c>
      <c r="FJ114" s="403">
        <f ca="1">FJ113*FJ8/12</f>
        <v>847.90016011322712</v>
      </c>
      <c r="FN114" s="403">
        <f ca="1">SUM(FF114:FJ114)</f>
        <v>9899.3979198172892</v>
      </c>
    </row>
    <row r="115" spans="1:170">
      <c r="EH115">
        <f>C115</f>
        <v>0</v>
      </c>
      <c r="EM115" s="18"/>
      <c r="FD115" s="401" t="s">
        <v>331</v>
      </c>
      <c r="FE115" s="402"/>
      <c r="FF115" s="403">
        <f ca="1">FF114-FF112</f>
        <v>488.46248750973155</v>
      </c>
      <c r="FG115" s="403">
        <f ca="1">FG114-FG112</f>
        <v>451.62447278597529</v>
      </c>
      <c r="FH115" s="403">
        <f ca="1">FH114-FH112</f>
        <v>636.3575011297462</v>
      </c>
      <c r="FI115" s="403">
        <f ca="1">FI114-FI112</f>
        <v>-1146.843529586723</v>
      </c>
      <c r="FJ115" s="403">
        <f ca="1">FJ114-FJ112</f>
        <v>91.957212411166779</v>
      </c>
      <c r="FN115" s="403">
        <f ca="1">SUM(FF115:FJ115)</f>
        <v>521.55814424989683</v>
      </c>
    </row>
    <row r="116" spans="1:170">
      <c r="E116" s="2" t="str">
        <f t="shared" ref="E116:BP116" si="146">E$10</f>
        <v>BDX</v>
      </c>
      <c r="F116" s="2" t="str">
        <f t="shared" si="146"/>
        <v>Hanoi</v>
      </c>
      <c r="G116" s="2" t="str">
        <f t="shared" si="146"/>
        <v>Hanoi</v>
      </c>
      <c r="H116" s="2" t="str">
        <f t="shared" si="146"/>
        <v>Hanoi</v>
      </c>
      <c r="I116" s="2" t="str">
        <f t="shared" si="146"/>
        <v>Hanoi</v>
      </c>
      <c r="J116" s="2" t="str">
        <f t="shared" si="146"/>
        <v>Hanoi</v>
      </c>
      <c r="K116" s="2" t="str">
        <f t="shared" si="146"/>
        <v>Hanoi</v>
      </c>
      <c r="L116" s="2" t="str">
        <f t="shared" si="146"/>
        <v>Hanoi</v>
      </c>
      <c r="M116" s="2" t="str">
        <f t="shared" si="146"/>
        <v>Hanoi</v>
      </c>
      <c r="N116" s="2" t="str">
        <f t="shared" si="146"/>
        <v>Hanoi</v>
      </c>
      <c r="O116" s="2" t="str">
        <f t="shared" si="146"/>
        <v>Hanoi</v>
      </c>
      <c r="P116" s="2" t="str">
        <f t="shared" si="146"/>
        <v>Hanoi</v>
      </c>
      <c r="Q116" s="2" t="str">
        <f t="shared" si="146"/>
        <v>Hanoi</v>
      </c>
      <c r="R116" s="2" t="str">
        <f t="shared" si="146"/>
        <v>Ha Giang</v>
      </c>
      <c r="S116" s="2" t="s">
        <v>54</v>
      </c>
      <c r="T116" s="2" t="str">
        <f t="shared" si="146"/>
        <v>Hanoi</v>
      </c>
      <c r="U116" s="2" t="str">
        <f t="shared" si="146"/>
        <v>Hanoi</v>
      </c>
      <c r="V116" s="2" t="str">
        <f t="shared" si="146"/>
        <v>Hanoi</v>
      </c>
      <c r="W116" s="2" t="str">
        <f t="shared" si="146"/>
        <v>Hanoi</v>
      </c>
      <c r="X116" s="2" t="str">
        <f t="shared" si="146"/>
        <v>Hanoi</v>
      </c>
      <c r="Y116" s="2" t="str">
        <f t="shared" si="146"/>
        <v>Hanoi</v>
      </c>
      <c r="Z116" s="2" t="str">
        <f t="shared" si="146"/>
        <v>HaiPhong</v>
      </c>
      <c r="AA116" s="2" t="str">
        <f t="shared" si="146"/>
        <v>HaiPhong</v>
      </c>
      <c r="AB116" s="2" t="str">
        <f t="shared" si="146"/>
        <v>Hanoi</v>
      </c>
      <c r="AC116" s="2" t="str">
        <f t="shared" si="146"/>
        <v>Hanoi</v>
      </c>
      <c r="AD116" s="2" t="str">
        <f t="shared" si="146"/>
        <v>Thai Nguyen</v>
      </c>
      <c r="AE116" s="2" t="str">
        <f t="shared" si="146"/>
        <v>Hanoi</v>
      </c>
      <c r="AF116" s="2" t="str">
        <f t="shared" si="146"/>
        <v>Hanoi</v>
      </c>
      <c r="AG116" s="2" t="str">
        <f t="shared" si="146"/>
        <v>Hanoi</v>
      </c>
      <c r="AH116" s="2" t="str">
        <f t="shared" si="146"/>
        <v>Hanoi</v>
      </c>
      <c r="AI116" s="2" t="str">
        <f t="shared" si="146"/>
        <v>Hanoi</v>
      </c>
      <c r="AJ116" s="2" t="str">
        <f t="shared" si="146"/>
        <v>Hanoi</v>
      </c>
      <c r="AK116" s="2" t="str">
        <f t="shared" si="146"/>
        <v>Hanoi</v>
      </c>
      <c r="AL116" s="2" t="str">
        <f t="shared" si="146"/>
        <v>Hanoi</v>
      </c>
      <c r="AM116" s="2" t="str">
        <f t="shared" si="146"/>
        <v>Hanoi</v>
      </c>
      <c r="AN116" s="2" t="str">
        <f t="shared" si="146"/>
        <v>Hanoi</v>
      </c>
      <c r="AO116" s="2" t="str">
        <f t="shared" si="146"/>
        <v>Hanoi</v>
      </c>
      <c r="AP116" s="2" t="str">
        <f t="shared" si="146"/>
        <v>Hanoi</v>
      </c>
      <c r="AQ116" s="2" t="str">
        <f t="shared" si="146"/>
        <v>Hanoi</v>
      </c>
      <c r="AR116" s="2" t="str">
        <f t="shared" si="146"/>
        <v>Hanoi</v>
      </c>
      <c r="AS116" s="2" t="str">
        <f t="shared" si="146"/>
        <v>BacNinh</v>
      </c>
      <c r="AT116" s="2" t="str">
        <f t="shared" si="146"/>
        <v>Hanoi</v>
      </c>
      <c r="AU116" s="2" t="str">
        <f t="shared" si="146"/>
        <v>Hanoi</v>
      </c>
      <c r="AV116" s="2" t="str">
        <f t="shared" si="146"/>
        <v>Hanoi</v>
      </c>
      <c r="AW116" s="2" t="str">
        <f t="shared" si="146"/>
        <v>Hanoi</v>
      </c>
      <c r="AX116" s="2" t="str">
        <f t="shared" si="146"/>
        <v>Hanoi</v>
      </c>
      <c r="AY116" s="2" t="str">
        <f t="shared" si="146"/>
        <v>Hanoi</v>
      </c>
      <c r="AZ116" s="2" t="str">
        <f t="shared" si="146"/>
        <v>Hanoi</v>
      </c>
      <c r="BA116" s="2" t="str">
        <f t="shared" si="146"/>
        <v>Hanoi</v>
      </c>
      <c r="BB116" s="2" t="str">
        <f t="shared" si="146"/>
        <v>Hanoi</v>
      </c>
      <c r="BC116" s="2" t="str">
        <f t="shared" si="146"/>
        <v>Hanoi</v>
      </c>
      <c r="BD116" s="2" t="str">
        <f t="shared" si="146"/>
        <v>Hanoi</v>
      </c>
      <c r="BE116" s="2" t="str">
        <f t="shared" si="146"/>
        <v>Hanoi</v>
      </c>
      <c r="BF116" s="2" t="str">
        <f t="shared" si="146"/>
        <v>Hanoi</v>
      </c>
      <c r="BG116" s="2" t="str">
        <f t="shared" si="146"/>
        <v>Hanoi</v>
      </c>
      <c r="BH116" s="2" t="str">
        <f t="shared" si="146"/>
        <v>Mariage</v>
      </c>
      <c r="BI116" s="2" t="str">
        <f t="shared" si="146"/>
        <v>Hanoi</v>
      </c>
      <c r="BJ116" s="2" t="str">
        <f t="shared" si="146"/>
        <v>Hanoi</v>
      </c>
      <c r="BK116" s="2" t="str">
        <f t="shared" si="146"/>
        <v>Hanoi</v>
      </c>
      <c r="BL116" s="2" t="str">
        <f t="shared" si="146"/>
        <v>Hanoi</v>
      </c>
      <c r="BM116" s="2" t="str">
        <f t="shared" si="146"/>
        <v>Hanoi</v>
      </c>
      <c r="BN116" s="2" t="str">
        <f t="shared" si="146"/>
        <v>Hanoi</v>
      </c>
      <c r="BO116" s="2" t="str">
        <f t="shared" si="146"/>
        <v>Hanoi</v>
      </c>
      <c r="BP116" s="2" t="str">
        <f t="shared" si="146"/>
        <v>Hanoi</v>
      </c>
      <c r="BQ116" s="2" t="str">
        <f t="shared" ref="BQ116:DU116" si="147">BQ$10</f>
        <v>Hanoi</v>
      </c>
      <c r="BR116" s="2" t="str">
        <f t="shared" si="147"/>
        <v>Hanoi</v>
      </c>
      <c r="BS116" s="2" t="str">
        <f t="shared" si="147"/>
        <v>Hanoi</v>
      </c>
      <c r="BT116" s="2" t="str">
        <f t="shared" si="147"/>
        <v>Hanoi</v>
      </c>
      <c r="BU116" s="2" t="str">
        <f t="shared" si="147"/>
        <v>Hanoi</v>
      </c>
      <c r="BV116" s="2" t="str">
        <f t="shared" si="147"/>
        <v>Hanoi</v>
      </c>
      <c r="BW116" s="2" t="str">
        <f t="shared" si="147"/>
        <v>Bac Ninh</v>
      </c>
      <c r="BX116" s="2" t="str">
        <f t="shared" si="147"/>
        <v>Hanoi</v>
      </c>
      <c r="BY116" s="2" t="str">
        <f t="shared" si="147"/>
        <v>Hanoi</v>
      </c>
      <c r="BZ116" s="2" t="str">
        <f t="shared" si="147"/>
        <v>Hanoi</v>
      </c>
      <c r="CA116" s="2" t="str">
        <f t="shared" si="147"/>
        <v>Hanoi</v>
      </c>
      <c r="CB116" s="2" t="str">
        <f t="shared" si="147"/>
        <v>Hanoi</v>
      </c>
      <c r="CC116" s="2" t="str">
        <f t="shared" si="147"/>
        <v>Hanoi</v>
      </c>
      <c r="CD116" s="2" t="str">
        <f t="shared" si="147"/>
        <v>Hanoi</v>
      </c>
      <c r="CE116" s="2" t="str">
        <f t="shared" si="147"/>
        <v>Hanoi</v>
      </c>
      <c r="CF116" s="2" t="str">
        <f t="shared" si="147"/>
        <v>Hanoi</v>
      </c>
      <c r="CG116" s="2" t="str">
        <f t="shared" si="147"/>
        <v>Hanoi</v>
      </c>
      <c r="CH116" s="2" t="str">
        <f t="shared" si="147"/>
        <v>Hanoi</v>
      </c>
      <c r="CI116" s="2" t="str">
        <f t="shared" si="147"/>
        <v>Hanoi</v>
      </c>
      <c r="CJ116" s="2" t="str">
        <f t="shared" si="147"/>
        <v>Hanoi</v>
      </c>
      <c r="CK116" s="2" t="str">
        <f t="shared" si="147"/>
        <v>Hanoi</v>
      </c>
      <c r="CL116" s="2" t="str">
        <f t="shared" si="147"/>
        <v>Hanoi</v>
      </c>
      <c r="CM116" s="2" t="str">
        <f t="shared" si="147"/>
        <v>Thaïlande</v>
      </c>
      <c r="CN116" s="2" t="str">
        <f t="shared" si="147"/>
        <v>Thaïlande</v>
      </c>
      <c r="CO116" s="2" t="str">
        <f t="shared" si="147"/>
        <v>Thaïlande</v>
      </c>
      <c r="CP116" s="2" t="str">
        <f t="shared" si="147"/>
        <v>Thaïlande</v>
      </c>
      <c r="CQ116" s="2" t="str">
        <f t="shared" si="147"/>
        <v>Thaïlande</v>
      </c>
      <c r="CR116" s="2" t="str">
        <f t="shared" si="147"/>
        <v>Hanoi</v>
      </c>
      <c r="CS116" s="2" t="str">
        <f t="shared" si="147"/>
        <v>Hanoi</v>
      </c>
      <c r="CT116" s="2" t="str">
        <f t="shared" si="147"/>
        <v>Hanoi</v>
      </c>
      <c r="CU116" s="2" t="str">
        <f t="shared" si="147"/>
        <v>Hanoi</v>
      </c>
      <c r="CV116" s="2" t="str">
        <f t="shared" si="147"/>
        <v>Hanoi</v>
      </c>
      <c r="CW116" s="2" t="str">
        <f t="shared" si="147"/>
        <v>Hanoi</v>
      </c>
      <c r="CX116" s="2" t="str">
        <f t="shared" si="147"/>
        <v>Thai Nguyen</v>
      </c>
      <c r="CY116" s="2" t="str">
        <f t="shared" si="147"/>
        <v>Hanoi</v>
      </c>
      <c r="CZ116" s="2" t="str">
        <f t="shared" si="147"/>
        <v>Hanoi</v>
      </c>
      <c r="DA116" s="2" t="str">
        <f t="shared" si="147"/>
        <v>Hanoi</v>
      </c>
      <c r="DB116" s="2" t="str">
        <f t="shared" si="147"/>
        <v>Hanoi</v>
      </c>
      <c r="DC116" s="2" t="str">
        <f t="shared" si="147"/>
        <v>Hanoi</v>
      </c>
      <c r="DD116" s="2" t="str">
        <f t="shared" si="147"/>
        <v>Hanoi</v>
      </c>
      <c r="DE116" s="2" t="str">
        <f t="shared" si="147"/>
        <v>Hanoi</v>
      </c>
      <c r="DF116" s="2" t="str">
        <f t="shared" si="147"/>
        <v>Hanoi</v>
      </c>
      <c r="DG116" s="2" t="str">
        <f t="shared" si="147"/>
        <v>HoiAn</v>
      </c>
      <c r="DH116" s="2" t="str">
        <f t="shared" si="147"/>
        <v>HoiAn</v>
      </c>
      <c r="DI116" s="2" t="str">
        <f t="shared" si="147"/>
        <v>HoiAn</v>
      </c>
      <c r="DJ116" s="2" t="str">
        <f t="shared" si="147"/>
        <v>Hanoi</v>
      </c>
      <c r="DK116" s="2" t="str">
        <f t="shared" si="147"/>
        <v>Hanoi</v>
      </c>
      <c r="DL116" s="2" t="str">
        <f t="shared" si="147"/>
        <v>Hanoi</v>
      </c>
      <c r="DM116" s="2" t="str">
        <f t="shared" si="147"/>
        <v>Hanoi</v>
      </c>
      <c r="DN116" s="2" t="str">
        <f t="shared" si="147"/>
        <v>Hanoi</v>
      </c>
      <c r="DO116" s="2" t="str">
        <f t="shared" si="147"/>
        <v>Hanoi</v>
      </c>
      <c r="DP116" s="2" t="str">
        <f t="shared" si="147"/>
        <v>Hanoi</v>
      </c>
      <c r="DQ116" s="2" t="str">
        <f t="shared" si="147"/>
        <v>Hanoi</v>
      </c>
      <c r="DR116" s="2" t="str">
        <f t="shared" si="147"/>
        <v>Hanoi</v>
      </c>
      <c r="DS116" s="2" t="str">
        <f t="shared" si="147"/>
        <v>Hanoi</v>
      </c>
      <c r="DT116" s="2" t="str">
        <f t="shared" si="147"/>
        <v>Hanoi</v>
      </c>
      <c r="DU116" s="2" t="str">
        <f t="shared" si="147"/>
        <v>BDX</v>
      </c>
      <c r="EH116">
        <f>C116</f>
        <v>0</v>
      </c>
    </row>
    <row r="117" spans="1:170" s="18" customFormat="1" ht="54" customHeight="1">
      <c r="A117" s="18" t="s">
        <v>8</v>
      </c>
      <c r="E117" s="17"/>
      <c r="F117" s="17" t="s">
        <v>639</v>
      </c>
      <c r="G117" s="17" t="s">
        <v>639</v>
      </c>
      <c r="H117" s="17" t="s">
        <v>639</v>
      </c>
      <c r="I117" s="17" t="s">
        <v>639</v>
      </c>
      <c r="J117" s="17" t="s">
        <v>639</v>
      </c>
      <c r="K117" s="17" t="s">
        <v>639</v>
      </c>
      <c r="L117" s="17" t="s">
        <v>639</v>
      </c>
      <c r="M117" s="17"/>
      <c r="N117" s="17"/>
      <c r="O117" s="17" t="s">
        <v>280</v>
      </c>
      <c r="P117" s="17" t="s">
        <v>280</v>
      </c>
      <c r="Q117" s="17" t="s">
        <v>280</v>
      </c>
      <c r="R117" s="17" t="s">
        <v>280</v>
      </c>
      <c r="S117" s="17" t="s">
        <v>280</v>
      </c>
      <c r="T117" s="17" t="s">
        <v>280</v>
      </c>
      <c r="U117" s="17" t="s">
        <v>280</v>
      </c>
      <c r="V117" s="17" t="s">
        <v>280</v>
      </c>
      <c r="W117" s="17" t="s">
        <v>280</v>
      </c>
      <c r="X117" s="17" t="s">
        <v>280</v>
      </c>
      <c r="Y117" s="17" t="s">
        <v>280</v>
      </c>
      <c r="Z117" s="17" t="s">
        <v>280</v>
      </c>
      <c r="AA117" s="17" t="s">
        <v>280</v>
      </c>
      <c r="AB117" s="17" t="s">
        <v>280</v>
      </c>
      <c r="AC117" s="17" t="s">
        <v>280</v>
      </c>
      <c r="AD117" s="17" t="s">
        <v>280</v>
      </c>
      <c r="AE117" s="17" t="s">
        <v>280</v>
      </c>
      <c r="AF117" s="17" t="s">
        <v>280</v>
      </c>
      <c r="AG117" s="17" t="s">
        <v>280</v>
      </c>
      <c r="AH117" s="17" t="s">
        <v>280</v>
      </c>
      <c r="AI117" s="17" t="s">
        <v>280</v>
      </c>
      <c r="AJ117" s="17" t="s">
        <v>280</v>
      </c>
      <c r="AK117" s="17" t="s">
        <v>280</v>
      </c>
      <c r="AL117" s="17" t="s">
        <v>280</v>
      </c>
      <c r="AM117" s="17" t="s">
        <v>280</v>
      </c>
      <c r="AN117" s="17" t="s">
        <v>280</v>
      </c>
      <c r="AO117" s="17" t="s">
        <v>280</v>
      </c>
      <c r="AP117" s="17" t="s">
        <v>280</v>
      </c>
      <c r="AQ117" s="17" t="s">
        <v>280</v>
      </c>
      <c r="AR117" s="17" t="s">
        <v>280</v>
      </c>
      <c r="AS117" s="17" t="s">
        <v>280</v>
      </c>
      <c r="AT117" s="17" t="s">
        <v>280</v>
      </c>
      <c r="AU117" s="17" t="s">
        <v>280</v>
      </c>
      <c r="AV117" s="17" t="s">
        <v>280</v>
      </c>
      <c r="AW117" s="17" t="s">
        <v>280</v>
      </c>
      <c r="AX117" s="17" t="s">
        <v>280</v>
      </c>
      <c r="AY117" s="17" t="s">
        <v>280</v>
      </c>
      <c r="AZ117" s="17" t="s">
        <v>280</v>
      </c>
      <c r="BA117" s="17" t="s">
        <v>280</v>
      </c>
      <c r="BB117" s="17" t="s">
        <v>280</v>
      </c>
      <c r="BC117" s="17" t="s">
        <v>280</v>
      </c>
      <c r="BD117" s="17" t="s">
        <v>280</v>
      </c>
      <c r="BE117" s="17" t="s">
        <v>280</v>
      </c>
      <c r="BF117" s="17" t="s">
        <v>280</v>
      </c>
      <c r="BG117" s="17" t="s">
        <v>280</v>
      </c>
      <c r="BH117" s="17" t="s">
        <v>280</v>
      </c>
      <c r="BI117" s="17" t="s">
        <v>280</v>
      </c>
      <c r="BJ117" s="17" t="s">
        <v>280</v>
      </c>
      <c r="BK117" s="17" t="s">
        <v>280</v>
      </c>
      <c r="BL117" s="17" t="s">
        <v>280</v>
      </c>
      <c r="BM117" s="17" t="s">
        <v>280</v>
      </c>
      <c r="BN117" s="17" t="s">
        <v>280</v>
      </c>
      <c r="BO117" s="17" t="s">
        <v>280</v>
      </c>
      <c r="BP117" s="17" t="s">
        <v>280</v>
      </c>
      <c r="BQ117" s="17" t="s">
        <v>280</v>
      </c>
      <c r="BR117" s="17" t="s">
        <v>280</v>
      </c>
      <c r="BS117" s="17" t="s">
        <v>280</v>
      </c>
      <c r="BT117" s="17" t="s">
        <v>280</v>
      </c>
      <c r="BU117" s="17" t="s">
        <v>280</v>
      </c>
      <c r="BV117" s="17" t="s">
        <v>280</v>
      </c>
      <c r="BW117" s="17" t="s">
        <v>280</v>
      </c>
      <c r="BX117" s="17" t="s">
        <v>280</v>
      </c>
      <c r="BY117" s="17" t="s">
        <v>280</v>
      </c>
      <c r="BZ117" s="17" t="s">
        <v>280</v>
      </c>
      <c r="CA117" s="17" t="s">
        <v>280</v>
      </c>
      <c r="CB117" s="17" t="s">
        <v>280</v>
      </c>
      <c r="CC117" s="17" t="s">
        <v>280</v>
      </c>
      <c r="CD117" s="17" t="s">
        <v>280</v>
      </c>
      <c r="CE117" s="17" t="s">
        <v>280</v>
      </c>
      <c r="CF117" s="17" t="s">
        <v>280</v>
      </c>
      <c r="CG117" s="17" t="s">
        <v>280</v>
      </c>
      <c r="CH117" s="17" t="s">
        <v>280</v>
      </c>
      <c r="CI117" s="17" t="s">
        <v>280</v>
      </c>
      <c r="CJ117" s="17" t="s">
        <v>280</v>
      </c>
      <c r="CK117" s="17" t="s">
        <v>280</v>
      </c>
      <c r="CL117" s="17" t="s">
        <v>280</v>
      </c>
      <c r="CM117" s="17" t="s">
        <v>970</v>
      </c>
      <c r="CN117" s="17" t="s">
        <v>969</v>
      </c>
      <c r="CO117" s="17" t="s">
        <v>969</v>
      </c>
      <c r="CP117" s="17" t="s">
        <v>969</v>
      </c>
      <c r="CQ117" s="17" t="s">
        <v>969</v>
      </c>
      <c r="CR117" s="17"/>
      <c r="CS117" s="17"/>
      <c r="CT117" s="17"/>
      <c r="CU117" s="17"/>
      <c r="CV117" s="17"/>
      <c r="CW117" s="17"/>
      <c r="CX117" s="17"/>
      <c r="CY117" s="17"/>
      <c r="CZ117" s="17"/>
      <c r="DA117" s="17"/>
      <c r="DB117" s="17"/>
      <c r="DC117" s="17"/>
      <c r="DD117" s="17"/>
      <c r="DE117" s="17"/>
      <c r="DF117" s="17"/>
      <c r="DG117" s="17" t="s">
        <v>971</v>
      </c>
      <c r="DH117" s="17" t="s">
        <v>968</v>
      </c>
      <c r="DI117" s="17" t="s">
        <v>617</v>
      </c>
      <c r="DJ117" s="17" t="s">
        <v>617</v>
      </c>
      <c r="DK117" s="17" t="s">
        <v>617</v>
      </c>
      <c r="DL117" s="17" t="s">
        <v>617</v>
      </c>
      <c r="DM117" s="17" t="s">
        <v>617</v>
      </c>
      <c r="DN117" s="17" t="s">
        <v>617</v>
      </c>
      <c r="DO117" s="17" t="s">
        <v>617</v>
      </c>
      <c r="DP117" s="17" t="s">
        <v>617</v>
      </c>
      <c r="DQ117" s="17" t="s">
        <v>617</v>
      </c>
      <c r="DR117" s="17" t="s">
        <v>617</v>
      </c>
      <c r="DS117" s="17" t="s">
        <v>617</v>
      </c>
      <c r="DT117" s="17" t="s">
        <v>617</v>
      </c>
      <c r="DU117" s="17" t="s">
        <v>617</v>
      </c>
      <c r="DV117" s="201"/>
      <c r="DW117" s="185"/>
      <c r="DX117" s="17"/>
      <c r="EH117"/>
      <c r="EI117"/>
      <c r="EJ117"/>
      <c r="EK117"/>
      <c r="EL117"/>
      <c r="EM117"/>
      <c r="FD117"/>
    </row>
    <row r="118" spans="1:170">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198"/>
      <c r="DW118" s="63"/>
      <c r="DX118" s="2"/>
      <c r="FC118" s="3" t="s">
        <v>328</v>
      </c>
      <c r="FK118" s="108"/>
      <c r="FL118" s="108"/>
    </row>
    <row r="119" spans="1:170">
      <c r="V119" s="6"/>
      <c r="EH119" s="18"/>
      <c r="EJ119" s="18"/>
      <c r="EK119" s="18"/>
      <c r="EL119" s="18"/>
      <c r="FC119" s="4" t="s">
        <v>329</v>
      </c>
    </row>
    <row r="120" spans="1:170">
      <c r="V120" s="6"/>
      <c r="FE120" s="459" t="s">
        <v>966</v>
      </c>
      <c r="FF120" s="459"/>
      <c r="FG120" s="459"/>
      <c r="FH120" s="459"/>
      <c r="FI120" s="459"/>
    </row>
    <row r="121" spans="1:170">
      <c r="E121"/>
      <c r="I121"/>
      <c r="J121"/>
      <c r="K121"/>
      <c r="L121"/>
      <c r="M121"/>
      <c r="N121"/>
      <c r="V121" s="6"/>
      <c r="EI121" s="18"/>
      <c r="FD121" s="175" t="s">
        <v>301</v>
      </c>
      <c r="FM121" s="108"/>
    </row>
    <row r="122" spans="1:170">
      <c r="E122"/>
      <c r="I122"/>
      <c r="J122"/>
      <c r="K122"/>
      <c r="L122"/>
      <c r="M122"/>
      <c r="N122"/>
      <c r="V122" s="6"/>
      <c r="FC122" s="172" t="s">
        <v>296</v>
      </c>
      <c r="FD122" s="118" t="s">
        <v>224</v>
      </c>
      <c r="FE122" s="118" t="str">
        <f>+FE$11</f>
        <v>France</v>
      </c>
      <c r="FF122" s="118" t="str">
        <f>FF$33</f>
        <v>NOV 18 jrs</v>
      </c>
      <c r="FG122" s="118" t="str">
        <f>FG$33</f>
        <v>DEC 31 jrs</v>
      </c>
      <c r="FH122" s="118" t="str">
        <f>FH$33</f>
        <v>JAN 31 jrs</v>
      </c>
      <c r="FI122" s="118" t="str">
        <f>FI$33</f>
        <v>FEV 28 jrs</v>
      </c>
      <c r="FJ122" s="118" t="str">
        <f>FJ$33</f>
        <v>MAR 12 jrs</v>
      </c>
      <c r="FK122" s="4">
        <v>202209</v>
      </c>
      <c r="FL122" s="4">
        <v>202210</v>
      </c>
      <c r="FM122" s="108"/>
    </row>
    <row r="123" spans="1:170">
      <c r="E123"/>
      <c r="I123"/>
      <c r="J123"/>
      <c r="K123"/>
      <c r="L123"/>
      <c r="M123"/>
      <c r="N123"/>
      <c r="V123" s="6"/>
      <c r="DY123" s="438" t="s">
        <v>722</v>
      </c>
      <c r="FC123" s="171" t="s">
        <v>295</v>
      </c>
      <c r="FD123" s="169">
        <v>950</v>
      </c>
      <c r="FE123" s="278">
        <f t="shared" ref="FE123:FL123" ca="1" si="148">-SUM(FE124:FE128)</f>
        <v>0</v>
      </c>
      <c r="FF123" s="278">
        <f t="shared" ca="1" si="148"/>
        <v>1143.1039989363223</v>
      </c>
      <c r="FG123" s="278">
        <f t="shared" ca="1" si="148"/>
        <v>1998.0120196403027</v>
      </c>
      <c r="FH123" s="278">
        <f ca="1">-SUM(FH124:FH129)</f>
        <v>2105.9098322020241</v>
      </c>
      <c r="FI123" s="278">
        <f ca="1">-SUM(FI124:FI129)</f>
        <v>3338.9729721259419</v>
      </c>
      <c r="FJ123" s="278">
        <f ca="1">-SUM(FJ124:FJ129)</f>
        <v>752.7676153597771</v>
      </c>
      <c r="FK123" s="278" t="e">
        <f t="shared" ca="1" si="148"/>
        <v>#REF!</v>
      </c>
      <c r="FL123" s="278" t="e">
        <f t="shared" ca="1" si="148"/>
        <v>#REF!</v>
      </c>
      <c r="FM123" s="108"/>
      <c r="FN123" s="28">
        <f ca="1">SUM(FE123:FJ123)</f>
        <v>9338.7664382643688</v>
      </c>
    </row>
    <row r="124" spans="1:170">
      <c r="E124"/>
      <c r="I124"/>
      <c r="J124"/>
      <c r="K124"/>
      <c r="L124"/>
      <c r="M124"/>
      <c r="N124"/>
      <c r="V124" s="6"/>
      <c r="DY124" s="439" t="s">
        <v>328</v>
      </c>
      <c r="FC124" s="170" t="s">
        <v>328</v>
      </c>
      <c r="FD124" s="170">
        <v>120</v>
      </c>
      <c r="FE124" s="278">
        <f t="shared" ref="FE124:FL124" ca="1" si="149">-SUM(FE12:FE17)/TAUXmoyen</f>
        <v>0</v>
      </c>
      <c r="FF124" s="278">
        <f t="shared" ca="1" si="149"/>
        <v>-392.12545879212547</v>
      </c>
      <c r="FG124" s="278">
        <f t="shared" ca="1" si="149"/>
        <v>-803.65213698547029</v>
      </c>
      <c r="FH124" s="278">
        <f t="shared" ca="1" si="149"/>
        <v>-791.07289107289103</v>
      </c>
      <c r="FI124" s="278">
        <f ca="1">-SUM(FI12:FI17)/TAUXmoyen</f>
        <v>-734.77278931824389</v>
      </c>
      <c r="FJ124" s="278">
        <f ca="1">-SUM(FJ12:FJ17)/TAUXmoyen</f>
        <v>-411.7632784299451</v>
      </c>
      <c r="FK124" s="278" t="e">
        <f t="shared" ca="1" si="149"/>
        <v>#REF!</v>
      </c>
      <c r="FL124" s="278" t="e">
        <f t="shared" ca="1" si="149"/>
        <v>#REF!</v>
      </c>
      <c r="FM124" s="108"/>
      <c r="FN124" s="28">
        <f t="shared" ref="FN124:FN131" ca="1" si="150">SUM(FE124:FJ124)</f>
        <v>-3133.3865545986755</v>
      </c>
    </row>
    <row r="125" spans="1:170">
      <c r="E125"/>
      <c r="I125"/>
      <c r="J125"/>
      <c r="K125"/>
      <c r="L125"/>
      <c r="M125"/>
      <c r="N125"/>
      <c r="V125" s="6"/>
      <c r="DY125" s="439" t="s">
        <v>61</v>
      </c>
      <c r="FC125" s="170" t="s">
        <v>61</v>
      </c>
      <c r="FD125" s="170">
        <v>580</v>
      </c>
      <c r="FE125" s="278">
        <f t="shared" ref="FE125:FJ125" ca="1" si="151">((FE18+FE19+FE20+FE21+FE22+FE23+FE24)/TAUXmoyen)*-1</f>
        <v>0</v>
      </c>
      <c r="FF125" s="278">
        <f t="shared" ca="1" si="151"/>
        <v>-721.74902174902172</v>
      </c>
      <c r="FG125" s="278">
        <f t="shared" ca="1" si="151"/>
        <v>-734.68316801650133</v>
      </c>
      <c r="FH125" s="278">
        <f t="shared" ca="1" si="151"/>
        <v>-750.33821700488397</v>
      </c>
      <c r="FI125" s="278">
        <f t="shared" ca="1" si="151"/>
        <v>-2338.6083604265423</v>
      </c>
      <c r="FJ125" s="278">
        <f t="shared" ca="1" si="151"/>
        <v>-205.76333909667241</v>
      </c>
      <c r="FK125" s="278" t="e">
        <f ca="1">((FK18+FK19+FK20+FK21+FK22+FK23+FK24+FK27)/TAUXmoyen)*-1</f>
        <v>#REF!</v>
      </c>
      <c r="FL125" s="278" t="e">
        <f ca="1">((FL18+FL19+FL20+FL21+FL22+FL23+FL24+FL27)/TAUXmoyen)*-1</f>
        <v>#REF!</v>
      </c>
      <c r="FM125" s="108"/>
      <c r="FN125" s="28">
        <f t="shared" ca="1" si="150"/>
        <v>-4751.1421062936215</v>
      </c>
    </row>
    <row r="126" spans="1:170">
      <c r="E126"/>
      <c r="I126"/>
      <c r="J126"/>
      <c r="K126"/>
      <c r="L126"/>
      <c r="M126"/>
      <c r="N126"/>
      <c r="V126" s="6"/>
      <c r="DY126" s="439" t="s">
        <v>145</v>
      </c>
      <c r="FC126" s="170" t="s">
        <v>145</v>
      </c>
      <c r="FD126" s="170">
        <v>60</v>
      </c>
      <c r="FE126" s="278">
        <f t="shared" ref="FE126:FH127" ca="1" si="152">-FE25/TAUXmoyen</f>
        <v>0</v>
      </c>
      <c r="FF126" s="278">
        <f t="shared" ca="1" si="152"/>
        <v>-12.224345557678891</v>
      </c>
      <c r="FG126" s="278">
        <f t="shared" ca="1" si="152"/>
        <v>0</v>
      </c>
      <c r="FH126" s="278">
        <f t="shared" ca="1" si="152"/>
        <v>0</v>
      </c>
      <c r="FI126" s="278">
        <f ca="1">-FI25/TAUXmoyen</f>
        <v>0</v>
      </c>
      <c r="FJ126" s="278">
        <f ca="1">-FJ25/TAUXmoyen</f>
        <v>0</v>
      </c>
      <c r="FK126" s="278" t="e">
        <f ca="1">FK25/TAUXmoyen</f>
        <v>#REF!</v>
      </c>
      <c r="FL126" s="278" t="e">
        <f ca="1">FL25/TAUXmoyen</f>
        <v>#REF!</v>
      </c>
      <c r="FM126" s="142"/>
      <c r="FN126" s="28">
        <f t="shared" ca="1" si="150"/>
        <v>-12.224345557678891</v>
      </c>
    </row>
    <row r="127" spans="1:170">
      <c r="E127"/>
      <c r="I127"/>
      <c r="J127"/>
      <c r="K127"/>
      <c r="L127"/>
      <c r="M127"/>
      <c r="N127"/>
      <c r="V127" s="6"/>
      <c r="DY127" s="439" t="s">
        <v>206</v>
      </c>
      <c r="FC127" s="170" t="s">
        <v>206</v>
      </c>
      <c r="FD127" s="170">
        <v>140</v>
      </c>
      <c r="FE127" s="278">
        <f t="shared" ca="1" si="152"/>
        <v>0</v>
      </c>
      <c r="FF127" s="278">
        <f t="shared" ca="1" si="152"/>
        <v>-7.0980070980070975</v>
      </c>
      <c r="FG127" s="278">
        <f t="shared" ca="1" si="152"/>
        <v>-83.204416537749864</v>
      </c>
      <c r="FH127" s="278">
        <f t="shared" ca="1" si="152"/>
        <v>0</v>
      </c>
      <c r="FI127" s="278">
        <f ca="1">-FI26/TAUXmoyen</f>
        <v>-42.086163298284511</v>
      </c>
      <c r="FJ127" s="278">
        <f ca="1">-FJ26/TAUXmoyen</f>
        <v>-58.361391694725029</v>
      </c>
      <c r="FK127" s="278" t="e">
        <f ca="1">FK26/TAUXmoyen</f>
        <v>#REF!</v>
      </c>
      <c r="FL127" s="278" t="e">
        <f ca="1">FL26/TAUXmoyen</f>
        <v>#REF!</v>
      </c>
      <c r="FM127" s="142"/>
      <c r="FN127" s="28">
        <f t="shared" ca="1" si="150"/>
        <v>-190.74997862876651</v>
      </c>
    </row>
    <row r="128" spans="1:170">
      <c r="E128"/>
      <c r="I128"/>
      <c r="J128"/>
      <c r="K128"/>
      <c r="L128"/>
      <c r="M128"/>
      <c r="N128"/>
      <c r="V128" s="6"/>
      <c r="DY128" s="439" t="s">
        <v>136</v>
      </c>
      <c r="FC128" s="170" t="s">
        <v>136</v>
      </c>
      <c r="FD128" s="170">
        <v>560</v>
      </c>
      <c r="FE128" s="278">
        <f ca="1">FE27/TAUXmoyen</f>
        <v>0</v>
      </c>
      <c r="FF128" s="278">
        <f ca="1">-FF27/cashVIII!$O$22</f>
        <v>-9.9071657394889758</v>
      </c>
      <c r="FG128" s="278">
        <f ca="1">-FG27/cashVIII!$O$22</f>
        <v>-376.4722981005811</v>
      </c>
      <c r="FH128" s="278">
        <f ca="1">-FH27/cashVIII!$O$22</f>
        <v>-165.13263854580225</v>
      </c>
      <c r="FI128" s="278">
        <f ca="1">-FI27/cashVIII!$O$22</f>
        <v>-223.50565908287132</v>
      </c>
      <c r="FJ128" s="278">
        <f ca="1">-FJ27/cashVIII!$O$22</f>
        <v>-76.879606138434454</v>
      </c>
      <c r="FK128" s="278" t="e">
        <f ca="1">-FK27/cashVIII!$O$22</f>
        <v>#REF!</v>
      </c>
      <c r="FL128" s="278" t="e">
        <f ca="1">-FL27/cashVIII!$O$22</f>
        <v>#REF!</v>
      </c>
      <c r="FM128" s="142"/>
      <c r="FN128" s="28">
        <f t="shared" ca="1" si="150"/>
        <v>-851.89736760717813</v>
      </c>
    </row>
    <row r="129" spans="5:170">
      <c r="E129"/>
      <c r="I129"/>
      <c r="J129"/>
      <c r="K129"/>
      <c r="L129"/>
      <c r="M129"/>
      <c r="N129"/>
      <c r="V129" s="6"/>
      <c r="DY129" s="170" t="s">
        <v>809</v>
      </c>
      <c r="DZ129" s="2"/>
      <c r="EH129" s="2"/>
      <c r="EI129" s="2"/>
      <c r="EJ129" s="2"/>
      <c r="EK129" s="2"/>
      <c r="EL129" s="2"/>
      <c r="EM129" s="2"/>
      <c r="EN129" s="2"/>
      <c r="EO129" s="2"/>
      <c r="EP129" s="2"/>
      <c r="EQ129" s="2"/>
      <c r="ER129" s="2"/>
      <c r="ES129" s="2"/>
      <c r="ET129" s="2"/>
      <c r="EU129" s="2"/>
      <c r="EV129" s="2"/>
      <c r="EW129" s="2"/>
      <c r="EX129" s="2"/>
      <c r="EY129" s="2"/>
      <c r="EZ129" s="2"/>
      <c r="FA129" s="2"/>
      <c r="FB129" s="2"/>
      <c r="FC129" s="170"/>
      <c r="FD129" s="170">
        <v>165</v>
      </c>
      <c r="FE129" s="278"/>
      <c r="FF129" s="278">
        <f ca="1">-FF109</f>
        <v>0</v>
      </c>
      <c r="FG129" s="278">
        <f ca="1">-FG109</f>
        <v>0</v>
      </c>
      <c r="FH129" s="278">
        <f ca="1">-FH109</f>
        <v>-399.36608557844693</v>
      </c>
      <c r="FI129" s="278">
        <f ca="1">-FI109</f>
        <v>0</v>
      </c>
      <c r="FJ129" s="278">
        <f ca="1">-FJ109</f>
        <v>0</v>
      </c>
      <c r="FK129" s="278"/>
      <c r="FL129" s="278"/>
      <c r="FM129" s="142"/>
      <c r="FN129" s="28">
        <f t="shared" ca="1" si="150"/>
        <v>-399.36608557844693</v>
      </c>
    </row>
    <row r="130" spans="5:170">
      <c r="E130"/>
      <c r="I130"/>
      <c r="J130"/>
      <c r="K130"/>
      <c r="L130"/>
      <c r="M130"/>
      <c r="N130"/>
      <c r="V130" s="6"/>
      <c r="DY130" s="439" t="s">
        <v>624</v>
      </c>
      <c r="FC130" s="2" t="s">
        <v>258</v>
      </c>
      <c r="FD130" s="169">
        <v>580</v>
      </c>
      <c r="FE130" s="173">
        <f t="shared" ref="FE130:FK130" ca="1" si="153">FE136</f>
        <v>9868</v>
      </c>
      <c r="FF130" s="173">
        <f t="shared" ca="1" si="153"/>
        <v>8724.8960010636783</v>
      </c>
      <c r="FG130" s="173">
        <f t="shared" ca="1" si="153"/>
        <v>6726.8839814233752</v>
      </c>
      <c r="FH130" s="173">
        <f t="shared" ca="1" si="153"/>
        <v>4620.9741492213507</v>
      </c>
      <c r="FI130" s="173">
        <v>1134.5</v>
      </c>
      <c r="FJ130" s="173">
        <f t="shared" ca="1" si="153"/>
        <v>9115.2323846402232</v>
      </c>
      <c r="FK130" s="173" t="e">
        <f t="shared" ca="1" si="153"/>
        <v>#REF!</v>
      </c>
      <c r="FL130" s="173" t="e">
        <f ca="1">FL136</f>
        <v>#REF!</v>
      </c>
      <c r="FM130" s="142"/>
      <c r="FN130" s="28">
        <f t="shared" ca="1" si="150"/>
        <v>40190.486516348632</v>
      </c>
    </row>
    <row r="131" spans="5:170">
      <c r="E131"/>
      <c r="I131"/>
      <c r="J131"/>
      <c r="K131"/>
      <c r="L131"/>
      <c r="M131"/>
      <c r="N131"/>
      <c r="V131" s="6"/>
      <c r="DY131" s="439" t="s">
        <v>723</v>
      </c>
      <c r="FC131" s="191" t="s">
        <v>307</v>
      </c>
      <c r="FD131" s="169">
        <v>580</v>
      </c>
      <c r="FE131" s="169" t="s">
        <v>297</v>
      </c>
      <c r="FF131" s="174">
        <f t="shared" ref="FF131:FK131" ca="1" si="154">-FF130</f>
        <v>-8724.8960010636783</v>
      </c>
      <c r="FG131" s="174">
        <f t="shared" ca="1" si="154"/>
        <v>-6726.8839814233752</v>
      </c>
      <c r="FH131" s="174">
        <f t="shared" ca="1" si="154"/>
        <v>-4620.9741492213507</v>
      </c>
      <c r="FI131" s="174">
        <f t="shared" si="154"/>
        <v>-1134.5</v>
      </c>
      <c r="FJ131" s="174">
        <f t="shared" ca="1" si="154"/>
        <v>-9115.2323846402232</v>
      </c>
      <c r="FK131" s="174" t="e">
        <f t="shared" ca="1" si="154"/>
        <v>#REF!</v>
      </c>
      <c r="FL131" s="174" t="e">
        <f ca="1">-FL130</f>
        <v>#REF!</v>
      </c>
      <c r="FM131" s="142"/>
      <c r="FN131" s="28">
        <f t="shared" ca="1" si="150"/>
        <v>-30322.486516348625</v>
      </c>
    </row>
    <row r="132" spans="5:170">
      <c r="E132"/>
      <c r="I132"/>
      <c r="J132"/>
      <c r="K132"/>
      <c r="L132"/>
      <c r="M132"/>
      <c r="N132"/>
      <c r="V132" s="6"/>
      <c r="DY132" s="26"/>
      <c r="FD132" s="476" t="s">
        <v>984</v>
      </c>
      <c r="FE132" s="477"/>
      <c r="FF132" s="477"/>
      <c r="FG132" s="477"/>
      <c r="FH132" s="476" t="s">
        <v>985</v>
      </c>
      <c r="FI132" s="477"/>
      <c r="FJ132" s="477"/>
      <c r="FK132" s="477"/>
      <c r="FL132" s="477"/>
      <c r="FM132" s="477"/>
    </row>
    <row r="133" spans="5:170">
      <c r="E133"/>
      <c r="I133"/>
      <c r="J133"/>
      <c r="K133"/>
      <c r="L133"/>
      <c r="M133"/>
      <c r="N133"/>
      <c r="DY133" s="26"/>
      <c r="FD133" s="161" t="s">
        <v>299</v>
      </c>
      <c r="FE133" s="104">
        <f>cashVIII!$X$5</f>
        <v>9868</v>
      </c>
      <c r="FF133" s="104">
        <f>cashVIII!$X$5</f>
        <v>9868</v>
      </c>
      <c r="FG133" s="104">
        <f>cashVIII!$X$5</f>
        <v>9868</v>
      </c>
      <c r="FH133" s="104">
        <f>cashVIII!$X$5</f>
        <v>9868</v>
      </c>
      <c r="FI133" s="104">
        <f>cashVIII!$X$5</f>
        <v>9868</v>
      </c>
      <c r="FJ133" s="104">
        <f>cashVIII!$X$5</f>
        <v>9868</v>
      </c>
      <c r="FK133" s="104" t="e">
        <f>electr!#REF!</f>
        <v>#REF!</v>
      </c>
      <c r="FL133" s="104" t="e">
        <f>electr!#REF!</f>
        <v>#REF!</v>
      </c>
      <c r="FM133" s="142"/>
    </row>
    <row r="134" spans="5:170">
      <c r="E134"/>
      <c r="I134"/>
      <c r="J134"/>
      <c r="K134"/>
      <c r="L134"/>
      <c r="M134"/>
      <c r="N134"/>
      <c r="DY134" s="26"/>
      <c r="FD134" s="142" t="s">
        <v>298</v>
      </c>
      <c r="FE134" s="108">
        <f ca="1">SUM(FE124:FE128)</f>
        <v>0</v>
      </c>
      <c r="FF134" s="108">
        <f ca="1">SUM(FF124:FF129)</f>
        <v>-1143.1039989363223</v>
      </c>
      <c r="FG134" s="108">
        <f ca="1">SUM(FG124:FG129)</f>
        <v>-1998.0120196403027</v>
      </c>
      <c r="FH134" s="108">
        <f ca="1">SUM(FH124:FH129)</f>
        <v>-2105.9098322020241</v>
      </c>
      <c r="FI134" s="108">
        <f ca="1">SUM(FI124:FI129)</f>
        <v>-3338.9729721259419</v>
      </c>
      <c r="FJ134" s="108">
        <f ca="1">SUM(FJ124:FJ129)</f>
        <v>-752.7676153597771</v>
      </c>
      <c r="FK134" s="108" t="e">
        <f ca="1">SUM(FK124:FK125)</f>
        <v>#REF!</v>
      </c>
      <c r="FL134" s="108" t="e">
        <f ca="1">SUM(FL124:FL125)</f>
        <v>#REF!</v>
      </c>
      <c r="FM134" s="142"/>
    </row>
    <row r="135" spans="5:170">
      <c r="E135"/>
      <c r="I135"/>
      <c r="J135"/>
      <c r="K135"/>
      <c r="L135"/>
      <c r="M135"/>
      <c r="N135"/>
      <c r="DY135" s="26"/>
      <c r="FD135" s="161" t="s">
        <v>300</v>
      </c>
      <c r="FE135" s="104">
        <f ca="1">FE134</f>
        <v>0</v>
      </c>
      <c r="FF135" s="104">
        <f ca="1">FF134+FE135</f>
        <v>-1143.1039989363223</v>
      </c>
      <c r="FG135" s="104">
        <f ca="1">FG134+FF135</f>
        <v>-3141.1160185766248</v>
      </c>
      <c r="FH135" s="104">
        <f ca="1">FH134+FG135</f>
        <v>-5247.0258507786493</v>
      </c>
      <c r="FI135" s="104">
        <f ca="1">FI134</f>
        <v>-3338.9729721259419</v>
      </c>
      <c r="FJ135" s="104">
        <f ca="1">FJ134</f>
        <v>-752.7676153597771</v>
      </c>
      <c r="FK135" s="104" t="e">
        <f ca="1">FK134</f>
        <v>#REF!</v>
      </c>
      <c r="FL135" s="104" t="e">
        <f ca="1">FL134</f>
        <v>#REF!</v>
      </c>
      <c r="FM135" s="142"/>
    </row>
    <row r="136" spans="5:170">
      <c r="E136"/>
      <c r="I136"/>
      <c r="J136"/>
      <c r="K136"/>
      <c r="L136"/>
      <c r="M136"/>
      <c r="N136"/>
      <c r="DY136" s="26"/>
      <c r="FD136" s="142" t="s">
        <v>258</v>
      </c>
      <c r="FE136" s="108">
        <f ca="1">FE133+FE134</f>
        <v>9868</v>
      </c>
      <c r="FF136" s="108">
        <f ca="1">FF133+FF135</f>
        <v>8724.8960010636783</v>
      </c>
      <c r="FG136" s="108">
        <f t="shared" ref="FG136:FL136" ca="1" si="155">FG133+FG135</f>
        <v>6726.8839814233752</v>
      </c>
      <c r="FH136" s="108">
        <f t="shared" ca="1" si="155"/>
        <v>4620.9741492213507</v>
      </c>
      <c r="FI136" s="108">
        <f t="shared" ca="1" si="155"/>
        <v>6529.0270278740581</v>
      </c>
      <c r="FJ136" s="108">
        <f t="shared" ca="1" si="155"/>
        <v>9115.2323846402232</v>
      </c>
      <c r="FK136" s="108" t="e">
        <f t="shared" ca="1" si="155"/>
        <v>#REF!</v>
      </c>
      <c r="FL136" s="108" t="e">
        <f t="shared" ca="1" si="155"/>
        <v>#REF!</v>
      </c>
    </row>
    <row r="137" spans="5:170">
      <c r="E137"/>
      <c r="I137"/>
      <c r="J137"/>
      <c r="K137"/>
      <c r="L137"/>
      <c r="M137"/>
      <c r="N137"/>
      <c r="DY137" s="26"/>
      <c r="FE137" s="142">
        <f ca="1">-FE135+FE136</f>
        <v>9868</v>
      </c>
      <c r="FF137" s="142">
        <f t="shared" ref="FF137:FK137" ca="1" si="156">-FF135+FF136</f>
        <v>9868</v>
      </c>
      <c r="FG137" s="142">
        <f t="shared" ca="1" si="156"/>
        <v>9868</v>
      </c>
      <c r="FH137" s="142">
        <f t="shared" ca="1" si="156"/>
        <v>9868</v>
      </c>
      <c r="FI137" s="142">
        <f t="shared" ca="1" si="156"/>
        <v>9868</v>
      </c>
      <c r="FJ137" s="142">
        <f t="shared" ca="1" si="156"/>
        <v>9868</v>
      </c>
      <c r="FK137" s="142" t="e">
        <f t="shared" ca="1" si="156"/>
        <v>#REF!</v>
      </c>
      <c r="FL137" s="142" t="e">
        <f ca="1">-FL135+FL136</f>
        <v>#REF!</v>
      </c>
    </row>
    <row r="138" spans="5:170">
      <c r="E138"/>
      <c r="I138"/>
      <c r="J138"/>
      <c r="K138"/>
      <c r="L138"/>
      <c r="M138"/>
      <c r="N138"/>
      <c r="DY138" s="26"/>
    </row>
    <row r="139" spans="5:170">
      <c r="E139"/>
      <c r="I139"/>
      <c r="J139"/>
      <c r="K139"/>
      <c r="L139"/>
      <c r="M139"/>
      <c r="N139"/>
      <c r="DY139" s="26"/>
      <c r="FD139" s="175" t="s">
        <v>301</v>
      </c>
      <c r="FE139" s="94"/>
      <c r="FF139" s="118" t="s">
        <v>308</v>
      </c>
      <c r="FG139" s="94"/>
    </row>
    <row r="140" spans="5:170">
      <c r="E140"/>
      <c r="I140"/>
      <c r="J140"/>
      <c r="K140"/>
      <c r="L140"/>
      <c r="M140"/>
      <c r="N140"/>
      <c r="DY140" s="26"/>
      <c r="FC140" s="172" t="s">
        <v>296</v>
      </c>
      <c r="FE140" s="4" t="str">
        <f t="shared" ref="FE140:FL140" si="157">FE122</f>
        <v>France</v>
      </c>
      <c r="FF140" s="4" t="str">
        <f t="shared" si="157"/>
        <v>NOV 18 jrs</v>
      </c>
      <c r="FG140" s="4" t="str">
        <f t="shared" si="157"/>
        <v>DEC 31 jrs</v>
      </c>
      <c r="FH140" s="4" t="str">
        <f t="shared" si="157"/>
        <v>JAN 31 jrs</v>
      </c>
      <c r="FI140" s="4" t="str">
        <f t="shared" si="157"/>
        <v>FEV 28 jrs</v>
      </c>
      <c r="FJ140" s="4" t="str">
        <f t="shared" si="157"/>
        <v>MAR 12 jrs</v>
      </c>
      <c r="FK140" s="4">
        <f t="shared" si="157"/>
        <v>202209</v>
      </c>
      <c r="FL140" s="4">
        <f t="shared" si="157"/>
        <v>202210</v>
      </c>
    </row>
    <row r="141" spans="5:170">
      <c r="E141"/>
      <c r="I141"/>
      <c r="J141"/>
      <c r="K141"/>
      <c r="L141"/>
      <c r="M141"/>
      <c r="N141"/>
      <c r="DY141" s="438" t="s">
        <v>722</v>
      </c>
      <c r="FC141" s="171" t="s">
        <v>295</v>
      </c>
      <c r="FD141" s="169">
        <v>950</v>
      </c>
      <c r="FE141" s="278"/>
      <c r="FF141" s="278">
        <v>1146.8084653459648</v>
      </c>
      <c r="FG141" s="278">
        <v>2003.842461739735</v>
      </c>
      <c r="FH141" s="303">
        <v>2113.5435304877878</v>
      </c>
      <c r="FI141" s="108">
        <v>3354.2101490740183</v>
      </c>
      <c r="FJ141" s="108">
        <v>756.11488923779871</v>
      </c>
      <c r="FK141" s="108"/>
      <c r="FL141" s="108"/>
      <c r="FN141" s="169" t="s">
        <v>722</v>
      </c>
    </row>
    <row r="142" spans="5:170">
      <c r="E142"/>
      <c r="I142"/>
      <c r="J142"/>
      <c r="K142"/>
      <c r="L142"/>
      <c r="M142"/>
      <c r="N142"/>
      <c r="DY142" s="439" t="s">
        <v>328</v>
      </c>
      <c r="FC142" s="170" t="s">
        <v>328</v>
      </c>
      <c r="FD142" s="170">
        <v>120</v>
      </c>
      <c r="FE142" s="278"/>
      <c r="FF142" s="278">
        <v>-393.41302581847975</v>
      </c>
      <c r="FG142" s="278">
        <v>-806.74639715248213</v>
      </c>
      <c r="FH142" s="303">
        <v>-794.99060759955341</v>
      </c>
      <c r="FI142" s="108">
        <v>-738.3694432279616</v>
      </c>
      <c r="FJ142" s="108">
        <v>-413.80249860697558</v>
      </c>
      <c r="FK142" s="108"/>
      <c r="FL142" s="108"/>
      <c r="FN142" s="170" t="s">
        <v>328</v>
      </c>
    </row>
    <row r="143" spans="5:170">
      <c r="E143"/>
      <c r="I143"/>
      <c r="J143"/>
      <c r="K143"/>
      <c r="L143"/>
      <c r="M143"/>
      <c r="N143"/>
      <c r="DY143" s="439" t="s">
        <v>61</v>
      </c>
      <c r="FC143" s="170" t="s">
        <v>61</v>
      </c>
      <c r="FD143" s="170">
        <v>580</v>
      </c>
      <c r="FE143" s="278"/>
      <c r="FF143" s="278">
        <v>-724.11892714759006</v>
      </c>
      <c r="FG143" s="278">
        <v>-737.51188053718818</v>
      </c>
      <c r="FH143" s="278">
        <v>-754.05419876398526</v>
      </c>
      <c r="FI143" s="108">
        <v>-2350.0556609051446</v>
      </c>
      <c r="FJ143" s="108">
        <v>-206.78236331461392</v>
      </c>
      <c r="FK143" s="108"/>
      <c r="FL143" s="108"/>
      <c r="FN143" s="170" t="s">
        <v>61</v>
      </c>
    </row>
    <row r="144" spans="5:170">
      <c r="E144"/>
      <c r="I144"/>
      <c r="J144"/>
      <c r="K144"/>
      <c r="L144"/>
      <c r="M144"/>
      <c r="N144"/>
      <c r="DY144" s="439" t="s">
        <v>145</v>
      </c>
      <c r="FC144" s="170" t="s">
        <v>145</v>
      </c>
      <c r="FD144" s="170">
        <v>60</v>
      </c>
      <c r="FE144" s="278"/>
      <c r="FF144" s="278">
        <v>-12.264484915901923</v>
      </c>
      <c r="FG144" s="278">
        <v>0</v>
      </c>
      <c r="FH144" s="303">
        <v>0</v>
      </c>
      <c r="FI144" s="108">
        <v>0</v>
      </c>
      <c r="FJ144" s="108">
        <v>0</v>
      </c>
      <c r="FK144" s="108"/>
      <c r="FL144" s="108"/>
      <c r="FN144" s="170" t="s">
        <v>145</v>
      </c>
    </row>
    <row r="145" spans="5:170">
      <c r="E145"/>
      <c r="I145"/>
      <c r="J145"/>
      <c r="K145"/>
      <c r="L145"/>
      <c r="M145"/>
      <c r="N145"/>
      <c r="DY145" s="439" t="s">
        <v>206</v>
      </c>
      <c r="FC145" s="170" t="s">
        <v>206</v>
      </c>
      <c r="FD145" s="170">
        <v>140</v>
      </c>
      <c r="FE145" s="278"/>
      <c r="FF145" s="278">
        <v>-7.1213138221366004</v>
      </c>
      <c r="FG145" s="278">
        <v>-83.524774189977293</v>
      </c>
      <c r="FH145" s="303">
        <v>0</v>
      </c>
      <c r="FI145" s="108">
        <v>-42.292171694311584</v>
      </c>
      <c r="FJ145" s="108">
        <v>-58.650421177774739</v>
      </c>
      <c r="FK145" s="108"/>
      <c r="FL145" s="108"/>
      <c r="FN145" s="170" t="s">
        <v>206</v>
      </c>
    </row>
    <row r="146" spans="5:170">
      <c r="E146"/>
      <c r="I146"/>
      <c r="J146"/>
      <c r="K146"/>
      <c r="L146"/>
      <c r="M146"/>
      <c r="N146"/>
      <c r="DY146" s="439" t="s">
        <v>136</v>
      </c>
      <c r="FC146" s="170" t="s">
        <v>136</v>
      </c>
      <c r="FD146" s="170">
        <v>560</v>
      </c>
      <c r="FE146" s="278"/>
      <c r="FF146" s="278">
        <v>-9.8907136418563901</v>
      </c>
      <c r="FG146" s="278">
        <v>-376.05940986008738</v>
      </c>
      <c r="FH146" s="303">
        <v>-165.13263854580225</v>
      </c>
      <c r="FI146" s="108">
        <v>-223.49287324660057</v>
      </c>
      <c r="FJ146" s="108">
        <v>-76.879606138434454</v>
      </c>
      <c r="FN146" s="170" t="s">
        <v>136</v>
      </c>
    </row>
    <row r="147" spans="5:170">
      <c r="E147"/>
      <c r="I147"/>
      <c r="J147"/>
      <c r="K147"/>
      <c r="L147"/>
      <c r="M147"/>
      <c r="N147"/>
      <c r="DY147" s="170" t="s">
        <v>809</v>
      </c>
      <c r="DZ147" s="2"/>
      <c r="EH147" s="2"/>
      <c r="EI147" s="2"/>
      <c r="EJ147" s="2"/>
      <c r="EK147" s="2"/>
      <c r="EL147" s="2"/>
      <c r="EM147" s="2"/>
      <c r="EN147" s="2"/>
      <c r="EO147" s="2"/>
      <c r="EP147" s="2"/>
      <c r="EQ147" s="2"/>
      <c r="ER147" s="2"/>
      <c r="ES147" s="2"/>
      <c r="ET147" s="2"/>
      <c r="EU147" s="2"/>
      <c r="EV147" s="2"/>
      <c r="EW147" s="2"/>
      <c r="EX147" s="2"/>
      <c r="EY147" s="2"/>
      <c r="EZ147" s="2"/>
      <c r="FA147" s="2"/>
      <c r="FB147" s="2"/>
      <c r="FC147" s="170"/>
      <c r="FD147" s="170">
        <v>165</v>
      </c>
      <c r="FE147" s="278"/>
      <c r="FF147" s="278"/>
      <c r="FG147" s="278"/>
      <c r="FH147" s="303">
        <v>-399.36608557844693</v>
      </c>
      <c r="FI147" s="108">
        <v>0</v>
      </c>
      <c r="FJ147" s="2">
        <v>0</v>
      </c>
      <c r="FK147" s="2"/>
      <c r="FL147" s="2"/>
      <c r="FM147" s="2"/>
      <c r="FN147" s="170" t="s">
        <v>809</v>
      </c>
    </row>
    <row r="148" spans="5:170">
      <c r="E148"/>
      <c r="I148"/>
      <c r="J148"/>
      <c r="K148"/>
      <c r="L148"/>
      <c r="M148"/>
      <c r="N148"/>
      <c r="DY148" s="439" t="s">
        <v>983</v>
      </c>
      <c r="FC148" s="2" t="s">
        <v>258</v>
      </c>
      <c r="FD148" s="169">
        <v>580</v>
      </c>
      <c r="FE148" s="169"/>
      <c r="FF148" s="173">
        <v>5141.1915346540354</v>
      </c>
      <c r="FG148" s="304">
        <v>3048.7013157745437</v>
      </c>
      <c r="FH148" s="173">
        <v>1890.5955784641646</v>
      </c>
      <c r="FI148" s="173">
        <v>1134.5</v>
      </c>
      <c r="FJ148" s="173"/>
      <c r="FK148" s="173"/>
      <c r="FL148" s="173"/>
      <c r="FN148" s="170" t="s">
        <v>983</v>
      </c>
    </row>
    <row r="149" spans="5:170">
      <c r="E149"/>
      <c r="I149"/>
      <c r="J149"/>
      <c r="K149"/>
      <c r="L149"/>
      <c r="M149"/>
      <c r="N149"/>
      <c r="DY149" s="439" t="s">
        <v>258</v>
      </c>
      <c r="FC149" s="191" t="s">
        <v>307</v>
      </c>
      <c r="FD149" s="169">
        <v>580</v>
      </c>
      <c r="FE149" s="169" t="s">
        <v>297</v>
      </c>
      <c r="FF149" s="363">
        <v>-5141.1915346540354</v>
      </c>
      <c r="FG149" s="190">
        <v>-3048.7013157745437</v>
      </c>
      <c r="FH149" s="190">
        <v>-1890.5955784641646</v>
      </c>
      <c r="FI149" s="174">
        <v>-1134.5</v>
      </c>
      <c r="FJ149" s="190"/>
      <c r="FK149" s="174"/>
      <c r="FL149" s="174"/>
      <c r="FN149" s="170" t="s">
        <v>258</v>
      </c>
    </row>
    <row r="150" spans="5:170">
      <c r="E150"/>
      <c r="I150"/>
      <c r="J150"/>
      <c r="K150"/>
      <c r="L150"/>
      <c r="M150"/>
      <c r="N150"/>
      <c r="DY150" s="26"/>
      <c r="FE150" s="142"/>
      <c r="FF150" s="142"/>
      <c r="FG150" s="142"/>
    </row>
    <row r="151" spans="5:170">
      <c r="E151"/>
      <c r="I151"/>
      <c r="J151"/>
      <c r="K151"/>
      <c r="L151"/>
      <c r="M151"/>
      <c r="N151"/>
      <c r="DY151" s="26"/>
      <c r="FD151" s="69" t="s">
        <v>331</v>
      </c>
      <c r="FE151" s="243">
        <f t="shared" ref="FE151:FL151" ca="1" si="158">FE141-FE123</f>
        <v>0</v>
      </c>
      <c r="FF151" s="243">
        <f t="shared" ca="1" si="158"/>
        <v>3.704466409642464</v>
      </c>
      <c r="FG151" s="243">
        <f t="shared" ca="1" si="158"/>
        <v>5.8304420994322754</v>
      </c>
      <c r="FH151" s="243">
        <f t="shared" ca="1" si="158"/>
        <v>7.633698285763785</v>
      </c>
      <c r="FI151" s="243">
        <f t="shared" ca="1" si="158"/>
        <v>15.237176948076467</v>
      </c>
      <c r="FJ151" s="243">
        <f t="shared" ca="1" si="158"/>
        <v>3.3472738780216105</v>
      </c>
      <c r="FK151" s="243" t="e">
        <f t="shared" ca="1" si="158"/>
        <v>#REF!</v>
      </c>
      <c r="FL151" s="243" t="e">
        <f t="shared" ca="1" si="158"/>
        <v>#REF!</v>
      </c>
      <c r="FM151" s="70"/>
    </row>
    <row r="152" spans="5:170">
      <c r="E152"/>
      <c r="I152"/>
      <c r="J152"/>
      <c r="K152"/>
      <c r="L152"/>
      <c r="M152"/>
      <c r="N152"/>
      <c r="DY152" s="26"/>
    </row>
    <row r="153" spans="5:170">
      <c r="E153"/>
      <c r="I153"/>
      <c r="J153"/>
      <c r="K153"/>
      <c r="L153"/>
      <c r="M153"/>
      <c r="N153"/>
      <c r="DY153" s="26"/>
      <c r="FB153" s="298">
        <v>44712</v>
      </c>
      <c r="FC153" s="108">
        <f t="shared" ref="FC153:FC158" si="159">FG141</f>
        <v>2003.842461739735</v>
      </c>
      <c r="FD153" s="4" t="s">
        <v>224</v>
      </c>
    </row>
    <row r="154" spans="5:170">
      <c r="E154"/>
      <c r="I154"/>
      <c r="J154"/>
      <c r="K154"/>
      <c r="L154"/>
      <c r="M154"/>
      <c r="N154"/>
      <c r="DY154" s="26"/>
      <c r="FB154" s="298">
        <f t="shared" ref="FB154:FB159" si="160">FB153</f>
        <v>44712</v>
      </c>
      <c r="FC154" s="108">
        <f t="shared" si="159"/>
        <v>-806.74639715248213</v>
      </c>
      <c r="FD154" s="169">
        <f t="shared" ref="FD154:FD159" si="161">FD141</f>
        <v>950</v>
      </c>
      <c r="FE154" s="303">
        <f>+FJ141</f>
        <v>756.11488923779871</v>
      </c>
      <c r="FN154" s="169" t="s">
        <v>722</v>
      </c>
    </row>
    <row r="155" spans="5:170">
      <c r="E155"/>
      <c r="I155"/>
      <c r="J155"/>
      <c r="K155"/>
      <c r="L155"/>
      <c r="M155"/>
      <c r="N155"/>
      <c r="DY155" s="26"/>
      <c r="FB155" s="298">
        <f t="shared" si="160"/>
        <v>44712</v>
      </c>
      <c r="FC155" s="108">
        <f t="shared" si="159"/>
        <v>-737.51188053718818</v>
      </c>
      <c r="FD155" s="170">
        <f t="shared" si="161"/>
        <v>120</v>
      </c>
      <c r="FE155" s="303">
        <f t="shared" ref="FE155:FE160" si="162">+FJ142</f>
        <v>-413.80249860697558</v>
      </c>
      <c r="FN155" s="170" t="s">
        <v>328</v>
      </c>
    </row>
    <row r="156" spans="5:170">
      <c r="E156"/>
      <c r="I156"/>
      <c r="J156"/>
      <c r="K156"/>
      <c r="L156"/>
      <c r="M156"/>
      <c r="N156"/>
      <c r="DY156" s="26"/>
      <c r="FB156" s="298">
        <f t="shared" si="160"/>
        <v>44712</v>
      </c>
      <c r="FC156" s="108">
        <f t="shared" si="159"/>
        <v>0</v>
      </c>
      <c r="FD156" s="170">
        <f t="shared" si="161"/>
        <v>580</v>
      </c>
      <c r="FE156" s="303">
        <f t="shared" si="162"/>
        <v>-206.78236331461392</v>
      </c>
      <c r="FN156" s="170" t="s">
        <v>61</v>
      </c>
    </row>
    <row r="157" spans="5:170">
      <c r="E157"/>
      <c r="I157"/>
      <c r="J157"/>
      <c r="K157"/>
      <c r="L157"/>
      <c r="M157"/>
      <c r="N157"/>
      <c r="DY157" s="26"/>
      <c r="FB157" s="298">
        <f t="shared" si="160"/>
        <v>44712</v>
      </c>
      <c r="FC157" s="108">
        <f t="shared" si="159"/>
        <v>-83.524774189977293</v>
      </c>
      <c r="FD157" s="170">
        <f t="shared" si="161"/>
        <v>60</v>
      </c>
      <c r="FE157" s="303">
        <f t="shared" si="162"/>
        <v>0</v>
      </c>
      <c r="FN157" s="170" t="s">
        <v>145</v>
      </c>
    </row>
    <row r="158" spans="5:170">
      <c r="E158"/>
      <c r="I158"/>
      <c r="J158"/>
      <c r="K158"/>
      <c r="L158"/>
      <c r="M158"/>
      <c r="N158"/>
      <c r="DY158" s="26"/>
      <c r="FB158" s="298">
        <f t="shared" si="160"/>
        <v>44712</v>
      </c>
      <c r="FC158" s="108">
        <f t="shared" si="159"/>
        <v>-376.05940986008738</v>
      </c>
      <c r="FD158" s="170">
        <f t="shared" si="161"/>
        <v>140</v>
      </c>
      <c r="FE158" s="303">
        <f t="shared" si="162"/>
        <v>-58.650421177774739</v>
      </c>
      <c r="FN158" s="170" t="s">
        <v>206</v>
      </c>
    </row>
    <row r="159" spans="5:170">
      <c r="E159"/>
      <c r="I159"/>
      <c r="J159"/>
      <c r="K159"/>
      <c r="L159"/>
      <c r="M159"/>
      <c r="N159"/>
      <c r="DY159" s="26"/>
      <c r="FB159" s="298">
        <f t="shared" si="160"/>
        <v>44712</v>
      </c>
      <c r="FC159" s="108" t="e">
        <f>#REF!</f>
        <v>#REF!</v>
      </c>
      <c r="FD159" s="170">
        <f t="shared" si="161"/>
        <v>560</v>
      </c>
      <c r="FE159" s="303">
        <f t="shared" si="162"/>
        <v>-76.879606138434454</v>
      </c>
      <c r="FN159" s="170" t="s">
        <v>136</v>
      </c>
    </row>
    <row r="160" spans="5:170">
      <c r="E160"/>
      <c r="I160"/>
      <c r="J160"/>
      <c r="K160"/>
      <c r="L160"/>
      <c r="M160"/>
      <c r="N160"/>
      <c r="DY160" s="26"/>
      <c r="FD160" s="170">
        <v>165</v>
      </c>
      <c r="FE160" s="303">
        <f t="shared" si="162"/>
        <v>0</v>
      </c>
      <c r="FN160" s="170" t="s">
        <v>809</v>
      </c>
    </row>
    <row r="161" spans="2:170">
      <c r="E161"/>
      <c r="I161"/>
      <c r="J161"/>
      <c r="K161"/>
      <c r="L161"/>
      <c r="M161"/>
      <c r="N161"/>
      <c r="DY161" s="26"/>
      <c r="FD161" s="169">
        <v>580</v>
      </c>
      <c r="FE161" s="303"/>
      <c r="FN161" s="170" t="s">
        <v>983</v>
      </c>
    </row>
    <row r="162" spans="2:170">
      <c r="E162"/>
      <c r="I162"/>
      <c r="J162"/>
      <c r="K162"/>
      <c r="L162"/>
      <c r="M162"/>
      <c r="N162"/>
      <c r="DY162" s="26"/>
      <c r="FD162" s="169">
        <v>580</v>
      </c>
      <c r="FE162" s="303"/>
      <c r="FN162" s="170" t="s">
        <v>258</v>
      </c>
    </row>
    <row r="163" spans="2:170">
      <c r="E163"/>
      <c r="I163"/>
      <c r="J163"/>
      <c r="K163"/>
      <c r="L163"/>
      <c r="M163"/>
      <c r="N163"/>
      <c r="DY163" s="26"/>
      <c r="FD163" s="170"/>
      <c r="FE163" s="303"/>
      <c r="FN163" s="170"/>
    </row>
    <row r="164" spans="2:170">
      <c r="E164"/>
      <c r="I164"/>
      <c r="J164"/>
      <c r="K164"/>
      <c r="L164"/>
      <c r="M164"/>
      <c r="N164"/>
      <c r="U164"/>
      <c r="V164"/>
      <c r="W164"/>
      <c r="X164"/>
      <c r="Y164"/>
      <c r="Z164"/>
      <c r="AA164"/>
      <c r="AB164"/>
      <c r="AC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Y164" s="26"/>
      <c r="FD164" s="170"/>
      <c r="FE164" s="303"/>
      <c r="FN164" s="170"/>
    </row>
    <row r="165" spans="2:170">
      <c r="DY165" s="26"/>
    </row>
    <row r="166" spans="2:170">
      <c r="DY166" s="26"/>
    </row>
    <row r="167" spans="2:170">
      <c r="DY167" s="26"/>
    </row>
    <row r="168" spans="2:170">
      <c r="DY168" s="26"/>
    </row>
    <row r="169" spans="2:170">
      <c r="DY169" s="26"/>
    </row>
    <row r="170" spans="2:170">
      <c r="DY170" s="26"/>
    </row>
    <row r="171" spans="2:170">
      <c r="DY171" s="26"/>
    </row>
    <row r="172" spans="2:170">
      <c r="DY172" s="26"/>
    </row>
    <row r="173" spans="2:170">
      <c r="DY173" s="26"/>
    </row>
    <row r="174" spans="2:170">
      <c r="DY174" s="26"/>
    </row>
    <row r="175" spans="2:170">
      <c r="DY175" s="26"/>
    </row>
    <row r="176" spans="2:170">
      <c r="B176" t="s">
        <v>328</v>
      </c>
      <c r="C176" s="73" t="s">
        <v>630</v>
      </c>
      <c r="D176" s="11"/>
      <c r="E176" s="2">
        <v>0</v>
      </c>
      <c r="F176" s="2">
        <v>0</v>
      </c>
      <c r="G176" s="2">
        <v>0</v>
      </c>
      <c r="H176" s="2">
        <v>20</v>
      </c>
      <c r="I176" s="2">
        <v>30</v>
      </c>
      <c r="J176" s="2">
        <v>60</v>
      </c>
      <c r="K176" s="2">
        <v>15</v>
      </c>
      <c r="L176" s="2">
        <v>30</v>
      </c>
      <c r="M176" s="2">
        <v>110</v>
      </c>
      <c r="N176">
        <v>0</v>
      </c>
      <c r="O176" s="2">
        <v>0</v>
      </c>
      <c r="P176" s="2">
        <v>0</v>
      </c>
      <c r="Q176" s="2">
        <v>0</v>
      </c>
      <c r="R176" s="2">
        <v>0</v>
      </c>
      <c r="S176" s="2">
        <v>0</v>
      </c>
      <c r="T176" s="280">
        <v>144</v>
      </c>
      <c r="U176" s="281">
        <v>391.66800000000001</v>
      </c>
      <c r="V176" s="281">
        <v>179.72027972027973</v>
      </c>
      <c r="W176" s="142">
        <v>45</v>
      </c>
      <c r="X176">
        <v>60</v>
      </c>
      <c r="Y176">
        <v>87</v>
      </c>
      <c r="Z176" s="2">
        <v>0</v>
      </c>
      <c r="AA176" s="2">
        <v>0</v>
      </c>
      <c r="AB176" s="2">
        <v>0</v>
      </c>
      <c r="AC176" s="2">
        <v>45</v>
      </c>
      <c r="AD176" s="2">
        <v>15</v>
      </c>
      <c r="AE176" s="2">
        <v>0</v>
      </c>
      <c r="AF176" s="2">
        <v>20</v>
      </c>
      <c r="AG176" s="2">
        <v>0</v>
      </c>
      <c r="AH176" s="2">
        <v>0</v>
      </c>
      <c r="AI176" s="2">
        <v>180</v>
      </c>
      <c r="AJ176" s="2">
        <v>0</v>
      </c>
      <c r="AK176" s="2">
        <v>0</v>
      </c>
      <c r="AL176" s="2">
        <v>0</v>
      </c>
      <c r="AM176" s="2">
        <v>135</v>
      </c>
      <c r="AN176" s="2">
        <v>0</v>
      </c>
      <c r="AO176" s="2">
        <v>45</v>
      </c>
      <c r="AP176" s="2">
        <v>0</v>
      </c>
      <c r="AQ176" s="2">
        <v>0</v>
      </c>
      <c r="AR176">
        <v>0</v>
      </c>
      <c r="AS176">
        <v>0</v>
      </c>
      <c r="AT176">
        <v>0</v>
      </c>
      <c r="AU176">
        <v>0</v>
      </c>
      <c r="AV176">
        <v>0</v>
      </c>
      <c r="AW176">
        <v>295</v>
      </c>
      <c r="AX176" s="2">
        <v>0</v>
      </c>
      <c r="AY176" s="306">
        <v>428.01751094434024</v>
      </c>
      <c r="AZ176" s="306">
        <v>275.67229518449034</v>
      </c>
      <c r="BA176" s="306">
        <v>311.94496560350217</v>
      </c>
      <c r="BB176" s="306">
        <v>94.308943089430898</v>
      </c>
      <c r="BC176" s="306">
        <v>255.35959974984368</v>
      </c>
      <c r="BD176" s="306">
        <v>72.545340838023762</v>
      </c>
      <c r="BE176" s="2">
        <v>15</v>
      </c>
      <c r="BF176" s="2">
        <v>0</v>
      </c>
      <c r="BG176" s="2">
        <v>13</v>
      </c>
      <c r="BH176" s="2">
        <v>0</v>
      </c>
      <c r="BI176" s="2">
        <v>15</v>
      </c>
      <c r="BJ176" s="2">
        <v>105</v>
      </c>
      <c r="BK176" s="2">
        <v>118</v>
      </c>
      <c r="BL176">
        <v>15</v>
      </c>
      <c r="BM176">
        <v>0</v>
      </c>
      <c r="BN176">
        <v>73</v>
      </c>
      <c r="BO176">
        <v>15</v>
      </c>
      <c r="BP176">
        <v>250</v>
      </c>
      <c r="BQ176">
        <v>45</v>
      </c>
      <c r="BR176">
        <v>0</v>
      </c>
      <c r="BS176">
        <v>0</v>
      </c>
      <c r="BT176">
        <v>0</v>
      </c>
      <c r="BU176">
        <v>13</v>
      </c>
      <c r="BV176">
        <v>0</v>
      </c>
      <c r="BW176">
        <v>0</v>
      </c>
      <c r="BX176">
        <v>0</v>
      </c>
      <c r="BY176">
        <v>110</v>
      </c>
      <c r="BZ176">
        <v>75</v>
      </c>
      <c r="CA176">
        <v>60</v>
      </c>
      <c r="CB176">
        <v>0</v>
      </c>
      <c r="CC176">
        <v>15</v>
      </c>
      <c r="CD176">
        <v>0</v>
      </c>
      <c r="CE176">
        <v>195</v>
      </c>
      <c r="CF176">
        <v>15</v>
      </c>
      <c r="CG176">
        <v>60</v>
      </c>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v>195</v>
      </c>
      <c r="DX176" s="29">
        <f>SUM(E176:DW176)</f>
        <v>4747.2369351299112</v>
      </c>
      <c r="DY176" s="6">
        <f>DX176/TAUXmoyen</f>
        <v>187.19956367485318</v>
      </c>
    </row>
    <row r="177" spans="2:129" ht="15" thickBot="1">
      <c r="B177" t="s">
        <v>328</v>
      </c>
      <c r="C177" s="74"/>
      <c r="D177" s="11"/>
      <c r="M177"/>
      <c r="N177"/>
      <c r="U177" s="142"/>
      <c r="V177" s="142"/>
      <c r="W177" s="142"/>
      <c r="X177"/>
      <c r="Y177"/>
      <c r="AR177"/>
      <c r="AS177"/>
      <c r="AT177"/>
      <c r="AU177"/>
      <c r="AV177"/>
      <c r="AW177"/>
      <c r="AY177" s="306"/>
      <c r="AZ177" s="306"/>
      <c r="BA177" s="306"/>
      <c r="BB177" s="306"/>
      <c r="BC177" s="306"/>
      <c r="BD177" s="306"/>
      <c r="BP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X177" s="29">
        <f>SUM(E177:DW177)</f>
        <v>0</v>
      </c>
      <c r="DY177" s="6">
        <f>DX177/TAUXmoyen</f>
        <v>0</v>
      </c>
    </row>
    <row r="178" spans="2:129">
      <c r="B178" t="s">
        <v>559</v>
      </c>
      <c r="C178" s="72" t="s">
        <v>560</v>
      </c>
      <c r="D178" s="11"/>
      <c r="F178" s="2">
        <v>350</v>
      </c>
      <c r="M178"/>
      <c r="N178"/>
      <c r="Q178" s="2">
        <v>200</v>
      </c>
      <c r="U178" s="281">
        <v>215.62300000000002</v>
      </c>
      <c r="V178" s="142">
        <v>0</v>
      </c>
      <c r="W178" s="142">
        <v>0</v>
      </c>
      <c r="X178"/>
      <c r="Y178"/>
      <c r="Z178" s="2">
        <v>34</v>
      </c>
      <c r="AA178" s="2">
        <v>80</v>
      </c>
      <c r="AD178" s="2">
        <v>100</v>
      </c>
      <c r="AE178" s="2">
        <v>20</v>
      </c>
      <c r="AF178" s="2">
        <v>20</v>
      </c>
      <c r="AI178" s="2">
        <v>20</v>
      </c>
      <c r="AJ178" s="2">
        <v>100</v>
      </c>
      <c r="AL178" s="2">
        <v>100</v>
      </c>
      <c r="AP178" s="2">
        <v>50</v>
      </c>
      <c r="AR178"/>
      <c r="AS178"/>
      <c r="AT178"/>
      <c r="AU178" s="2">
        <v>95</v>
      </c>
      <c r="AV178"/>
      <c r="AW178"/>
      <c r="AY178" s="306">
        <v>435.2720450281426</v>
      </c>
      <c r="AZ178" s="306">
        <v>0</v>
      </c>
      <c r="BA178" s="306">
        <v>0</v>
      </c>
      <c r="BB178" s="306">
        <v>0</v>
      </c>
      <c r="BC178" s="306">
        <v>0</v>
      </c>
      <c r="BD178"/>
      <c r="BE178" s="306">
        <v>0</v>
      </c>
      <c r="BF178" s="306">
        <v>0</v>
      </c>
      <c r="BH178" s="2">
        <v>0</v>
      </c>
      <c r="BI178" s="2">
        <v>100</v>
      </c>
      <c r="BJ178"/>
      <c r="BK178" s="2">
        <v>250</v>
      </c>
      <c r="BL178" s="2">
        <v>100</v>
      </c>
      <c r="BM178"/>
      <c r="BN178"/>
      <c r="BO178"/>
      <c r="BP178">
        <v>80</v>
      </c>
      <c r="BQ178" s="2">
        <v>60</v>
      </c>
      <c r="BR178"/>
      <c r="BS178"/>
      <c r="BT178"/>
      <c r="BU178"/>
      <c r="BV178"/>
      <c r="BW178"/>
      <c r="BX178"/>
      <c r="BY178" s="100">
        <v>500</v>
      </c>
      <c r="BZ178" s="100">
        <v>430</v>
      </c>
      <c r="CA178">
        <v>100</v>
      </c>
      <c r="CB178">
        <f>50+50</f>
        <v>100</v>
      </c>
      <c r="CC178"/>
      <c r="CD178"/>
      <c r="CE178"/>
      <c r="CF178"/>
      <c r="CG178">
        <v>100</v>
      </c>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X178" s="29">
        <f>SUM(E178:DW178)</f>
        <v>3639.8950450281427</v>
      </c>
      <c r="DY178" s="6">
        <f>DX178/TAUXmoyen</f>
        <v>143.53333814228122</v>
      </c>
    </row>
    <row r="179" spans="2:129">
      <c r="B179" t="s">
        <v>559</v>
      </c>
      <c r="C179" s="73" t="s">
        <v>629</v>
      </c>
      <c r="D179" s="11"/>
      <c r="F179" s="99">
        <v>500</v>
      </c>
      <c r="G179" s="140">
        <v>500</v>
      </c>
      <c r="H179" s="140">
        <v>500</v>
      </c>
      <c r="I179" s="140">
        <v>500</v>
      </c>
      <c r="J179" s="140">
        <v>500</v>
      </c>
      <c r="K179" s="140">
        <v>500</v>
      </c>
      <c r="L179" s="140">
        <v>500</v>
      </c>
      <c r="M179" s="140">
        <v>500</v>
      </c>
      <c r="N179" s="140">
        <v>500</v>
      </c>
      <c r="O179" s="140">
        <v>500</v>
      </c>
      <c r="P179" s="140">
        <v>500</v>
      </c>
      <c r="Q179" s="140">
        <v>500</v>
      </c>
      <c r="R179" s="140">
        <v>500</v>
      </c>
      <c r="S179" s="140">
        <v>500</v>
      </c>
      <c r="T179" s="141">
        <f>500+600</f>
        <v>1100</v>
      </c>
      <c r="U179" s="142">
        <v>0</v>
      </c>
      <c r="V179" s="142">
        <v>0</v>
      </c>
      <c r="W179" s="142">
        <v>338</v>
      </c>
      <c r="X179" s="142">
        <v>333</v>
      </c>
      <c r="Y179" s="142">
        <v>333</v>
      </c>
      <c r="Z179" s="142">
        <v>333</v>
      </c>
      <c r="AA179" s="142">
        <v>333</v>
      </c>
      <c r="AB179" s="142">
        <v>333</v>
      </c>
      <c r="AC179" s="142">
        <v>333</v>
      </c>
      <c r="AD179" s="142">
        <v>333</v>
      </c>
      <c r="AE179" s="142">
        <v>333</v>
      </c>
      <c r="AF179" s="142">
        <v>333</v>
      </c>
      <c r="AG179" s="142">
        <v>333</v>
      </c>
      <c r="AH179" s="142">
        <v>333</v>
      </c>
      <c r="AI179" s="142">
        <v>333</v>
      </c>
      <c r="AJ179" s="142">
        <v>333</v>
      </c>
      <c r="AK179" s="286">
        <v>333</v>
      </c>
      <c r="AL179" s="286">
        <v>333</v>
      </c>
      <c r="AM179" s="286">
        <v>333</v>
      </c>
      <c r="AN179" s="286">
        <v>333</v>
      </c>
      <c r="AO179" s="286">
        <v>333</v>
      </c>
      <c r="AP179" s="286">
        <v>333</v>
      </c>
      <c r="AQ179" s="286">
        <v>333</v>
      </c>
      <c r="AR179" s="286">
        <v>333</v>
      </c>
      <c r="AS179" s="286">
        <v>333</v>
      </c>
      <c r="AT179" s="286">
        <v>333</v>
      </c>
      <c r="AU179" s="286">
        <v>333</v>
      </c>
      <c r="AV179" s="286">
        <v>333</v>
      </c>
      <c r="AW179" s="286">
        <v>333</v>
      </c>
      <c r="AX179" s="286">
        <v>333</v>
      </c>
      <c r="AY179" s="161">
        <f>5000-SUM($AK179:AX179)</f>
        <v>338</v>
      </c>
      <c r="AZ179" s="286"/>
      <c r="BA179" s="286">
        <v>333</v>
      </c>
      <c r="BB179" s="286">
        <v>333</v>
      </c>
      <c r="BC179" s="286">
        <v>333</v>
      </c>
      <c r="BD179" s="331">
        <v>1533</v>
      </c>
      <c r="BE179" s="286">
        <v>333</v>
      </c>
      <c r="BF179" s="286">
        <v>333</v>
      </c>
      <c r="BG179" s="286">
        <v>333</v>
      </c>
      <c r="BH179" s="286">
        <v>333</v>
      </c>
      <c r="BI179" s="161">
        <f>3000-SUM($BA179:BH179)</f>
        <v>-864</v>
      </c>
      <c r="BJ179" s="331">
        <v>1333</v>
      </c>
      <c r="BK179" s="286">
        <v>333</v>
      </c>
      <c r="BL179" s="286">
        <v>333</v>
      </c>
      <c r="BM179" s="286">
        <v>333</v>
      </c>
      <c r="BN179" s="286">
        <v>333</v>
      </c>
      <c r="BO179" s="286">
        <v>333</v>
      </c>
      <c r="BP179" s="286">
        <v>333</v>
      </c>
      <c r="BQ179" s="286">
        <v>333</v>
      </c>
      <c r="BR179" s="286">
        <v>333</v>
      </c>
      <c r="BS179" s="286">
        <v>333</v>
      </c>
      <c r="BT179" s="286">
        <v>333</v>
      </c>
      <c r="BU179" s="286">
        <v>333</v>
      </c>
      <c r="BV179" s="286">
        <v>333</v>
      </c>
      <c r="BW179" s="286">
        <v>333</v>
      </c>
      <c r="BX179" s="161">
        <f>5000-SUM($BJ179:BW179)</f>
        <v>-662</v>
      </c>
      <c r="BY179" s="161"/>
      <c r="BZ179" s="286">
        <v>333</v>
      </c>
      <c r="CA179" s="286">
        <v>333</v>
      </c>
      <c r="CB179" s="286">
        <v>333</v>
      </c>
      <c r="CC179" s="286">
        <v>333</v>
      </c>
      <c r="CD179" s="286">
        <v>333</v>
      </c>
      <c r="CE179" s="286">
        <v>333</v>
      </c>
      <c r="CF179" s="286">
        <v>333</v>
      </c>
      <c r="CG179" s="286">
        <v>333</v>
      </c>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v>333</v>
      </c>
      <c r="DW179" s="186"/>
      <c r="DX179" s="29">
        <f>SUM(E179:DW179)</f>
        <v>28764</v>
      </c>
      <c r="DY179" s="6">
        <f>DX179/TAUXmoyen</f>
        <v>1134.2615342615343</v>
      </c>
    </row>
    <row r="180" spans="2:129" ht="15" thickBot="1">
      <c r="B180" t="s">
        <v>559</v>
      </c>
      <c r="C180" s="74" t="s">
        <v>149</v>
      </c>
      <c r="D180" s="11"/>
      <c r="H180" s="2">
        <v>100</v>
      </c>
      <c r="I180" s="2">
        <f>40+20</f>
        <v>60</v>
      </c>
      <c r="J180" s="2">
        <f>60+25+20</f>
        <v>105</v>
      </c>
      <c r="K180" s="2">
        <v>20</v>
      </c>
      <c r="L180" s="2">
        <v>20</v>
      </c>
      <c r="M180"/>
      <c r="N180">
        <v>90</v>
      </c>
      <c r="O180" s="2">
        <v>100</v>
      </c>
      <c r="P180" s="2">
        <v>120</v>
      </c>
      <c r="Q180" s="2">
        <v>40</v>
      </c>
      <c r="R180" s="2">
        <v>20</v>
      </c>
      <c r="S180" s="2">
        <v>90</v>
      </c>
      <c r="U180" s="142">
        <v>0</v>
      </c>
      <c r="V180" s="142">
        <v>0</v>
      </c>
      <c r="W180" s="142">
        <v>0</v>
      </c>
      <c r="X180"/>
      <c r="Y180"/>
      <c r="Z180" s="142">
        <v>20</v>
      </c>
      <c r="AA180" s="2">
        <v>30</v>
      </c>
      <c r="AB180" s="2">
        <v>30</v>
      </c>
      <c r="AC180" s="2">
        <v>25</v>
      </c>
      <c r="AD180" s="2">
        <v>60</v>
      </c>
      <c r="AH180" s="2">
        <v>65</v>
      </c>
      <c r="AI180" s="2">
        <f>75+40</f>
        <v>115</v>
      </c>
      <c r="AJ180" s="2">
        <v>110</v>
      </c>
      <c r="AK180" s="2">
        <v>30</v>
      </c>
      <c r="AL180" s="2">
        <v>145</v>
      </c>
      <c r="AO180" s="2">
        <v>30</v>
      </c>
      <c r="AP180" s="2">
        <v>30</v>
      </c>
      <c r="AQ180" s="2">
        <v>30</v>
      </c>
      <c r="AR180" s="2">
        <v>60</v>
      </c>
      <c r="AS180" s="2">
        <v>25</v>
      </c>
      <c r="AT180"/>
      <c r="AU180"/>
      <c r="AV180" s="2">
        <v>30</v>
      </c>
      <c r="AW180"/>
      <c r="AX180" s="2">
        <v>40</v>
      </c>
      <c r="AY180" s="306">
        <v>0</v>
      </c>
      <c r="AZ180" s="306">
        <v>261.16322701688557</v>
      </c>
      <c r="BA180" s="306">
        <v>72.545340838023762</v>
      </c>
      <c r="BB180" s="306">
        <v>36.272670419011881</v>
      </c>
      <c r="BC180" s="306">
        <v>0</v>
      </c>
      <c r="BD180" s="306">
        <v>0</v>
      </c>
      <c r="BE180" s="2">
        <v>40</v>
      </c>
      <c r="BF180" s="2">
        <v>30</v>
      </c>
      <c r="BG180" s="2">
        <v>20</v>
      </c>
      <c r="BQ180" s="2">
        <v>170</v>
      </c>
      <c r="CE180" s="2">
        <v>600</v>
      </c>
      <c r="DX180" s="29">
        <f>SUM(E180:DW180)</f>
        <v>2869.981238273921</v>
      </c>
      <c r="DY180" s="6">
        <f>DX180/TAUXmoyen</f>
        <v>113.17304000230828</v>
      </c>
    </row>
    <row r="183" spans="2:129">
      <c r="B183" t="s">
        <v>328</v>
      </c>
      <c r="C183" s="73" t="s">
        <v>630</v>
      </c>
      <c r="D183" s="11"/>
      <c r="E183" s="2">
        <v>0</v>
      </c>
      <c r="F183" s="2">
        <v>0</v>
      </c>
      <c r="G183" s="2">
        <v>0</v>
      </c>
      <c r="H183" s="2">
        <v>20</v>
      </c>
      <c r="I183" s="2">
        <v>30</v>
      </c>
      <c r="J183" s="2">
        <v>60</v>
      </c>
      <c r="K183" s="2">
        <v>15</v>
      </c>
      <c r="L183" s="2">
        <v>30</v>
      </c>
      <c r="M183" s="2">
        <v>110</v>
      </c>
      <c r="N183">
        <v>0</v>
      </c>
      <c r="O183" s="2">
        <v>0</v>
      </c>
      <c r="P183" s="2">
        <v>0</v>
      </c>
      <c r="Q183" s="2">
        <v>0</v>
      </c>
      <c r="R183" s="2">
        <v>0</v>
      </c>
      <c r="S183" s="2">
        <v>0</v>
      </c>
      <c r="T183" s="280">
        <v>144</v>
      </c>
      <c r="U183" s="281">
        <v>391.66800000000001</v>
      </c>
      <c r="V183" s="281">
        <v>179.72027972027973</v>
      </c>
      <c r="W183" s="142">
        <v>45</v>
      </c>
      <c r="X183">
        <v>60</v>
      </c>
      <c r="Y183">
        <v>87</v>
      </c>
      <c r="Z183" s="2">
        <v>0</v>
      </c>
      <c r="AA183" s="2">
        <v>0</v>
      </c>
      <c r="AB183" s="2">
        <v>0</v>
      </c>
      <c r="AC183" s="2">
        <v>45</v>
      </c>
      <c r="AD183" s="2">
        <v>15</v>
      </c>
      <c r="AE183" s="2">
        <v>0</v>
      </c>
      <c r="AF183" s="2">
        <v>20</v>
      </c>
      <c r="AG183" s="2">
        <v>0</v>
      </c>
      <c r="AH183" s="2">
        <v>0</v>
      </c>
      <c r="AI183" s="2">
        <v>180</v>
      </c>
      <c r="AJ183" s="2">
        <v>0</v>
      </c>
      <c r="AK183" s="2">
        <v>0</v>
      </c>
      <c r="AL183" s="2">
        <v>0</v>
      </c>
      <c r="AM183" s="2">
        <v>135</v>
      </c>
      <c r="AN183" s="2">
        <v>0</v>
      </c>
      <c r="AO183" s="2">
        <v>45</v>
      </c>
      <c r="AP183" s="2">
        <v>0</v>
      </c>
      <c r="AQ183" s="2">
        <v>0</v>
      </c>
      <c r="AR183">
        <v>0</v>
      </c>
      <c r="AS183">
        <v>0</v>
      </c>
      <c r="AT183">
        <v>0</v>
      </c>
      <c r="AU183">
        <v>0</v>
      </c>
      <c r="AV183">
        <v>0</v>
      </c>
      <c r="AW183">
        <v>295</v>
      </c>
      <c r="AX183" s="2">
        <v>0</v>
      </c>
      <c r="AY183" s="306">
        <v>428.01751094434024</v>
      </c>
      <c r="AZ183" s="306">
        <v>275.67229518449034</v>
      </c>
      <c r="BA183" s="306">
        <v>311.94496560350217</v>
      </c>
      <c r="BB183" s="306">
        <v>94.308943089430898</v>
      </c>
      <c r="BC183" s="306">
        <v>255.35959974984368</v>
      </c>
      <c r="BD183" s="306">
        <v>72.545340838023762</v>
      </c>
      <c r="BE183" s="2">
        <v>15</v>
      </c>
      <c r="BF183" s="2">
        <v>0</v>
      </c>
      <c r="BG183" s="2">
        <v>13</v>
      </c>
      <c r="BH183" s="2">
        <v>0</v>
      </c>
      <c r="BI183" s="2">
        <v>15</v>
      </c>
      <c r="BJ183" s="2">
        <v>105</v>
      </c>
      <c r="BK183" s="2">
        <v>118</v>
      </c>
      <c r="BL183">
        <v>15</v>
      </c>
      <c r="BM183">
        <v>0</v>
      </c>
      <c r="BN183">
        <v>73</v>
      </c>
      <c r="BO183">
        <v>15</v>
      </c>
      <c r="BP183">
        <v>250</v>
      </c>
      <c r="BQ183">
        <v>45</v>
      </c>
      <c r="BR183">
        <v>0</v>
      </c>
      <c r="BS183">
        <v>0</v>
      </c>
      <c r="BT183">
        <v>0</v>
      </c>
      <c r="BU183">
        <v>13</v>
      </c>
      <c r="BV183">
        <v>0</v>
      </c>
      <c r="BW183">
        <v>0</v>
      </c>
      <c r="BX183">
        <v>0</v>
      </c>
      <c r="BY183">
        <v>110</v>
      </c>
      <c r="BZ183">
        <v>75</v>
      </c>
      <c r="CA183">
        <v>60</v>
      </c>
      <c r="CB183">
        <v>0</v>
      </c>
      <c r="CC183">
        <v>15</v>
      </c>
      <c r="CD183">
        <v>0</v>
      </c>
      <c r="CE183">
        <v>195</v>
      </c>
      <c r="CF183">
        <v>15</v>
      </c>
      <c r="CG183">
        <v>60</v>
      </c>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v>195</v>
      </c>
      <c r="DX183" s="29">
        <f>SUM(E183:DW183)</f>
        <v>4747.2369351299112</v>
      </c>
      <c r="DY183" s="6">
        <f>DX183/TAUXmoyen</f>
        <v>187.19956367485318</v>
      </c>
    </row>
    <row r="184" spans="2:129" ht="15" thickBot="1">
      <c r="B184" t="s">
        <v>328</v>
      </c>
      <c r="C184" s="74"/>
      <c r="D184" s="11"/>
      <c r="M184"/>
      <c r="N184"/>
      <c r="U184" s="142"/>
      <c r="V184" s="142"/>
      <c r="W184" s="142"/>
      <c r="X184"/>
      <c r="Y184"/>
      <c r="AR184"/>
      <c r="AS184"/>
      <c r="AT184"/>
      <c r="AU184"/>
      <c r="AV184"/>
      <c r="AW184"/>
      <c r="AY184" s="306"/>
      <c r="AZ184" s="306"/>
      <c r="BA184" s="306"/>
      <c r="BB184" s="306"/>
      <c r="BC184" s="306"/>
      <c r="BD184" s="306"/>
      <c r="BP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X184" s="29">
        <f>SUM(E184:DW184)</f>
        <v>0</v>
      </c>
      <c r="DY184" s="6">
        <f>DX184/TAUXmoyen</f>
        <v>0</v>
      </c>
    </row>
    <row r="185" spans="2:129" ht="15" thickBot="1">
      <c r="B185" t="s">
        <v>559</v>
      </c>
      <c r="C185" s="74" t="s">
        <v>149</v>
      </c>
      <c r="D185" s="11"/>
      <c r="H185" s="2">
        <v>100</v>
      </c>
      <c r="I185" s="2">
        <f>40+20</f>
        <v>60</v>
      </c>
      <c r="J185" s="2">
        <f>60+25+20</f>
        <v>105</v>
      </c>
      <c r="K185" s="2">
        <v>20</v>
      </c>
      <c r="L185" s="2">
        <v>20</v>
      </c>
      <c r="M185"/>
      <c r="N185">
        <v>90</v>
      </c>
      <c r="O185" s="2">
        <v>100</v>
      </c>
      <c r="P185" s="2">
        <v>120</v>
      </c>
      <c r="Q185" s="2">
        <v>40</v>
      </c>
      <c r="R185" s="2">
        <v>20</v>
      </c>
      <c r="S185" s="2">
        <v>90</v>
      </c>
      <c r="U185" s="142">
        <v>0</v>
      </c>
      <c r="V185" s="142">
        <v>0</v>
      </c>
      <c r="W185" s="142">
        <v>0</v>
      </c>
      <c r="X185"/>
      <c r="Y185"/>
      <c r="Z185" s="142">
        <v>20</v>
      </c>
      <c r="AA185" s="2">
        <v>30</v>
      </c>
      <c r="AB185" s="2">
        <v>30</v>
      </c>
      <c r="AC185" s="2">
        <v>25</v>
      </c>
      <c r="AD185" s="2">
        <v>60</v>
      </c>
      <c r="AH185" s="2">
        <v>65</v>
      </c>
      <c r="AI185" s="2">
        <f>75+40</f>
        <v>115</v>
      </c>
      <c r="AJ185" s="2">
        <v>110</v>
      </c>
      <c r="AK185" s="2">
        <v>30</v>
      </c>
      <c r="AL185" s="2">
        <v>145</v>
      </c>
      <c r="AO185" s="2">
        <v>30</v>
      </c>
      <c r="AP185" s="2">
        <v>30</v>
      </c>
      <c r="AQ185" s="2">
        <v>30</v>
      </c>
      <c r="AR185" s="2">
        <v>60</v>
      </c>
      <c r="AS185" s="2">
        <v>25</v>
      </c>
      <c r="AT185"/>
      <c r="AU185"/>
      <c r="AV185" s="2">
        <v>30</v>
      </c>
      <c r="AW185"/>
      <c r="AX185" s="2">
        <v>40</v>
      </c>
      <c r="AY185" s="306">
        <v>0</v>
      </c>
      <c r="AZ185" s="306">
        <v>261.16322701688557</v>
      </c>
      <c r="BA185" s="306">
        <v>72.545340838023762</v>
      </c>
      <c r="BB185" s="306">
        <v>36.272670419011881</v>
      </c>
      <c r="BC185" s="306">
        <v>0</v>
      </c>
      <c r="BD185" s="306">
        <v>0</v>
      </c>
      <c r="BE185" s="2">
        <v>40</v>
      </c>
      <c r="BF185" s="2">
        <v>30</v>
      </c>
      <c r="BG185" s="2">
        <v>20</v>
      </c>
      <c r="BQ185" s="2">
        <v>170</v>
      </c>
      <c r="CE185" s="2">
        <v>600</v>
      </c>
      <c r="DX185" s="29">
        <f>SUM(E185:DW185)</f>
        <v>2869.981238273921</v>
      </c>
      <c r="DY185" s="6">
        <f>DX185/TAUXmoyen</f>
        <v>113.17304000230828</v>
      </c>
    </row>
    <row r="186" spans="2:129">
      <c r="B186" t="s">
        <v>559</v>
      </c>
      <c r="C186" s="72" t="s">
        <v>560</v>
      </c>
      <c r="D186" s="11"/>
      <c r="F186" s="2">
        <v>350</v>
      </c>
      <c r="M186"/>
      <c r="N186"/>
      <c r="Q186" s="2">
        <v>200</v>
      </c>
      <c r="U186" s="281">
        <v>215.62300000000002</v>
      </c>
      <c r="V186" s="142">
        <v>0</v>
      </c>
      <c r="W186" s="142">
        <v>0</v>
      </c>
      <c r="X186"/>
      <c r="Y186"/>
      <c r="Z186" s="2">
        <v>34</v>
      </c>
      <c r="AA186" s="2">
        <v>80</v>
      </c>
      <c r="AD186" s="2">
        <v>100</v>
      </c>
      <c r="AE186" s="2">
        <v>20</v>
      </c>
      <c r="AF186" s="2">
        <v>20</v>
      </c>
      <c r="AI186" s="2">
        <v>20</v>
      </c>
      <c r="AJ186" s="2">
        <v>100</v>
      </c>
      <c r="AL186" s="2">
        <v>100</v>
      </c>
      <c r="AP186" s="2">
        <v>50</v>
      </c>
      <c r="AR186"/>
      <c r="AS186"/>
      <c r="AT186"/>
      <c r="AU186" s="2">
        <v>95</v>
      </c>
      <c r="AV186"/>
      <c r="AW186"/>
      <c r="AY186" s="306">
        <v>435.2720450281426</v>
      </c>
      <c r="AZ186" s="306">
        <v>0</v>
      </c>
      <c r="BA186" s="306">
        <v>0</v>
      </c>
      <c r="BB186" s="306">
        <v>0</v>
      </c>
      <c r="BC186" s="306">
        <v>0</v>
      </c>
      <c r="BD186"/>
      <c r="BE186" s="306">
        <v>0</v>
      </c>
      <c r="BF186" s="306">
        <v>0</v>
      </c>
      <c r="BH186" s="2">
        <v>0</v>
      </c>
      <c r="BI186" s="2">
        <v>100</v>
      </c>
      <c r="BJ186"/>
      <c r="BK186" s="2">
        <v>250</v>
      </c>
      <c r="BL186" s="2">
        <v>100</v>
      </c>
      <c r="BM186"/>
      <c r="BN186"/>
      <c r="BO186"/>
      <c r="BP186">
        <v>80</v>
      </c>
      <c r="BQ186" s="2">
        <v>60</v>
      </c>
      <c r="BR186"/>
      <c r="BS186"/>
      <c r="BT186"/>
      <c r="BU186"/>
      <c r="BV186"/>
      <c r="BW186"/>
      <c r="BX186"/>
      <c r="BY186" s="100">
        <v>500</v>
      </c>
      <c r="BZ186" s="100">
        <v>430</v>
      </c>
      <c r="CA186">
        <v>100</v>
      </c>
      <c r="CB186">
        <f>50+50</f>
        <v>100</v>
      </c>
      <c r="CC186"/>
      <c r="CD186"/>
      <c r="CE186"/>
      <c r="CF186"/>
      <c r="CG186">
        <v>100</v>
      </c>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X186" s="29">
        <f>SUM(E186:DW186)</f>
        <v>3639.8950450281427</v>
      </c>
      <c r="DY186" s="6">
        <f>DX186/TAUXmoyen</f>
        <v>143.53333814228122</v>
      </c>
    </row>
    <row r="187" spans="2:129">
      <c r="B187" t="s">
        <v>559</v>
      </c>
      <c r="C187" s="73" t="s">
        <v>629</v>
      </c>
      <c r="D187" s="11"/>
      <c r="F187" s="99">
        <v>500</v>
      </c>
      <c r="G187" s="140">
        <v>500</v>
      </c>
      <c r="H187" s="140">
        <v>500</v>
      </c>
      <c r="I187" s="140">
        <v>500</v>
      </c>
      <c r="J187" s="140">
        <v>500</v>
      </c>
      <c r="K187" s="140">
        <v>500</v>
      </c>
      <c r="L187" s="140">
        <v>500</v>
      </c>
      <c r="M187" s="140">
        <v>500</v>
      </c>
      <c r="N187" s="140">
        <v>500</v>
      </c>
      <c r="O187" s="140">
        <v>500</v>
      </c>
      <c r="P187" s="140">
        <v>500</v>
      </c>
      <c r="Q187" s="140">
        <v>500</v>
      </c>
      <c r="R187" s="140">
        <v>500</v>
      </c>
      <c r="S187" s="140">
        <v>500</v>
      </c>
      <c r="T187" s="141">
        <f>500+600</f>
        <v>1100</v>
      </c>
      <c r="U187" s="142">
        <v>0</v>
      </c>
      <c r="V187" s="142">
        <v>0</v>
      </c>
      <c r="W187" s="142">
        <v>338</v>
      </c>
      <c r="X187" s="142">
        <v>333</v>
      </c>
      <c r="Y187" s="142">
        <v>333</v>
      </c>
      <c r="Z187" s="142">
        <v>333</v>
      </c>
      <c r="AA187" s="142">
        <v>333</v>
      </c>
      <c r="AB187" s="142">
        <v>333</v>
      </c>
      <c r="AC187" s="142">
        <v>333</v>
      </c>
      <c r="AD187" s="142">
        <v>333</v>
      </c>
      <c r="AE187" s="142">
        <v>333</v>
      </c>
      <c r="AF187" s="142">
        <v>333</v>
      </c>
      <c r="AG187" s="142">
        <v>333</v>
      </c>
      <c r="AH187" s="142">
        <v>333</v>
      </c>
      <c r="AI187" s="142">
        <v>333</v>
      </c>
      <c r="AJ187" s="142">
        <v>333</v>
      </c>
      <c r="AK187" s="286">
        <v>333</v>
      </c>
      <c r="AL187" s="286">
        <v>333</v>
      </c>
      <c r="AM187" s="286">
        <v>333</v>
      </c>
      <c r="AN187" s="286">
        <v>333</v>
      </c>
      <c r="AO187" s="286">
        <v>333</v>
      </c>
      <c r="AP187" s="286">
        <v>333</v>
      </c>
      <c r="AQ187" s="286">
        <v>333</v>
      </c>
      <c r="AR187" s="286">
        <v>333</v>
      </c>
      <c r="AS187" s="286">
        <v>333</v>
      </c>
      <c r="AT187" s="286">
        <v>333</v>
      </c>
      <c r="AU187" s="286">
        <v>333</v>
      </c>
      <c r="AV187" s="286">
        <v>333</v>
      </c>
      <c r="AW187" s="286">
        <v>333</v>
      </c>
      <c r="AX187" s="286">
        <v>333</v>
      </c>
      <c r="AY187" s="161">
        <f>5000-SUM($AK187:AX187)</f>
        <v>338</v>
      </c>
      <c r="AZ187" s="286"/>
      <c r="BA187" s="286">
        <v>333</v>
      </c>
      <c r="BB187" s="286">
        <v>333</v>
      </c>
      <c r="BC187" s="286">
        <v>333</v>
      </c>
      <c r="BD187" s="331">
        <v>1533</v>
      </c>
      <c r="BE187" s="286">
        <v>333</v>
      </c>
      <c r="BF187" s="286">
        <v>333</v>
      </c>
      <c r="BG187" s="286">
        <v>333</v>
      </c>
      <c r="BH187" s="286">
        <v>333</v>
      </c>
      <c r="BI187" s="161">
        <f>3000-SUM($BA187:BH187)</f>
        <v>-864</v>
      </c>
      <c r="BJ187" s="331">
        <v>1333</v>
      </c>
      <c r="BK187" s="286">
        <v>333</v>
      </c>
      <c r="BL187" s="286">
        <v>333</v>
      </c>
      <c r="BM187" s="286">
        <v>333</v>
      </c>
      <c r="BN187" s="286">
        <v>333</v>
      </c>
      <c r="BO187" s="286">
        <v>333</v>
      </c>
      <c r="BP187" s="286">
        <v>333</v>
      </c>
      <c r="BQ187" s="286">
        <v>333</v>
      </c>
      <c r="BR187" s="286">
        <v>333</v>
      </c>
      <c r="BS187" s="286">
        <v>333</v>
      </c>
      <c r="BT187" s="286">
        <v>333</v>
      </c>
      <c r="BU187" s="286">
        <v>333</v>
      </c>
      <c r="BV187" s="286">
        <v>333</v>
      </c>
      <c r="BW187" s="286">
        <v>333</v>
      </c>
      <c r="BX187" s="161">
        <f>5000-SUM($BJ187:BW187)</f>
        <v>-662</v>
      </c>
      <c r="BY187" s="161"/>
      <c r="BZ187" s="286">
        <v>333</v>
      </c>
      <c r="CA187" s="286">
        <v>333</v>
      </c>
      <c r="CB187" s="286">
        <v>333</v>
      </c>
      <c r="CC187" s="286">
        <v>333</v>
      </c>
      <c r="CD187" s="286">
        <v>333</v>
      </c>
      <c r="CE187" s="286">
        <v>333</v>
      </c>
      <c r="CF187" s="286">
        <v>333</v>
      </c>
      <c r="CG187" s="286">
        <v>333</v>
      </c>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v>333</v>
      </c>
      <c r="DW187" s="186"/>
      <c r="DX187" s="29">
        <f>SUM(E187:DW187)</f>
        <v>28764</v>
      </c>
      <c r="DY187" s="6">
        <f>DX187/TAUXmoyen</f>
        <v>1134.2615342615343</v>
      </c>
    </row>
  </sheetData>
  <autoFilter ref="B11:DX33"/>
  <phoneticPr fontId="11" type="noConversion"/>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B1:AC750"/>
  <sheetViews>
    <sheetView zoomScale="85" zoomScaleNormal="85" workbookViewId="0">
      <selection activeCell="O23" sqref="O23"/>
    </sheetView>
  </sheetViews>
  <sheetFormatPr baseColWidth="10" defaultRowHeight="14.4" outlineLevelRow="1" outlineLevelCol="1"/>
  <cols>
    <col min="1" max="1" width="3.33203125" customWidth="1"/>
    <col min="2" max="2" width="8.33203125" hidden="1" customWidth="1" outlineLevel="1"/>
    <col min="3" max="3" width="20.109375" hidden="1" customWidth="1" outlineLevel="1"/>
    <col min="4" max="6" width="8.33203125" hidden="1" customWidth="1" outlineLevel="1"/>
    <col min="7" max="7" width="6.33203125" customWidth="1" collapsed="1"/>
    <col min="8" max="8" width="6.33203125" customWidth="1"/>
    <col min="11" max="11" width="10.33203125" customWidth="1"/>
    <col min="13" max="13" width="9.5546875" customWidth="1"/>
    <col min="14" max="14" width="8.33203125" customWidth="1"/>
    <col min="15" max="15" width="9.33203125" bestFit="1" customWidth="1"/>
    <col min="16" max="16" width="11.6640625" customWidth="1"/>
    <col min="17" max="17" width="9.109375" customWidth="1"/>
    <col min="18" max="18" width="8.44140625" customWidth="1"/>
    <col min="19" max="19" width="10.6640625" style="2" customWidth="1"/>
    <col min="20" max="20" width="8" style="2" customWidth="1"/>
    <col min="21" max="21" width="10.44140625" style="2" customWidth="1"/>
    <col min="22" max="22" width="10" style="2" customWidth="1"/>
    <col min="23" max="23" width="10.33203125" style="2" customWidth="1"/>
  </cols>
  <sheetData>
    <row r="1" spans="4:24" ht="15" thickBot="1">
      <c r="U1" s="4"/>
      <c r="V1" s="4" t="s">
        <v>725</v>
      </c>
      <c r="X1" s="2"/>
    </row>
    <row r="2" spans="4:24" ht="15" thickBot="1">
      <c r="D2" s="4" t="s">
        <v>697</v>
      </c>
      <c r="M2" s="2" t="s">
        <v>725</v>
      </c>
      <c r="T2" s="4" t="s">
        <v>777</v>
      </c>
      <c r="U2" s="4" t="s">
        <v>776</v>
      </c>
      <c r="V2" s="4" t="s">
        <v>687</v>
      </c>
      <c r="W2" s="424">
        <v>2000</v>
      </c>
      <c r="X2" s="2"/>
    </row>
    <row r="3" spans="4:24">
      <c r="I3" s="4" t="s">
        <v>11</v>
      </c>
      <c r="J3" s="4" t="s">
        <v>10</v>
      </c>
      <c r="K3" s="4" t="s">
        <v>759</v>
      </c>
      <c r="L3" s="4" t="s">
        <v>760</v>
      </c>
      <c r="M3" s="2" t="s">
        <v>687</v>
      </c>
      <c r="N3" s="4"/>
      <c r="O3" s="4" t="s">
        <v>66</v>
      </c>
      <c r="S3" s="418" t="s">
        <v>704</v>
      </c>
      <c r="T3" s="2">
        <v>4000</v>
      </c>
      <c r="V3" s="280">
        <v>2098</v>
      </c>
      <c r="X3" s="419">
        <v>6098</v>
      </c>
    </row>
    <row r="4" spans="4:24">
      <c r="I4" s="5">
        <v>44883</v>
      </c>
      <c r="J4" s="30" t="s">
        <v>309</v>
      </c>
      <c r="K4" s="7">
        <v>900</v>
      </c>
      <c r="L4" s="7"/>
      <c r="M4" s="7"/>
      <c r="N4" s="109">
        <v>900</v>
      </c>
      <c r="O4" s="326">
        <v>25.4</v>
      </c>
      <c r="P4" s="29">
        <v>22860</v>
      </c>
      <c r="S4" s="418" t="s">
        <v>775</v>
      </c>
      <c r="T4" s="2">
        <v>3000</v>
      </c>
      <c r="U4" s="24">
        <v>770</v>
      </c>
      <c r="X4" s="419">
        <v>3770</v>
      </c>
    </row>
    <row r="5" spans="4:24">
      <c r="I5" s="5"/>
      <c r="J5" s="30" t="s">
        <v>696</v>
      </c>
      <c r="K5" s="7"/>
      <c r="L5" s="7"/>
      <c r="M5" s="133">
        <v>157.47999999999999</v>
      </c>
      <c r="N5" s="109">
        <v>157.47999999999999</v>
      </c>
      <c r="O5" s="326">
        <v>25.4</v>
      </c>
      <c r="P5" s="29">
        <v>3999.9919999999997</v>
      </c>
      <c r="S5" s="4" t="s">
        <v>762</v>
      </c>
      <c r="T5" s="4">
        <v>7000</v>
      </c>
      <c r="U5" s="4">
        <v>770</v>
      </c>
      <c r="V5" s="4">
        <v>2098</v>
      </c>
      <c r="W5" s="4"/>
      <c r="X5" s="161">
        <v>9868</v>
      </c>
    </row>
    <row r="6" spans="4:24">
      <c r="I6" s="5">
        <v>44895</v>
      </c>
      <c r="J6" s="30"/>
      <c r="K6" s="7">
        <v>500</v>
      </c>
      <c r="L6" s="7"/>
      <c r="M6" s="7"/>
      <c r="N6" s="109">
        <v>500</v>
      </c>
      <c r="O6" s="31">
        <v>25.4</v>
      </c>
      <c r="P6" s="29">
        <v>12700</v>
      </c>
      <c r="S6" s="409" t="s">
        <v>571</v>
      </c>
      <c r="T6" s="24">
        <v>-6530</v>
      </c>
      <c r="U6" s="24">
        <v>-770</v>
      </c>
      <c r="V6" s="24">
        <v>-2098.1999999999998</v>
      </c>
      <c r="X6" s="161">
        <v>-9398.2000000000007</v>
      </c>
    </row>
    <row r="7" spans="4:24">
      <c r="I7" s="5"/>
      <c r="J7" s="30" t="s">
        <v>698</v>
      </c>
      <c r="K7" s="7"/>
      <c r="L7" s="7"/>
      <c r="M7" s="133">
        <v>472.45</v>
      </c>
      <c r="N7" s="109">
        <v>472.45</v>
      </c>
      <c r="O7" s="31">
        <v>25.4</v>
      </c>
      <c r="P7" s="29">
        <v>12000.23</v>
      </c>
      <c r="S7" s="409" t="s">
        <v>705</v>
      </c>
      <c r="T7" s="24">
        <v>470</v>
      </c>
      <c r="U7" s="24">
        <v>0</v>
      </c>
      <c r="V7" s="24">
        <v>-0.1999999999998181</v>
      </c>
      <c r="X7" s="161">
        <v>469.80000000000018</v>
      </c>
    </row>
    <row r="8" spans="4:24">
      <c r="I8" s="5">
        <v>44903</v>
      </c>
      <c r="J8" s="30"/>
      <c r="K8" s="7">
        <v>500</v>
      </c>
      <c r="L8" s="7"/>
      <c r="M8" s="133"/>
      <c r="N8" s="109">
        <v>500</v>
      </c>
      <c r="O8" s="177">
        <v>24.95</v>
      </c>
      <c r="P8" s="29">
        <v>12475</v>
      </c>
      <c r="S8"/>
      <c r="T8" s="9"/>
      <c r="U8"/>
      <c r="V8"/>
      <c r="W8"/>
    </row>
    <row r="9" spans="4:24">
      <c r="I9" s="5">
        <v>44916</v>
      </c>
      <c r="J9" s="30"/>
      <c r="K9" s="7">
        <v>500</v>
      </c>
      <c r="L9" s="7"/>
      <c r="M9" s="133"/>
      <c r="N9" s="109">
        <v>500</v>
      </c>
      <c r="O9" s="31">
        <v>25.1</v>
      </c>
      <c r="P9" s="29">
        <v>12550</v>
      </c>
      <c r="S9"/>
      <c r="T9"/>
      <c r="U9"/>
      <c r="V9"/>
      <c r="W9"/>
    </row>
    <row r="10" spans="4:24">
      <c r="I10" s="5">
        <v>44927</v>
      </c>
      <c r="J10" s="30" t="s">
        <v>736</v>
      </c>
      <c r="K10" s="7"/>
      <c r="L10" s="7"/>
      <c r="M10" s="133">
        <v>476.19</v>
      </c>
      <c r="N10" s="109">
        <v>476.19</v>
      </c>
      <c r="O10" s="31">
        <v>25.2</v>
      </c>
      <c r="P10" s="399">
        <v>11999.987999999999</v>
      </c>
      <c r="T10"/>
      <c r="U10" t="s">
        <v>756</v>
      </c>
      <c r="V10" t="s">
        <v>755</v>
      </c>
      <c r="W10"/>
    </row>
    <row r="11" spans="4:24">
      <c r="I11" s="5">
        <v>44939</v>
      </c>
      <c r="J11" s="30" t="s">
        <v>765</v>
      </c>
      <c r="K11" s="7"/>
      <c r="L11" s="7">
        <v>770</v>
      </c>
      <c r="M11" s="133"/>
      <c r="N11" s="109">
        <v>770</v>
      </c>
      <c r="O11" s="31">
        <v>25.2</v>
      </c>
      <c r="P11" s="400">
        <v>19404</v>
      </c>
      <c r="T11" t="s">
        <v>757</v>
      </c>
      <c r="U11" s="29">
        <v>6700</v>
      </c>
      <c r="V11" s="406">
        <v>648</v>
      </c>
      <c r="W11" s="29">
        <v>7348</v>
      </c>
    </row>
    <row r="12" spans="4:24">
      <c r="I12" s="5">
        <v>44940</v>
      </c>
      <c r="J12" s="30" t="s">
        <v>774</v>
      </c>
      <c r="K12" s="416">
        <v>500</v>
      </c>
      <c r="L12" s="7"/>
      <c r="M12" s="133"/>
      <c r="N12" s="109">
        <v>500</v>
      </c>
      <c r="O12" s="31">
        <v>25.25</v>
      </c>
      <c r="P12" s="400">
        <v>12625</v>
      </c>
      <c r="T12" t="s">
        <v>758</v>
      </c>
      <c r="U12" s="29">
        <v>13000</v>
      </c>
      <c r="V12" s="406">
        <v>1316</v>
      </c>
      <c r="W12" s="400">
        <v>14316</v>
      </c>
    </row>
    <row r="13" spans="4:24">
      <c r="I13" s="5">
        <v>44949</v>
      </c>
      <c r="J13" s="30" t="s">
        <v>760</v>
      </c>
      <c r="K13" s="7">
        <v>1200</v>
      </c>
      <c r="L13" s="427" t="s">
        <v>786</v>
      </c>
      <c r="M13" s="133"/>
      <c r="N13" s="109">
        <v>1200</v>
      </c>
      <c r="O13" s="31">
        <v>25.2</v>
      </c>
      <c r="P13" s="400">
        <v>30240</v>
      </c>
      <c r="T13" t="s">
        <v>32</v>
      </c>
      <c r="U13" s="29">
        <v>19404</v>
      </c>
      <c r="V13" s="29">
        <v>1965.6</v>
      </c>
      <c r="W13" s="29">
        <v>21369.599999999999</v>
      </c>
    </row>
    <row r="14" spans="4:24">
      <c r="H14" s="139" t="s">
        <v>806</v>
      </c>
      <c r="I14" s="5">
        <v>44956</v>
      </c>
      <c r="J14" s="30"/>
      <c r="K14" s="7">
        <v>800</v>
      </c>
      <c r="L14" s="427" t="s">
        <v>786</v>
      </c>
      <c r="M14" s="133"/>
      <c r="N14" s="109">
        <v>800</v>
      </c>
      <c r="O14" s="31">
        <v>25.24</v>
      </c>
      <c r="P14" s="400">
        <v>20192</v>
      </c>
      <c r="Q14" t="s">
        <v>805</v>
      </c>
      <c r="T14"/>
      <c r="U14" s="405">
        <v>770</v>
      </c>
      <c r="V14" s="404">
        <v>78</v>
      </c>
      <c r="W14" s="404">
        <v>848</v>
      </c>
    </row>
    <row r="15" spans="4:24">
      <c r="H15" s="139" t="s">
        <v>808</v>
      </c>
      <c r="I15" s="5">
        <v>44957</v>
      </c>
      <c r="J15" s="30"/>
      <c r="K15" s="7">
        <v>500</v>
      </c>
      <c r="L15" s="7"/>
      <c r="M15" s="437"/>
      <c r="N15" s="109">
        <v>500</v>
      </c>
      <c r="O15" s="31">
        <v>25.24</v>
      </c>
      <c r="P15" s="400">
        <v>12620</v>
      </c>
      <c r="Q15" t="s">
        <v>807</v>
      </c>
      <c r="S15"/>
    </row>
    <row r="16" spans="4:24" ht="15" thickBot="1">
      <c r="I16" s="5">
        <v>44963</v>
      </c>
      <c r="J16" s="30" t="s">
        <v>837</v>
      </c>
      <c r="K16" s="7">
        <v>400</v>
      </c>
      <c r="L16" s="7"/>
      <c r="M16" s="133"/>
      <c r="N16" s="109">
        <v>400</v>
      </c>
      <c r="O16" s="31">
        <v>25.2</v>
      </c>
      <c r="P16" s="400">
        <v>10080</v>
      </c>
      <c r="S16"/>
    </row>
    <row r="17" spans="9:29">
      <c r="I17" s="5">
        <v>44970</v>
      </c>
      <c r="J17" s="30" t="s">
        <v>841</v>
      </c>
      <c r="K17" s="7">
        <v>350</v>
      </c>
      <c r="L17" s="7"/>
      <c r="M17" s="133"/>
      <c r="N17" s="109">
        <v>350</v>
      </c>
      <c r="O17" s="31">
        <v>25.24</v>
      </c>
      <c r="P17" s="400">
        <v>8834</v>
      </c>
      <c r="S17" s="420">
        <v>2000</v>
      </c>
      <c r="T17" s="421">
        <v>400</v>
      </c>
      <c r="U17" s="253" t="s">
        <v>782</v>
      </c>
      <c r="V17" s="253"/>
      <c r="W17" s="253"/>
      <c r="X17" s="275"/>
    </row>
    <row r="18" spans="9:29">
      <c r="I18" s="296">
        <v>44976</v>
      </c>
      <c r="J18" s="30" t="s">
        <v>860</v>
      </c>
      <c r="K18" s="7"/>
      <c r="L18" s="7"/>
      <c r="M18" s="133">
        <v>99.21</v>
      </c>
      <c r="N18" s="109">
        <v>99.21</v>
      </c>
      <c r="O18" s="31">
        <v>25.2</v>
      </c>
      <c r="P18" s="400">
        <v>2500.0919999999996</v>
      </c>
      <c r="S18" s="250"/>
      <c r="T18" s="422">
        <v>800</v>
      </c>
      <c r="U18" s="365" t="s">
        <v>764</v>
      </c>
      <c r="V18" s="365"/>
      <c r="W18" s="365" t="s">
        <v>766</v>
      </c>
      <c r="X18" s="257"/>
    </row>
    <row r="19" spans="9:29">
      <c r="I19" s="296">
        <v>44976</v>
      </c>
      <c r="J19" s="30" t="s">
        <v>861</v>
      </c>
      <c r="K19" s="7"/>
      <c r="L19" s="7"/>
      <c r="M19" s="133">
        <v>396.83</v>
      </c>
      <c r="N19" s="109">
        <v>396.83</v>
      </c>
      <c r="O19" s="31">
        <v>25.2</v>
      </c>
      <c r="P19" s="400">
        <v>10000.116</v>
      </c>
      <c r="S19" s="248"/>
      <c r="T19" s="422">
        <v>800</v>
      </c>
      <c r="U19" s="365" t="s">
        <v>763</v>
      </c>
      <c r="V19" s="428" t="s">
        <v>788</v>
      </c>
      <c r="W19" s="365"/>
      <c r="X19" s="257"/>
    </row>
    <row r="20" spans="9:29" ht="15" thickBot="1">
      <c r="J20" s="30"/>
      <c r="K20" s="7"/>
      <c r="L20" s="7"/>
      <c r="M20" s="133">
        <v>496.04</v>
      </c>
      <c r="N20" s="109">
        <v>496.04</v>
      </c>
      <c r="O20" s="31">
        <v>25.2</v>
      </c>
      <c r="P20" s="400">
        <v>12500.208000000001</v>
      </c>
      <c r="S20" s="251"/>
      <c r="T20" s="423">
        <v>2000</v>
      </c>
      <c r="U20" s="276"/>
      <c r="V20" s="276"/>
      <c r="W20" s="276"/>
      <c r="X20" s="277"/>
    </row>
    <row r="21" spans="9:29">
      <c r="I21" s="5">
        <v>44993</v>
      </c>
      <c r="J21" s="30"/>
      <c r="K21" s="7">
        <v>380</v>
      </c>
      <c r="L21" s="7"/>
      <c r="M21" s="133"/>
      <c r="N21" s="109">
        <v>380</v>
      </c>
      <c r="O21" s="31">
        <v>25.2</v>
      </c>
      <c r="P21" s="400">
        <v>9576</v>
      </c>
      <c r="Q21" t="s">
        <v>982</v>
      </c>
      <c r="S21" s="365"/>
      <c r="T21" s="422"/>
      <c r="U21" s="365"/>
      <c r="V21" s="365"/>
      <c r="W21" s="365"/>
      <c r="X21" s="365"/>
    </row>
    <row r="22" spans="9:29">
      <c r="I22" s="8" t="s">
        <v>14</v>
      </c>
      <c r="J22" t="s">
        <v>591</v>
      </c>
      <c r="K22" s="214">
        <v>6530</v>
      </c>
      <c r="L22" s="214">
        <v>770</v>
      </c>
      <c r="M22" s="347">
        <v>2098.1999999999998</v>
      </c>
      <c r="N22" s="214">
        <v>9398.2000000000025</v>
      </c>
      <c r="O22" s="32">
        <v>25.234260390287496</v>
      </c>
      <c r="P22" s="29">
        <v>237156.62600000002</v>
      </c>
      <c r="S22" s="365"/>
      <c r="T22" s="422"/>
      <c r="U22" s="365"/>
      <c r="V22" s="365"/>
      <c r="W22" s="365"/>
      <c r="X22" s="365"/>
    </row>
    <row r="23" spans="9:29">
      <c r="J23" s="8"/>
      <c r="L23" s="25"/>
      <c r="M23" s="25"/>
      <c r="N23" s="25"/>
      <c r="P23" s="429">
        <v>9398.2000000000025</v>
      </c>
      <c r="S23" s="365"/>
      <c r="T23" s="422"/>
      <c r="U23" s="365"/>
      <c r="V23" s="365"/>
      <c r="W23" s="365"/>
      <c r="X23" s="365"/>
    </row>
    <row r="24" spans="9:29">
      <c r="J24" s="2"/>
      <c r="O24" s="22">
        <v>25.234260390287496</v>
      </c>
      <c r="S24" s="365"/>
      <c r="T24" s="422"/>
      <c r="U24" s="365"/>
      <c r="V24" s="365"/>
      <c r="W24" s="365"/>
      <c r="X24" s="365"/>
    </row>
    <row r="25" spans="9:29">
      <c r="J25" s="2"/>
      <c r="O25" s="22"/>
      <c r="S25" s="365"/>
      <c r="T25" s="422"/>
      <c r="U25" s="365"/>
      <c r="V25" s="365"/>
      <c r="W25" s="365"/>
      <c r="X25" s="365"/>
    </row>
    <row r="26" spans="9:29">
      <c r="J26" s="2"/>
      <c r="O26" s="22"/>
      <c r="S26" s="365"/>
      <c r="T26" s="422"/>
      <c r="U26" s="365"/>
      <c r="V26" s="365"/>
      <c r="W26" s="365"/>
      <c r="X26" s="365"/>
    </row>
    <row r="27" spans="9:29">
      <c r="T27" s="408"/>
    </row>
    <row r="28" spans="9:29" hidden="1" outlineLevel="1">
      <c r="J28" s="292" t="s">
        <v>634</v>
      </c>
      <c r="K28" s="188"/>
      <c r="L28" s="188"/>
      <c r="M28" s="188"/>
      <c r="N28" s="188"/>
      <c r="O28" s="188"/>
      <c r="P28" s="188"/>
      <c r="Q28" s="188"/>
      <c r="R28" s="188" t="s">
        <v>578</v>
      </c>
      <c r="S28" s="293"/>
      <c r="T28" s="293"/>
      <c r="U28" s="293"/>
      <c r="V28" s="293"/>
      <c r="W28" s="293"/>
      <c r="X28" s="188" t="s">
        <v>75</v>
      </c>
      <c r="Y28" s="188"/>
      <c r="Z28" s="189"/>
      <c r="AC28" s="300" t="s">
        <v>585</v>
      </c>
    </row>
    <row r="29" spans="9:29" hidden="1" outlineLevel="1">
      <c r="J29" s="67"/>
      <c r="K29" t="s">
        <v>565</v>
      </c>
      <c r="L29" s="2"/>
      <c r="M29" s="2"/>
      <c r="N29" s="2" t="s">
        <v>583</v>
      </c>
      <c r="O29" s="2" t="s">
        <v>583</v>
      </c>
      <c r="T29" s="4">
        <v>4000</v>
      </c>
      <c r="W29" s="2" t="s">
        <v>565</v>
      </c>
      <c r="X29" s="2">
        <v>4000</v>
      </c>
      <c r="Z29" s="68"/>
      <c r="AC29" s="43" t="e">
        <v>#REF!</v>
      </c>
    </row>
    <row r="30" spans="9:29" hidden="1" outlineLevel="1">
      <c r="J30" s="67"/>
      <c r="K30" s="2" t="s">
        <v>76</v>
      </c>
      <c r="L30" s="4">
        <v>200</v>
      </c>
      <c r="M30" s="2"/>
      <c r="N30" s="2"/>
      <c r="O30" s="2"/>
      <c r="P30" s="2"/>
      <c r="W30" s="2" t="s">
        <v>563</v>
      </c>
      <c r="X30" s="309">
        <v>0</v>
      </c>
      <c r="Z30" s="294">
        <v>9378.1173248311206</v>
      </c>
      <c r="AC30" s="310" t="e">
        <v>#REF!</v>
      </c>
    </row>
    <row r="31" spans="9:29" hidden="1" outlineLevel="1">
      <c r="J31" s="67"/>
      <c r="K31" s="2" t="s">
        <v>76</v>
      </c>
      <c r="L31" s="4">
        <v>100</v>
      </c>
      <c r="M31" s="2" t="s">
        <v>141</v>
      </c>
      <c r="N31" s="2" t="s">
        <v>633</v>
      </c>
      <c r="O31" s="2"/>
      <c r="P31" s="2"/>
      <c r="X31" s="142">
        <v>4000</v>
      </c>
      <c r="Z31" s="68"/>
      <c r="AC31" s="301" t="e">
        <v>#REF!</v>
      </c>
    </row>
    <row r="32" spans="9:29" hidden="1" outlineLevel="1">
      <c r="J32" s="67"/>
      <c r="K32" s="2" t="s">
        <v>76</v>
      </c>
      <c r="L32" s="4">
        <v>50</v>
      </c>
      <c r="M32" s="2">
        <v>17</v>
      </c>
      <c r="N32" s="2">
        <v>1</v>
      </c>
      <c r="O32" s="2">
        <v>60</v>
      </c>
      <c r="P32" s="2"/>
      <c r="Q32" s="4">
        <v>78</v>
      </c>
      <c r="X32" s="2"/>
      <c r="Z32" s="68"/>
      <c r="AC32" s="43"/>
    </row>
    <row r="33" spans="10:29" hidden="1" outlineLevel="1">
      <c r="J33" s="67"/>
      <c r="K33" s="2" t="s">
        <v>76</v>
      </c>
      <c r="L33" s="4">
        <v>20</v>
      </c>
      <c r="M33" s="2"/>
      <c r="N33" s="2"/>
      <c r="O33" s="2">
        <v>4</v>
      </c>
      <c r="P33" s="2"/>
      <c r="Q33" s="4">
        <v>4</v>
      </c>
      <c r="X33" s="2"/>
      <c r="Z33" s="68"/>
      <c r="AC33" s="43"/>
    </row>
    <row r="34" spans="10:29" hidden="1" outlineLevel="1">
      <c r="J34" s="67"/>
      <c r="K34" s="2" t="s">
        <v>76</v>
      </c>
      <c r="L34" s="4">
        <v>10</v>
      </c>
      <c r="M34" s="2"/>
      <c r="N34" s="2"/>
      <c r="O34" s="2">
        <v>2</v>
      </c>
      <c r="P34" s="2"/>
      <c r="Q34" s="4">
        <v>2</v>
      </c>
      <c r="W34" s="2" t="s">
        <v>75</v>
      </c>
      <c r="X34" s="2">
        <v>4000</v>
      </c>
      <c r="Z34" s="68"/>
      <c r="AC34" s="43" t="e">
        <v>#REF!</v>
      </c>
    </row>
    <row r="35" spans="10:29" hidden="1" outlineLevel="1">
      <c r="J35" s="67"/>
      <c r="K35" s="4" t="s">
        <v>75</v>
      </c>
      <c r="M35" s="2">
        <v>850</v>
      </c>
      <c r="N35" s="2">
        <v>50</v>
      </c>
      <c r="O35" s="2">
        <v>3100</v>
      </c>
      <c r="P35" s="2">
        <v>0</v>
      </c>
      <c r="Q35" s="4">
        <v>4000</v>
      </c>
      <c r="W35" s="2" t="s">
        <v>77</v>
      </c>
      <c r="X35" s="14">
        <v>0</v>
      </c>
      <c r="Z35" s="68"/>
      <c r="AA35" s="121" t="s">
        <v>11</v>
      </c>
      <c r="AB35" s="240">
        <v>0</v>
      </c>
      <c r="AC35" s="301" t="e">
        <v>#REF!</v>
      </c>
    </row>
    <row r="36" spans="10:29" hidden="1" outlineLevel="1">
      <c r="J36" s="67"/>
      <c r="M36" s="2"/>
      <c r="N36" s="2"/>
      <c r="O36" s="2"/>
      <c r="P36" s="2"/>
      <c r="W36" s="2" t="s">
        <v>562</v>
      </c>
      <c r="X36" s="14">
        <v>4000</v>
      </c>
      <c r="Z36" s="68"/>
      <c r="AA36" s="299" t="s">
        <v>587</v>
      </c>
      <c r="AB36" s="4">
        <v>0</v>
      </c>
      <c r="AC36" s="301" t="e">
        <v>#REF!</v>
      </c>
    </row>
    <row r="37" spans="10:29" hidden="1" outlineLevel="1">
      <c r="J37" s="67"/>
      <c r="K37" s="2" t="s">
        <v>76</v>
      </c>
      <c r="L37" s="4">
        <v>500</v>
      </c>
      <c r="M37" s="2"/>
      <c r="N37" s="2"/>
      <c r="O37" s="2"/>
      <c r="P37" s="2"/>
      <c r="Q37" s="4">
        <v>0</v>
      </c>
      <c r="S37" s="2" t="s">
        <v>571</v>
      </c>
      <c r="T37" s="4">
        <v>0</v>
      </c>
      <c r="U37" s="4" t="s">
        <v>17</v>
      </c>
      <c r="X37" s="2"/>
      <c r="Z37" s="68"/>
      <c r="AA37" s="92"/>
      <c r="AB37" s="297">
        <v>4000</v>
      </c>
      <c r="AC37" s="43"/>
    </row>
    <row r="38" spans="10:29" hidden="1" outlineLevel="1">
      <c r="J38" s="67"/>
      <c r="K38" s="2" t="s">
        <v>76</v>
      </c>
      <c r="L38" s="4">
        <v>500</v>
      </c>
      <c r="M38" s="2"/>
      <c r="N38" s="2"/>
      <c r="O38" s="2"/>
      <c r="P38" s="2"/>
      <c r="Q38" s="4">
        <v>0</v>
      </c>
      <c r="T38" s="4">
        <v>0</v>
      </c>
      <c r="U38" s="4" t="s">
        <v>135</v>
      </c>
      <c r="X38" s="2"/>
      <c r="Z38" s="68"/>
      <c r="AC38" s="43"/>
    </row>
    <row r="39" spans="10:29" hidden="1" outlineLevel="1">
      <c r="J39" s="67"/>
      <c r="K39" s="2" t="s">
        <v>76</v>
      </c>
      <c r="L39" s="4">
        <v>200</v>
      </c>
      <c r="M39" s="2"/>
      <c r="N39" s="2"/>
      <c r="O39" s="2"/>
      <c r="P39" s="2"/>
      <c r="Q39" s="4">
        <v>0</v>
      </c>
      <c r="W39" s="2" t="s">
        <v>584</v>
      </c>
      <c r="X39" s="203">
        <v>0</v>
      </c>
      <c r="Z39" s="68"/>
      <c r="AC39" s="203" t="e">
        <v>#REF!</v>
      </c>
    </row>
    <row r="40" spans="10:29" hidden="1" outlineLevel="1">
      <c r="J40" s="67"/>
      <c r="K40" s="2" t="s">
        <v>76</v>
      </c>
      <c r="L40" s="4">
        <v>100</v>
      </c>
      <c r="M40" s="2"/>
      <c r="N40" s="2"/>
      <c r="O40" s="2"/>
      <c r="P40" s="2"/>
      <c r="Q40" s="4">
        <v>0</v>
      </c>
      <c r="Z40" s="68"/>
    </row>
    <row r="41" spans="10:29" hidden="1" outlineLevel="1">
      <c r="J41" s="67"/>
      <c r="K41" s="2" t="s">
        <v>76</v>
      </c>
      <c r="L41" s="4">
        <v>50</v>
      </c>
      <c r="M41" s="2"/>
      <c r="N41" s="2"/>
      <c r="O41" s="2"/>
      <c r="P41" s="2"/>
      <c r="Q41" s="4">
        <v>0</v>
      </c>
      <c r="Y41" s="2"/>
      <c r="Z41" s="68"/>
    </row>
    <row r="42" spans="10:29" hidden="1" outlineLevel="1">
      <c r="J42" s="67"/>
      <c r="K42" s="2" t="s">
        <v>76</v>
      </c>
      <c r="L42" s="4">
        <v>20</v>
      </c>
      <c r="M42" s="2"/>
      <c r="N42" s="2"/>
      <c r="O42" s="2"/>
      <c r="P42" s="2"/>
      <c r="Q42" s="4">
        <v>0</v>
      </c>
      <c r="T42" s="6"/>
      <c r="X42" s="2"/>
      <c r="Y42" s="2"/>
      <c r="Z42" s="125"/>
    </row>
    <row r="43" spans="10:29" hidden="1" outlineLevel="1">
      <c r="J43" s="67"/>
      <c r="K43" s="2" t="s">
        <v>76</v>
      </c>
      <c r="L43" s="4">
        <v>10</v>
      </c>
      <c r="M43" s="2"/>
      <c r="N43" s="2"/>
      <c r="O43" s="2"/>
      <c r="P43" s="2"/>
      <c r="Q43" s="4">
        <v>0</v>
      </c>
      <c r="X43" s="4" t="s">
        <v>75</v>
      </c>
      <c r="Y43" s="4" t="s">
        <v>77</v>
      </c>
      <c r="Z43" s="126" t="s">
        <v>590</v>
      </c>
    </row>
    <row r="44" spans="10:29" hidden="1" outlineLevel="1">
      <c r="J44" s="67"/>
      <c r="K44" s="2" t="s">
        <v>76</v>
      </c>
      <c r="L44" s="4">
        <v>5</v>
      </c>
      <c r="M44" s="2"/>
      <c r="N44" s="2"/>
      <c r="O44" s="2"/>
      <c r="P44" s="2"/>
      <c r="Q44" s="4">
        <v>0</v>
      </c>
      <c r="V44" s="2" t="s">
        <v>588</v>
      </c>
      <c r="W44" s="2" t="s">
        <v>9</v>
      </c>
      <c r="X44" s="142">
        <v>4000</v>
      </c>
      <c r="Y44" s="142">
        <v>100937.04156114998</v>
      </c>
      <c r="Z44" s="235">
        <v>4000</v>
      </c>
    </row>
    <row r="45" spans="10:29" hidden="1" outlineLevel="1">
      <c r="J45" s="67"/>
      <c r="K45" s="2" t="s">
        <v>76</v>
      </c>
      <c r="L45" s="4">
        <v>2</v>
      </c>
      <c r="M45" s="2"/>
      <c r="N45" s="2"/>
      <c r="O45" s="2"/>
      <c r="P45" s="2"/>
      <c r="Q45" s="4">
        <v>0</v>
      </c>
      <c r="V45" s="2" t="s">
        <v>588</v>
      </c>
      <c r="W45" s="2" t="s">
        <v>135</v>
      </c>
      <c r="X45" s="142">
        <v>0</v>
      </c>
      <c r="Y45" s="142">
        <v>0</v>
      </c>
      <c r="Z45" s="235">
        <v>0</v>
      </c>
    </row>
    <row r="46" spans="10:29" hidden="1" outlineLevel="1">
      <c r="J46" s="67"/>
      <c r="K46" s="4" t="s">
        <v>77</v>
      </c>
      <c r="M46" s="2">
        <v>0</v>
      </c>
      <c r="N46" s="2">
        <v>0</v>
      </c>
      <c r="O46" s="2">
        <v>0</v>
      </c>
      <c r="P46" s="2">
        <v>0</v>
      </c>
      <c r="Q46" s="4">
        <v>0</v>
      </c>
      <c r="V46" s="2" t="s">
        <v>589</v>
      </c>
      <c r="W46" s="2" t="s">
        <v>135</v>
      </c>
      <c r="X46" s="142">
        <v>0</v>
      </c>
      <c r="Y46" s="142">
        <v>0</v>
      </c>
      <c r="Z46" s="235">
        <v>0</v>
      </c>
    </row>
    <row r="47" spans="10:29" hidden="1" outlineLevel="1">
      <c r="J47" s="67"/>
      <c r="Q47" s="311">
        <v>0</v>
      </c>
      <c r="X47" s="142">
        <v>4000</v>
      </c>
      <c r="Y47" s="142">
        <v>100937.04156114998</v>
      </c>
      <c r="Z47" s="235">
        <v>4000</v>
      </c>
    </row>
    <row r="48" spans="10:29" hidden="1" outlineLevel="1">
      <c r="J48" s="67"/>
      <c r="O48" t="s">
        <v>563</v>
      </c>
      <c r="Q48" s="312">
        <v>0</v>
      </c>
      <c r="R48" s="296" t="s">
        <v>634</v>
      </c>
      <c r="T48" s="295">
        <v>236649.85454545487</v>
      </c>
      <c r="X48" s="142"/>
      <c r="Y48" s="142">
        <v>4000</v>
      </c>
      <c r="Z48" s="302"/>
    </row>
    <row r="49" spans="10:29" ht="15" hidden="1" outlineLevel="1" thickBot="1">
      <c r="J49" s="67"/>
      <c r="Q49" s="311">
        <v>0</v>
      </c>
      <c r="X49" s="142"/>
      <c r="Y49" s="142"/>
      <c r="Z49" s="302"/>
    </row>
    <row r="50" spans="10:29" ht="15" hidden="1" outlineLevel="1" thickBot="1">
      <c r="J50" s="67"/>
      <c r="N50" s="9" t="s">
        <v>595</v>
      </c>
      <c r="Q50" s="287">
        <v>0</v>
      </c>
      <c r="S50" s="288">
        <v>0</v>
      </c>
      <c r="V50" s="2" t="s">
        <v>608</v>
      </c>
      <c r="W50" s="27">
        <v>100937.04156114998</v>
      </c>
      <c r="X50" s="6">
        <v>4000</v>
      </c>
      <c r="Y50" s="142" t="e">
        <v>#REF!</v>
      </c>
      <c r="Z50" s="302"/>
    </row>
    <row r="51" spans="10:29" hidden="1" outlineLevel="1">
      <c r="J51" s="67"/>
      <c r="Q51" s="311">
        <v>0</v>
      </c>
      <c r="S51" s="289">
        <v>0</v>
      </c>
      <c r="V51" s="2" t="s">
        <v>609</v>
      </c>
      <c r="W51" s="27">
        <v>0</v>
      </c>
      <c r="X51" s="6">
        <v>0</v>
      </c>
      <c r="Y51" s="142" t="e">
        <v>#REF!</v>
      </c>
      <c r="Z51" s="125"/>
      <c r="AA51" s="2"/>
    </row>
    <row r="52" spans="10:29" hidden="1" outlineLevel="1">
      <c r="J52" s="67"/>
      <c r="N52" s="9" t="s">
        <v>586</v>
      </c>
      <c r="O52" s="9"/>
      <c r="Q52" s="28">
        <v>4000</v>
      </c>
      <c r="S52"/>
      <c r="T52"/>
      <c r="V52" s="2" t="s">
        <v>14</v>
      </c>
      <c r="W52" s="233">
        <v>100937.04156114998</v>
      </c>
      <c r="X52" s="6">
        <v>4000</v>
      </c>
      <c r="Y52" s="142" t="e">
        <v>#REF!</v>
      </c>
      <c r="Z52" s="125"/>
      <c r="AA52" s="2"/>
      <c r="AB52" s="28" t="e">
        <v>#REF!</v>
      </c>
    </row>
    <row r="53" spans="10:29" hidden="1" outlineLevel="1">
      <c r="J53" s="67"/>
      <c r="Q53" s="311">
        <v>4000</v>
      </c>
      <c r="S53"/>
      <c r="T53"/>
      <c r="Z53" s="68"/>
      <c r="AB53" s="27" t="e">
        <v>#REF!</v>
      </c>
    </row>
    <row r="54" spans="10:29" hidden="1" outlineLevel="1">
      <c r="J54" s="92"/>
      <c r="K54" s="87"/>
      <c r="L54" s="87"/>
      <c r="M54" s="87"/>
      <c r="N54" s="87"/>
      <c r="O54" s="87"/>
      <c r="P54" s="87"/>
      <c r="Q54" s="87"/>
      <c r="R54" s="87"/>
      <c r="S54" s="297"/>
      <c r="T54" s="297"/>
      <c r="U54" s="297"/>
      <c r="V54" s="297"/>
      <c r="W54" s="297"/>
      <c r="X54" s="87"/>
      <c r="Y54" s="87"/>
      <c r="Z54" s="88"/>
    </row>
    <row r="55" spans="10:29" hidden="1" outlineLevel="1"/>
    <row r="56" spans="10:29" hidden="1" outlineLevel="1"/>
    <row r="57" spans="10:29" hidden="1" outlineLevel="1">
      <c r="J57" s="332" t="s">
        <v>640</v>
      </c>
      <c r="K57" s="188"/>
      <c r="L57" s="188"/>
      <c r="M57" s="188"/>
      <c r="N57" s="188"/>
      <c r="O57" s="188"/>
      <c r="P57" s="188"/>
      <c r="Q57" s="188"/>
      <c r="R57" s="188" t="s">
        <v>578</v>
      </c>
      <c r="S57" s="293"/>
      <c r="T57" s="293"/>
      <c r="U57" s="293"/>
      <c r="V57" s="293"/>
      <c r="W57" s="293"/>
      <c r="X57" s="188" t="s">
        <v>75</v>
      </c>
      <c r="Y57" s="188"/>
      <c r="Z57" s="189"/>
      <c r="AC57" s="300" t="s">
        <v>585</v>
      </c>
    </row>
    <row r="58" spans="10:29" hidden="1" outlineLevel="1">
      <c r="J58" s="67"/>
      <c r="K58" t="s">
        <v>565</v>
      </c>
      <c r="L58" s="2"/>
      <c r="M58" s="2"/>
      <c r="N58" s="2" t="s">
        <v>583</v>
      </c>
      <c r="O58" s="2" t="s">
        <v>583</v>
      </c>
      <c r="T58" s="4">
        <v>4000</v>
      </c>
      <c r="W58" s="2" t="s">
        <v>565</v>
      </c>
      <c r="X58" s="2">
        <v>4000</v>
      </c>
      <c r="Z58" s="68"/>
      <c r="AC58" s="43">
        <v>0</v>
      </c>
    </row>
    <row r="59" spans="10:29" hidden="1" outlineLevel="1">
      <c r="J59" s="67"/>
      <c r="K59" s="2" t="s">
        <v>76</v>
      </c>
      <c r="L59" s="4">
        <v>200</v>
      </c>
      <c r="M59" s="2"/>
      <c r="N59" s="2"/>
      <c r="O59" s="2"/>
      <c r="P59" s="2"/>
      <c r="W59" s="2" t="s">
        <v>563</v>
      </c>
      <c r="X59" s="312">
        <v>-486.37795275590554</v>
      </c>
      <c r="Y59" s="142">
        <v>-486.37795275590554</v>
      </c>
      <c r="Z59" s="325">
        <v>-9378.1173248311206</v>
      </c>
      <c r="AC59" s="310">
        <v>-486.37795275590554</v>
      </c>
    </row>
    <row r="60" spans="10:29" hidden="1" outlineLevel="1">
      <c r="J60" s="67"/>
      <c r="K60" s="2" t="s">
        <v>76</v>
      </c>
      <c r="L60" s="4">
        <v>100</v>
      </c>
      <c r="M60" s="2"/>
      <c r="N60" s="2"/>
      <c r="O60" s="2"/>
      <c r="P60" s="2"/>
      <c r="W60" s="2" t="s">
        <v>562</v>
      </c>
      <c r="X60" s="142">
        <v>3513.6220472440946</v>
      </c>
      <c r="Z60" s="68"/>
      <c r="AC60" s="301">
        <v>-486.37795275590543</v>
      </c>
    </row>
    <row r="61" spans="10:29" hidden="1" outlineLevel="1">
      <c r="J61" s="67"/>
      <c r="K61" s="2" t="s">
        <v>76</v>
      </c>
      <c r="L61" s="4">
        <v>50</v>
      </c>
      <c r="M61" s="2">
        <v>60</v>
      </c>
      <c r="N61" s="2"/>
      <c r="O61" s="2"/>
      <c r="P61" s="2"/>
      <c r="Q61" s="4">
        <v>60</v>
      </c>
      <c r="T61" s="2">
        <v>900</v>
      </c>
      <c r="X61" s="2"/>
      <c r="Z61" s="68"/>
      <c r="AC61" s="43"/>
    </row>
    <row r="62" spans="10:29" hidden="1" outlineLevel="1">
      <c r="J62" s="67"/>
      <c r="K62" s="2" t="s">
        <v>76</v>
      </c>
      <c r="L62" s="4">
        <v>20</v>
      </c>
      <c r="M62" s="2">
        <v>4</v>
      </c>
      <c r="N62" s="2"/>
      <c r="O62" s="2"/>
      <c r="P62" s="2"/>
      <c r="Q62" s="4">
        <v>4</v>
      </c>
      <c r="X62" s="2"/>
      <c r="Z62" s="68"/>
      <c r="AC62" s="43"/>
    </row>
    <row r="63" spans="10:29" hidden="1" outlineLevel="1">
      <c r="J63" s="67"/>
      <c r="K63" s="2" t="s">
        <v>76</v>
      </c>
      <c r="L63" s="4">
        <v>10</v>
      </c>
      <c r="M63" s="2">
        <v>2</v>
      </c>
      <c r="N63" s="2"/>
      <c r="O63" s="2"/>
      <c r="P63" s="2"/>
      <c r="Q63" s="4">
        <v>2</v>
      </c>
      <c r="W63" s="2" t="s">
        <v>75</v>
      </c>
      <c r="X63" s="2">
        <v>3100</v>
      </c>
      <c r="Z63" s="68"/>
      <c r="AC63" s="43">
        <v>-900</v>
      </c>
    </row>
    <row r="64" spans="10:29" hidden="1" outlineLevel="1">
      <c r="J64" s="67"/>
      <c r="K64" s="4" t="s">
        <v>75</v>
      </c>
      <c r="M64" s="2">
        <v>3100</v>
      </c>
      <c r="N64" s="2">
        <v>0</v>
      </c>
      <c r="O64" s="2">
        <v>0</v>
      </c>
      <c r="P64" s="2">
        <v>0</v>
      </c>
      <c r="Q64" s="4">
        <v>3100</v>
      </c>
      <c r="W64" s="2" t="s">
        <v>77</v>
      </c>
      <c r="X64" s="14">
        <v>416.26794258373207</v>
      </c>
      <c r="Z64" s="68"/>
      <c r="AA64" s="121" t="s">
        <v>11</v>
      </c>
      <c r="AB64" s="240">
        <v>900</v>
      </c>
      <c r="AC64" s="301">
        <v>416.26794258373207</v>
      </c>
    </row>
    <row r="65" spans="10:29" hidden="1" outlineLevel="1">
      <c r="J65" s="67"/>
      <c r="M65" s="2"/>
      <c r="N65" s="2"/>
      <c r="O65" s="2"/>
      <c r="P65" s="2"/>
      <c r="W65" s="2" t="s">
        <v>562</v>
      </c>
      <c r="X65" s="14">
        <v>3516.2679425837323</v>
      </c>
      <c r="Z65" s="68"/>
      <c r="AA65" s="299" t="s">
        <v>587</v>
      </c>
      <c r="AB65" s="4">
        <v>900</v>
      </c>
      <c r="AC65" s="301">
        <v>-483.73205741626771</v>
      </c>
    </row>
    <row r="66" spans="10:29" hidden="1" outlineLevel="1">
      <c r="J66" s="67"/>
      <c r="K66" s="2" t="s">
        <v>76</v>
      </c>
      <c r="L66" s="4">
        <v>500</v>
      </c>
      <c r="M66" s="2"/>
      <c r="N66" s="2"/>
      <c r="O66" s="2"/>
      <c r="P66" s="2"/>
      <c r="Q66" s="4">
        <v>0</v>
      </c>
      <c r="S66" s="2" t="s">
        <v>571</v>
      </c>
      <c r="T66" s="4">
        <v>900</v>
      </c>
      <c r="U66" s="4" t="s">
        <v>17</v>
      </c>
      <c r="X66" s="2"/>
      <c r="Z66" s="68"/>
      <c r="AA66" s="92"/>
      <c r="AB66" s="297">
        <v>4000</v>
      </c>
      <c r="AC66" s="43"/>
    </row>
    <row r="67" spans="10:29" hidden="1" outlineLevel="1">
      <c r="J67" s="67"/>
      <c r="K67" s="2" t="s">
        <v>76</v>
      </c>
      <c r="L67" s="4">
        <v>500</v>
      </c>
      <c r="M67" s="2">
        <v>18</v>
      </c>
      <c r="N67" s="2"/>
      <c r="O67" s="2"/>
      <c r="P67" s="2">
        <v>2</v>
      </c>
      <c r="Q67" s="4">
        <v>20</v>
      </c>
      <c r="T67" s="4">
        <v>22710.834351258745</v>
      </c>
      <c r="U67" s="4" t="s">
        <v>135</v>
      </c>
      <c r="X67" s="2"/>
      <c r="Z67" s="68"/>
      <c r="AC67" s="43"/>
    </row>
    <row r="68" spans="10:29" hidden="1" outlineLevel="1">
      <c r="J68" s="67"/>
      <c r="K68" s="2" t="s">
        <v>76</v>
      </c>
      <c r="L68" s="4">
        <v>200</v>
      </c>
      <c r="M68" s="2"/>
      <c r="N68" s="2"/>
      <c r="O68" s="2"/>
      <c r="P68" s="2">
        <v>1</v>
      </c>
      <c r="Q68" s="4">
        <v>1</v>
      </c>
      <c r="W68" s="2" t="s">
        <v>584</v>
      </c>
      <c r="X68" s="203">
        <v>2.6458953396377183</v>
      </c>
      <c r="Z68" s="68"/>
      <c r="AC68" s="203">
        <v>2.6458953396377183</v>
      </c>
    </row>
    <row r="69" spans="10:29" hidden="1" outlineLevel="1">
      <c r="J69" s="67"/>
      <c r="K69" s="2" t="s">
        <v>76</v>
      </c>
      <c r="L69" s="4">
        <v>100</v>
      </c>
      <c r="M69" s="2"/>
      <c r="N69" s="2"/>
      <c r="O69" s="2"/>
      <c r="P69" s="2">
        <v>2</v>
      </c>
      <c r="Q69" s="4">
        <v>2</v>
      </c>
      <c r="Z69" s="68"/>
    </row>
    <row r="70" spans="10:29" hidden="1" outlineLevel="1">
      <c r="J70" s="67"/>
      <c r="K70" s="2" t="s">
        <v>76</v>
      </c>
      <c r="L70" s="4">
        <v>50</v>
      </c>
      <c r="M70" s="2"/>
      <c r="N70" s="2"/>
      <c r="O70" s="2"/>
      <c r="P70" s="2"/>
      <c r="Q70" s="4">
        <v>0</v>
      </c>
      <c r="Y70" s="2"/>
      <c r="Z70" s="68"/>
    </row>
    <row r="71" spans="10:29" hidden="1" outlineLevel="1">
      <c r="J71" s="67"/>
      <c r="K71" s="2" t="s">
        <v>76</v>
      </c>
      <c r="L71" s="4">
        <v>20</v>
      </c>
      <c r="M71" s="2"/>
      <c r="N71" s="2"/>
      <c r="O71" s="2"/>
      <c r="P71" s="2">
        <v>2</v>
      </c>
      <c r="Q71" s="4">
        <v>2</v>
      </c>
      <c r="X71" s="2"/>
      <c r="Y71" s="2"/>
      <c r="Z71" s="125"/>
    </row>
    <row r="72" spans="10:29" hidden="1" outlineLevel="1">
      <c r="J72" s="67"/>
      <c r="K72" s="2" t="s">
        <v>76</v>
      </c>
      <c r="L72" s="4">
        <v>10</v>
      </c>
      <c r="M72" s="2"/>
      <c r="N72" s="2"/>
      <c r="O72" s="2"/>
      <c r="P72" s="2"/>
      <c r="Q72" s="4">
        <v>0</v>
      </c>
      <c r="X72" s="4" t="s">
        <v>75</v>
      </c>
      <c r="Y72" s="4" t="s">
        <v>77</v>
      </c>
      <c r="Z72" s="126" t="s">
        <v>590</v>
      </c>
    </row>
    <row r="73" spans="10:29" hidden="1" outlineLevel="1">
      <c r="J73" s="67"/>
      <c r="K73" s="2" t="s">
        <v>76</v>
      </c>
      <c r="L73" s="4">
        <v>5</v>
      </c>
      <c r="M73" s="2"/>
      <c r="N73" s="2"/>
      <c r="O73" s="2"/>
      <c r="P73" s="2"/>
      <c r="Q73" s="4">
        <v>0</v>
      </c>
      <c r="V73" s="2" t="s">
        <v>588</v>
      </c>
      <c r="W73" s="2" t="s">
        <v>9</v>
      </c>
      <c r="X73" s="142">
        <v>3100</v>
      </c>
      <c r="Y73" s="142">
        <v>78226.207209891232</v>
      </c>
      <c r="Z73" s="235">
        <v>3100</v>
      </c>
    </row>
    <row r="74" spans="10:29" hidden="1" outlineLevel="1">
      <c r="J74" s="67"/>
      <c r="K74" s="2" t="s">
        <v>76</v>
      </c>
      <c r="L74" s="4">
        <v>2</v>
      </c>
      <c r="M74" s="2"/>
      <c r="N74" s="2"/>
      <c r="O74" s="2"/>
      <c r="P74" s="2">
        <v>0</v>
      </c>
      <c r="Q74" s="4">
        <v>0</v>
      </c>
      <c r="V74" s="2" t="s">
        <v>588</v>
      </c>
      <c r="W74" s="2" t="s">
        <v>135</v>
      </c>
      <c r="X74" s="142">
        <v>413.72324128105964</v>
      </c>
      <c r="Y74" s="142">
        <v>10440</v>
      </c>
      <c r="Z74" s="235">
        <v>413.72324128105964</v>
      </c>
    </row>
    <row r="75" spans="10:29" hidden="1" outlineLevel="1">
      <c r="J75" s="67"/>
      <c r="K75" s="4" t="s">
        <v>77</v>
      </c>
      <c r="M75" s="2">
        <v>9000</v>
      </c>
      <c r="N75" s="2">
        <v>0</v>
      </c>
      <c r="O75" s="2">
        <v>0</v>
      </c>
      <c r="P75" s="2">
        <v>1440</v>
      </c>
      <c r="Q75" s="4">
        <v>10440</v>
      </c>
      <c r="V75" s="2" t="s">
        <v>589</v>
      </c>
      <c r="W75" s="2" t="s">
        <v>135</v>
      </c>
      <c r="X75" s="142">
        <v>486.37795275590554</v>
      </c>
      <c r="Y75" s="142">
        <v>12354</v>
      </c>
      <c r="Z75" s="235">
        <v>489.57250218258724</v>
      </c>
    </row>
    <row r="76" spans="10:29" hidden="1" outlineLevel="1">
      <c r="J76" s="67"/>
      <c r="Q76" s="311">
        <v>413.72324128105964</v>
      </c>
      <c r="X76" s="142">
        <v>4000.1011940369649</v>
      </c>
      <c r="Y76" s="142">
        <v>101020.20720989123</v>
      </c>
      <c r="Z76" s="235">
        <v>4003.2957434636469</v>
      </c>
    </row>
    <row r="77" spans="10:29" hidden="1" outlineLevel="1">
      <c r="J77" s="67"/>
      <c r="O77" t="s">
        <v>563</v>
      </c>
      <c r="Q77" s="312">
        <v>12354</v>
      </c>
      <c r="R77" s="296" t="s">
        <v>640</v>
      </c>
      <c r="T77" s="295">
        <v>236649.85454545487</v>
      </c>
      <c r="X77" s="142"/>
      <c r="Y77" s="142">
        <v>4003.2957434636469</v>
      </c>
      <c r="Z77" s="302"/>
    </row>
    <row r="78" spans="10:29" ht="15" hidden="1" outlineLevel="1" thickBot="1">
      <c r="J78" s="67"/>
      <c r="Q78" s="311">
        <v>489.57250218258724</v>
      </c>
      <c r="Y78" s="142"/>
      <c r="Z78" s="302"/>
    </row>
    <row r="79" spans="10:29" ht="15" hidden="1" outlineLevel="1" thickBot="1">
      <c r="J79" s="67"/>
      <c r="K79" s="2" t="s">
        <v>606</v>
      </c>
      <c r="N79" s="9" t="s">
        <v>595</v>
      </c>
      <c r="Q79" s="287">
        <v>22794</v>
      </c>
      <c r="S79" s="288">
        <v>83.165648741254699</v>
      </c>
      <c r="V79" s="2" t="s">
        <v>608</v>
      </c>
      <c r="W79" s="27">
        <v>88666.207209891232</v>
      </c>
      <c r="X79" s="6">
        <v>3513.7232412810595</v>
      </c>
      <c r="Y79" s="142">
        <v>-486.27675871894053</v>
      </c>
      <c r="Z79" s="302"/>
    </row>
    <row r="80" spans="10:29" hidden="1" outlineLevel="1">
      <c r="J80" s="67"/>
      <c r="K80" s="2" t="s">
        <v>607</v>
      </c>
      <c r="M80" s="2"/>
      <c r="Q80" s="311">
        <v>903.29574346364689</v>
      </c>
      <c r="S80" s="289">
        <v>3.2957434636469323</v>
      </c>
      <c r="V80" s="2" t="s">
        <v>609</v>
      </c>
      <c r="W80" s="27">
        <v>12354</v>
      </c>
      <c r="X80" s="6">
        <v>489.57250218258724</v>
      </c>
      <c r="Y80" s="142">
        <v>489.57250218258724</v>
      </c>
      <c r="Z80" s="302"/>
      <c r="AA80" s="2"/>
    </row>
    <row r="81" spans="10:29" hidden="1" outlineLevel="1">
      <c r="J81" s="67"/>
      <c r="N81" s="9" t="s">
        <v>586</v>
      </c>
      <c r="O81" s="9"/>
      <c r="Q81" s="28">
        <v>4003.2957434636469</v>
      </c>
      <c r="S81"/>
      <c r="T81"/>
      <c r="V81" s="2" t="s">
        <v>14</v>
      </c>
      <c r="W81" s="233">
        <v>101020.20720989123</v>
      </c>
      <c r="X81" s="6">
        <v>4003.2957434636469</v>
      </c>
      <c r="Y81" s="161">
        <v>3.2957434636468861</v>
      </c>
      <c r="Z81" s="302"/>
      <c r="AA81" s="2"/>
      <c r="AB81" s="28">
        <v>3.2957434636468861</v>
      </c>
    </row>
    <row r="82" spans="10:29" hidden="1" outlineLevel="1">
      <c r="J82" s="67"/>
      <c r="Q82" s="311">
        <v>4003.2957434636469</v>
      </c>
      <c r="S82"/>
      <c r="T82"/>
      <c r="Z82" s="302"/>
      <c r="AB82" s="82">
        <v>83.165648741253534</v>
      </c>
    </row>
    <row r="83" spans="10:29" hidden="1" outlineLevel="1">
      <c r="J83" s="92"/>
      <c r="K83" s="87"/>
      <c r="L83" s="87"/>
      <c r="M83" s="87"/>
      <c r="N83" s="87"/>
      <c r="O83" s="87"/>
      <c r="P83" s="87"/>
      <c r="Q83" s="87"/>
      <c r="R83" s="87"/>
      <c r="S83" s="297"/>
      <c r="T83" s="297"/>
      <c r="U83" s="297"/>
      <c r="V83" s="297"/>
      <c r="W83" s="297"/>
      <c r="X83" s="87"/>
      <c r="Y83" s="87"/>
      <c r="Z83" s="88"/>
    </row>
    <row r="84" spans="10:29" hidden="1" outlineLevel="1"/>
    <row r="85" spans="10:29" hidden="1" outlineLevel="1"/>
    <row r="86" spans="10:29" hidden="1" outlineLevel="1">
      <c r="J86" s="332" t="s">
        <v>661</v>
      </c>
      <c r="K86" s="188"/>
      <c r="L86" s="188"/>
      <c r="M86" s="188"/>
      <c r="N86" s="188"/>
      <c r="O86" s="188"/>
      <c r="P86" s="188"/>
      <c r="Q86" s="188"/>
      <c r="R86" s="188" t="s">
        <v>578</v>
      </c>
      <c r="S86" s="293"/>
      <c r="T86" s="293"/>
      <c r="U86" s="293"/>
      <c r="V86" s="293"/>
      <c r="W86" s="293"/>
      <c r="X86" s="188" t="s">
        <v>75</v>
      </c>
      <c r="Y86" s="188"/>
      <c r="Z86" s="189"/>
      <c r="AC86" s="300" t="s">
        <v>585</v>
      </c>
    </row>
    <row r="87" spans="10:29" hidden="1" outlineLevel="1">
      <c r="J87" s="67"/>
      <c r="K87" t="s">
        <v>565</v>
      </c>
      <c r="L87" s="2"/>
      <c r="M87" s="2"/>
      <c r="N87" s="2" t="s">
        <v>583</v>
      </c>
      <c r="O87" s="2" t="s">
        <v>583</v>
      </c>
      <c r="T87" s="4">
        <v>4157.5</v>
      </c>
      <c r="W87" s="2" t="s">
        <v>565</v>
      </c>
      <c r="X87" s="2">
        <v>4157.5</v>
      </c>
      <c r="Z87" s="68"/>
      <c r="AC87" s="43">
        <v>157.5</v>
      </c>
    </row>
    <row r="88" spans="10:29" hidden="1" outlineLevel="1">
      <c r="J88" s="67"/>
      <c r="K88" s="2" t="s">
        <v>76</v>
      </c>
      <c r="L88" s="4">
        <v>200</v>
      </c>
      <c r="M88" s="2"/>
      <c r="N88" s="2"/>
      <c r="O88" s="2"/>
      <c r="P88" s="2"/>
      <c r="W88" s="2" t="s">
        <v>563</v>
      </c>
      <c r="X88" s="312">
        <v>-864.56692913385837</v>
      </c>
      <c r="Y88" s="142">
        <v>-378.18897637795283</v>
      </c>
      <c r="Z88" s="325">
        <v>-9378.1173248311206</v>
      </c>
      <c r="AC88" s="310">
        <v>-378.18897637795283</v>
      </c>
    </row>
    <row r="89" spans="10:29" hidden="1" outlineLevel="1">
      <c r="J89" s="67"/>
      <c r="K89" s="2" t="s">
        <v>76</v>
      </c>
      <c r="L89" s="4">
        <v>100</v>
      </c>
      <c r="M89" s="2"/>
      <c r="N89" s="2"/>
      <c r="O89" s="2"/>
      <c r="P89" s="2"/>
      <c r="W89" s="2" t="s">
        <v>562</v>
      </c>
      <c r="X89" s="142">
        <v>3292.9330708661419</v>
      </c>
      <c r="Z89" s="68"/>
      <c r="AC89" s="301">
        <v>-220.68897637795271</v>
      </c>
    </row>
    <row r="90" spans="10:29" hidden="1" outlineLevel="1">
      <c r="J90" s="67"/>
      <c r="K90" s="2" t="s">
        <v>76</v>
      </c>
      <c r="L90" s="4">
        <v>50</v>
      </c>
      <c r="M90" s="2">
        <v>60</v>
      </c>
      <c r="N90" s="2"/>
      <c r="O90" s="2"/>
      <c r="P90" s="2"/>
      <c r="Q90" s="4">
        <v>60</v>
      </c>
      <c r="T90" s="2">
        <v>900</v>
      </c>
      <c r="X90" s="2"/>
      <c r="Z90" s="68"/>
      <c r="AC90" s="43"/>
    </row>
    <row r="91" spans="10:29" hidden="1" outlineLevel="1">
      <c r="J91" s="67"/>
      <c r="K91" s="2" t="s">
        <v>76</v>
      </c>
      <c r="L91" s="4">
        <v>20</v>
      </c>
      <c r="M91" s="2">
        <v>4</v>
      </c>
      <c r="N91" s="2"/>
      <c r="O91" s="2"/>
      <c r="P91" s="2"/>
      <c r="Q91" s="4">
        <v>4</v>
      </c>
      <c r="T91" s="2">
        <v>157.5</v>
      </c>
      <c r="X91" s="2"/>
      <c r="Z91" s="68"/>
      <c r="AC91" s="43"/>
    </row>
    <row r="92" spans="10:29" hidden="1" outlineLevel="1">
      <c r="J92" s="67"/>
      <c r="K92" s="2" t="s">
        <v>76</v>
      </c>
      <c r="L92" s="4">
        <v>10</v>
      </c>
      <c r="M92" s="2">
        <v>2</v>
      </c>
      <c r="N92" s="2"/>
      <c r="O92" s="2"/>
      <c r="P92" s="2"/>
      <c r="Q92" s="4">
        <v>2</v>
      </c>
      <c r="W92" s="2" t="s">
        <v>75</v>
      </c>
      <c r="X92" s="2">
        <v>3100</v>
      </c>
      <c r="Z92" s="68"/>
      <c r="AC92" s="43">
        <v>0</v>
      </c>
    </row>
    <row r="93" spans="10:29" hidden="1" outlineLevel="1">
      <c r="J93" s="67"/>
      <c r="K93" s="4" t="s">
        <v>75</v>
      </c>
      <c r="M93" s="2">
        <v>3100</v>
      </c>
      <c r="N93" s="2">
        <v>0</v>
      </c>
      <c r="O93" s="2">
        <v>0</v>
      </c>
      <c r="P93" s="2">
        <v>0</v>
      </c>
      <c r="Q93" s="4">
        <v>3100</v>
      </c>
      <c r="W93" s="2" t="s">
        <v>77</v>
      </c>
      <c r="X93" s="14">
        <v>195.37480063795854</v>
      </c>
      <c r="Z93" s="68"/>
      <c r="AA93" s="121" t="s">
        <v>11</v>
      </c>
      <c r="AB93" s="240">
        <v>0</v>
      </c>
      <c r="AC93" s="301">
        <v>-220.89314194577352</v>
      </c>
    </row>
    <row r="94" spans="10:29" hidden="1" outlineLevel="1">
      <c r="J94" s="67"/>
      <c r="M94" s="2"/>
      <c r="N94" s="2"/>
      <c r="O94" s="2"/>
      <c r="P94" s="2"/>
      <c r="W94" s="2" t="s">
        <v>562</v>
      </c>
      <c r="X94" s="14">
        <v>3295.3748006379587</v>
      </c>
      <c r="Z94" s="68"/>
      <c r="AA94" s="299" t="s">
        <v>587</v>
      </c>
      <c r="AB94" s="4">
        <v>900</v>
      </c>
      <c r="AC94" s="301">
        <v>-220.89314194577355</v>
      </c>
    </row>
    <row r="95" spans="10:29" hidden="1" outlineLevel="1">
      <c r="J95" s="67"/>
      <c r="K95" s="2" t="s">
        <v>76</v>
      </c>
      <c r="L95" s="4">
        <v>500</v>
      </c>
      <c r="M95" s="2"/>
      <c r="N95" s="2"/>
      <c r="O95" s="2"/>
      <c r="P95" s="2"/>
      <c r="Q95" s="4">
        <v>0</v>
      </c>
      <c r="S95" s="2" t="s">
        <v>571</v>
      </c>
      <c r="T95" s="4">
        <v>1057.5</v>
      </c>
      <c r="U95" s="4" t="s">
        <v>17</v>
      </c>
      <c r="X95" s="2"/>
      <c r="Z95" s="68"/>
      <c r="AA95" s="92"/>
      <c r="AB95" s="297">
        <v>4000</v>
      </c>
      <c r="AC95" s="43"/>
    </row>
    <row r="96" spans="10:29" hidden="1" outlineLevel="1">
      <c r="J96" s="67"/>
      <c r="K96" s="2" t="s">
        <v>76</v>
      </c>
      <c r="L96" s="4">
        <v>500</v>
      </c>
      <c r="M96" s="2">
        <v>4</v>
      </c>
      <c r="N96" s="2"/>
      <c r="O96" s="2"/>
      <c r="P96" s="2">
        <v>5</v>
      </c>
      <c r="Q96" s="4">
        <v>9</v>
      </c>
      <c r="T96" s="4">
        <v>26685.230362729028</v>
      </c>
      <c r="U96" s="4" t="s">
        <v>135</v>
      </c>
      <c r="X96" s="2"/>
      <c r="Z96" s="68"/>
      <c r="AC96" s="43"/>
    </row>
    <row r="97" spans="10:29" hidden="1" outlineLevel="1">
      <c r="J97" s="67"/>
      <c r="K97" s="2" t="s">
        <v>76</v>
      </c>
      <c r="L97" s="4">
        <v>200</v>
      </c>
      <c r="M97" s="2"/>
      <c r="N97" s="2"/>
      <c r="O97" s="2"/>
      <c r="P97" s="2">
        <v>1</v>
      </c>
      <c r="Q97" s="4">
        <v>1</v>
      </c>
      <c r="W97" s="2" t="s">
        <v>584</v>
      </c>
      <c r="X97" s="203">
        <v>2.4417297718168811</v>
      </c>
      <c r="Z97" s="68"/>
      <c r="AC97" s="203">
        <v>-0.20416556782083717</v>
      </c>
    </row>
    <row r="98" spans="10:29" hidden="1" outlineLevel="1">
      <c r="J98" s="67"/>
      <c r="K98" s="2" t="s">
        <v>76</v>
      </c>
      <c r="L98" s="4">
        <v>100</v>
      </c>
      <c r="M98" s="2"/>
      <c r="N98" s="2"/>
      <c r="O98" s="2"/>
      <c r="P98" s="2">
        <v>2</v>
      </c>
      <c r="Q98" s="4">
        <v>2</v>
      </c>
      <c r="Z98" s="68"/>
    </row>
    <row r="99" spans="10:29" hidden="1" outlineLevel="1">
      <c r="J99" s="67"/>
      <c r="K99" s="2" t="s">
        <v>76</v>
      </c>
      <c r="L99" s="4">
        <v>50</v>
      </c>
      <c r="M99" s="2"/>
      <c r="N99" s="2"/>
      <c r="O99" s="2"/>
      <c r="P99" s="2"/>
      <c r="Q99" s="4">
        <v>0</v>
      </c>
      <c r="Y99" s="2"/>
      <c r="Z99" s="68"/>
    </row>
    <row r="100" spans="10:29" hidden="1" outlineLevel="1">
      <c r="J100" s="67"/>
      <c r="K100" s="2" t="s">
        <v>76</v>
      </c>
      <c r="L100" s="4">
        <v>20</v>
      </c>
      <c r="M100" s="2"/>
      <c r="N100" s="2"/>
      <c r="O100" s="2"/>
      <c r="P100" s="2"/>
      <c r="Q100" s="4">
        <v>0</v>
      </c>
      <c r="X100" s="2"/>
      <c r="Y100" s="2"/>
      <c r="Z100" s="125"/>
    </row>
    <row r="101" spans="10:29" hidden="1" outlineLevel="1">
      <c r="J101" s="67"/>
      <c r="K101" s="2" t="s">
        <v>76</v>
      </c>
      <c r="L101" s="4">
        <v>10</v>
      </c>
      <c r="M101" s="2"/>
      <c r="N101" s="2"/>
      <c r="O101" s="2"/>
      <c r="P101" s="2"/>
      <c r="Q101" s="4">
        <v>0</v>
      </c>
      <c r="X101" s="4" t="s">
        <v>75</v>
      </c>
      <c r="Y101" s="4" t="s">
        <v>77</v>
      </c>
      <c r="Z101" s="126" t="s">
        <v>590</v>
      </c>
    </row>
    <row r="102" spans="10:29" hidden="1" outlineLevel="1">
      <c r="J102" s="67"/>
      <c r="K102" s="2" t="s">
        <v>76</v>
      </c>
      <c r="L102" s="4">
        <v>5</v>
      </c>
      <c r="M102" s="2"/>
      <c r="N102" s="2"/>
      <c r="O102" s="2"/>
      <c r="P102" s="2"/>
      <c r="Q102" s="4">
        <v>0</v>
      </c>
      <c r="V102" s="2" t="s">
        <v>588</v>
      </c>
      <c r="W102" s="2" t="s">
        <v>9</v>
      </c>
      <c r="X102" s="142">
        <v>3100</v>
      </c>
      <c r="Y102" s="142">
        <v>78226.207209891232</v>
      </c>
      <c r="Z102" s="235">
        <v>3100</v>
      </c>
    </row>
    <row r="103" spans="10:29" hidden="1" outlineLevel="1">
      <c r="J103" s="67"/>
      <c r="K103" s="2" t="s">
        <v>76</v>
      </c>
      <c r="L103" s="4">
        <v>2</v>
      </c>
      <c r="M103" s="2"/>
      <c r="N103" s="2"/>
      <c r="O103" s="2"/>
      <c r="P103" s="2"/>
      <c r="Q103" s="4">
        <v>0</v>
      </c>
      <c r="V103" s="2" t="s">
        <v>588</v>
      </c>
      <c r="W103" s="2" t="s">
        <v>135</v>
      </c>
      <c r="X103" s="142">
        <v>194.18044849398393</v>
      </c>
      <c r="Y103" s="142">
        <v>4900</v>
      </c>
      <c r="Z103" s="235">
        <v>194.18044849398393</v>
      </c>
    </row>
    <row r="104" spans="10:29" hidden="1" outlineLevel="1">
      <c r="J104" s="67"/>
      <c r="K104" s="4" t="s">
        <v>77</v>
      </c>
      <c r="M104" s="2">
        <v>2000</v>
      </c>
      <c r="N104" s="2">
        <v>0</v>
      </c>
      <c r="O104" s="2">
        <v>0</v>
      </c>
      <c r="P104" s="2">
        <v>2900</v>
      </c>
      <c r="Q104" s="4">
        <v>4900</v>
      </c>
      <c r="V104" s="2" t="s">
        <v>589</v>
      </c>
      <c r="W104" s="2" t="s">
        <v>135</v>
      </c>
      <c r="X104" s="142">
        <v>864.56692913385837</v>
      </c>
      <c r="Y104" s="142">
        <v>21960</v>
      </c>
      <c r="Z104" s="235">
        <v>870.24543855671163</v>
      </c>
    </row>
    <row r="105" spans="10:29" hidden="1" outlineLevel="1">
      <c r="J105" s="67"/>
      <c r="Q105" s="311">
        <v>194.18044849398393</v>
      </c>
      <c r="X105" s="142">
        <v>4158.7473776278421</v>
      </c>
      <c r="Y105" s="142">
        <v>105086.20720989123</v>
      </c>
      <c r="Z105" s="235">
        <v>4164.4258870506956</v>
      </c>
    </row>
    <row r="106" spans="10:29" hidden="1" outlineLevel="1">
      <c r="J106" s="67"/>
      <c r="O106" t="s">
        <v>563</v>
      </c>
      <c r="Q106" s="312">
        <v>21960</v>
      </c>
      <c r="R106" s="296" t="s">
        <v>661</v>
      </c>
      <c r="T106" s="295">
        <v>236649.85454545487</v>
      </c>
      <c r="X106" s="142"/>
      <c r="Y106" s="142">
        <v>4164.4258870506956</v>
      </c>
      <c r="Z106" s="302"/>
    </row>
    <row r="107" spans="10:29" ht="15" hidden="1" outlineLevel="1" thickBot="1">
      <c r="J107" s="67"/>
      <c r="Q107" s="311">
        <v>870.24543855671163</v>
      </c>
      <c r="Y107" s="142"/>
      <c r="Z107" s="302"/>
    </row>
    <row r="108" spans="10:29" ht="15" hidden="1" outlineLevel="1" thickBot="1">
      <c r="J108" s="67"/>
      <c r="K108" s="2" t="s">
        <v>606</v>
      </c>
      <c r="N108" s="9" t="s">
        <v>595</v>
      </c>
      <c r="Q108" s="287">
        <v>26860</v>
      </c>
      <c r="S108" s="288">
        <v>174.76963727097245</v>
      </c>
      <c r="V108" s="2" t="s">
        <v>608</v>
      </c>
      <c r="W108" s="27">
        <v>83126.207209891232</v>
      </c>
      <c r="X108" s="6">
        <v>3294.1804484939839</v>
      </c>
      <c r="Y108" s="142">
        <v>-219.54279278707554</v>
      </c>
      <c r="Z108" s="302"/>
    </row>
    <row r="109" spans="10:29" hidden="1" outlineLevel="1">
      <c r="J109" s="67"/>
      <c r="K109" s="2" t="s">
        <v>607</v>
      </c>
      <c r="M109" s="2"/>
      <c r="Q109" s="311">
        <v>1064.4258870506956</v>
      </c>
      <c r="S109" s="289">
        <v>6.9258870506955761</v>
      </c>
      <c r="V109" s="2" t="s">
        <v>609</v>
      </c>
      <c r="W109" s="27">
        <v>21960</v>
      </c>
      <c r="X109" s="6">
        <v>870.24543855671163</v>
      </c>
      <c r="Y109" s="142">
        <v>380.67293637412439</v>
      </c>
      <c r="Z109" s="302"/>
      <c r="AA109" s="2"/>
    </row>
    <row r="110" spans="10:29" hidden="1" outlineLevel="1">
      <c r="J110" s="67"/>
      <c r="N110" s="9" t="s">
        <v>586</v>
      </c>
      <c r="O110" s="9"/>
      <c r="Q110" s="28">
        <v>4164.4258870506956</v>
      </c>
      <c r="S110"/>
      <c r="T110"/>
      <c r="V110" s="2" t="s">
        <v>14</v>
      </c>
      <c r="W110" s="233">
        <v>105086.20720989123</v>
      </c>
      <c r="X110" s="6">
        <v>4164.4258870506956</v>
      </c>
      <c r="Y110" s="161">
        <v>161.13014358704868</v>
      </c>
      <c r="Z110" s="302"/>
      <c r="AA110" s="2"/>
      <c r="AB110" s="28">
        <v>161.13014358704868</v>
      </c>
    </row>
    <row r="111" spans="10:29" hidden="1" outlineLevel="1">
      <c r="J111" s="67"/>
      <c r="Q111" s="311">
        <v>4164.4258870506956</v>
      </c>
      <c r="S111"/>
      <c r="T111"/>
      <c r="Z111" s="302"/>
      <c r="AB111" s="82">
        <v>4065.9999999999991</v>
      </c>
    </row>
    <row r="112" spans="10:29" hidden="1" outlineLevel="1">
      <c r="J112" s="92"/>
      <c r="K112" s="87"/>
      <c r="L112" s="87"/>
      <c r="M112" s="87"/>
      <c r="N112" s="87"/>
      <c r="O112" s="87"/>
      <c r="P112" s="87"/>
      <c r="Q112" s="87"/>
      <c r="R112" s="87"/>
      <c r="S112" s="297"/>
      <c r="T112" s="297"/>
      <c r="U112" s="297"/>
      <c r="V112" s="297"/>
      <c r="W112" s="297"/>
      <c r="X112" s="87"/>
      <c r="Y112" s="87"/>
      <c r="Z112" s="88"/>
    </row>
    <row r="113" spans="10:29" hidden="1" outlineLevel="1"/>
    <row r="114" spans="10:29" hidden="1" outlineLevel="1"/>
    <row r="115" spans="10:29" hidden="1" outlineLevel="1">
      <c r="J115" s="332" t="s">
        <v>675</v>
      </c>
      <c r="K115" s="188"/>
      <c r="L115" s="188"/>
      <c r="M115" s="188"/>
      <c r="N115" s="188"/>
      <c r="O115" s="188"/>
      <c r="P115" s="188"/>
      <c r="Q115" s="188"/>
      <c r="R115" s="188" t="s">
        <v>578</v>
      </c>
      <c r="S115" s="293"/>
      <c r="T115" s="293"/>
      <c r="U115" s="293"/>
      <c r="V115" s="293"/>
      <c r="W115" s="293"/>
      <c r="X115" s="188" t="s">
        <v>75</v>
      </c>
      <c r="Y115" s="188"/>
      <c r="Z115" s="189"/>
      <c r="AC115" s="300" t="s">
        <v>585</v>
      </c>
    </row>
    <row r="116" spans="10:29" hidden="1" outlineLevel="1">
      <c r="J116" s="67"/>
      <c r="K116" t="s">
        <v>565</v>
      </c>
      <c r="L116" s="2"/>
      <c r="M116" s="2"/>
      <c r="N116" s="2" t="s">
        <v>583</v>
      </c>
      <c r="O116" s="2" t="s">
        <v>583</v>
      </c>
      <c r="T116" s="4">
        <v>4157.5</v>
      </c>
      <c r="W116" s="2" t="s">
        <v>565</v>
      </c>
      <c r="X116" s="2">
        <v>4157.5</v>
      </c>
      <c r="Z116" s="68"/>
      <c r="AC116" s="43">
        <v>0</v>
      </c>
    </row>
    <row r="117" spans="10:29" hidden="1" outlineLevel="1">
      <c r="J117" s="67"/>
      <c r="K117" s="2" t="s">
        <v>76</v>
      </c>
      <c r="L117" s="4">
        <v>200</v>
      </c>
      <c r="M117" s="2"/>
      <c r="N117" s="2"/>
      <c r="O117" s="2"/>
      <c r="P117" s="2"/>
      <c r="W117" s="2" t="s">
        <v>563</v>
      </c>
      <c r="X117" s="312">
        <v>-1288.5826771653544</v>
      </c>
      <c r="Y117" s="142">
        <v>-424.01574803149606</v>
      </c>
      <c r="Z117" s="325">
        <v>-9378.1173248311206</v>
      </c>
      <c r="AC117" s="310">
        <v>-424.01574803149606</v>
      </c>
    </row>
    <row r="118" spans="10:29" hidden="1" outlineLevel="1">
      <c r="J118" s="67"/>
      <c r="K118" s="2" t="s">
        <v>76</v>
      </c>
      <c r="L118" s="4">
        <v>100</v>
      </c>
      <c r="M118" s="2"/>
      <c r="N118" s="2"/>
      <c r="O118" s="2"/>
      <c r="P118" s="2"/>
      <c r="W118" s="2" t="s">
        <v>562</v>
      </c>
      <c r="X118" s="142">
        <v>2868.9173228346453</v>
      </c>
      <c r="Z118" s="68"/>
      <c r="AC118" s="301">
        <v>-424.01574803149651</v>
      </c>
    </row>
    <row r="119" spans="10:29" hidden="1" outlineLevel="1">
      <c r="J119" s="67"/>
      <c r="K119" s="2" t="s">
        <v>76</v>
      </c>
      <c r="L119" s="4">
        <v>50</v>
      </c>
      <c r="M119" s="2">
        <v>60</v>
      </c>
      <c r="N119" s="2"/>
      <c r="O119" s="2"/>
      <c r="P119" s="2"/>
      <c r="Q119" s="4">
        <v>60</v>
      </c>
      <c r="T119" s="2">
        <v>900</v>
      </c>
      <c r="X119" s="2"/>
      <c r="Z119" s="68"/>
      <c r="AC119" s="43"/>
    </row>
    <row r="120" spans="10:29" hidden="1" outlineLevel="1">
      <c r="J120" s="67"/>
      <c r="K120" s="2" t="s">
        <v>76</v>
      </c>
      <c r="L120" s="4">
        <v>20</v>
      </c>
      <c r="M120" s="2">
        <v>4</v>
      </c>
      <c r="N120" s="2"/>
      <c r="O120" s="2"/>
      <c r="P120" s="2"/>
      <c r="Q120" s="4">
        <v>4</v>
      </c>
      <c r="T120" s="2">
        <v>157.5</v>
      </c>
      <c r="X120" s="2"/>
      <c r="Z120" s="68"/>
      <c r="AC120" s="43"/>
    </row>
    <row r="121" spans="10:29" hidden="1" outlineLevel="1">
      <c r="J121" s="67"/>
      <c r="K121" s="2" t="s">
        <v>76</v>
      </c>
      <c r="L121" s="4">
        <v>10</v>
      </c>
      <c r="M121" s="2">
        <v>2</v>
      </c>
      <c r="N121" s="2"/>
      <c r="O121" s="2"/>
      <c r="P121" s="2"/>
      <c r="Q121" s="4">
        <v>2</v>
      </c>
      <c r="W121" s="2" t="s">
        <v>75</v>
      </c>
      <c r="X121" s="2">
        <v>3100</v>
      </c>
      <c r="Z121" s="68"/>
      <c r="AC121" s="43">
        <v>0</v>
      </c>
    </row>
    <row r="122" spans="10:29" hidden="1" outlineLevel="1">
      <c r="J122" s="67"/>
      <c r="K122" s="4" t="s">
        <v>75</v>
      </c>
      <c r="M122" s="2">
        <v>3100</v>
      </c>
      <c r="N122" s="2">
        <v>0</v>
      </c>
      <c r="O122" s="2">
        <v>0</v>
      </c>
      <c r="P122" s="2">
        <v>0</v>
      </c>
      <c r="Q122" s="4">
        <v>3100</v>
      </c>
      <c r="W122" s="2" t="s">
        <v>77</v>
      </c>
      <c r="X122" s="14">
        <v>-80.94098883572569</v>
      </c>
      <c r="Z122" s="68"/>
      <c r="AA122" s="121" t="s">
        <v>11</v>
      </c>
      <c r="AB122" s="240">
        <v>0</v>
      </c>
      <c r="AC122" s="301">
        <v>-276.31578947368422</v>
      </c>
    </row>
    <row r="123" spans="10:29" hidden="1" outlineLevel="1">
      <c r="J123" s="67"/>
      <c r="M123" s="2"/>
      <c r="N123" s="2"/>
      <c r="O123" s="2"/>
      <c r="P123" s="2"/>
      <c r="W123" s="2" t="s">
        <v>562</v>
      </c>
      <c r="X123" s="14">
        <v>3019.0590111642741</v>
      </c>
      <c r="Z123" s="68"/>
      <c r="AA123" s="299" t="s">
        <v>587</v>
      </c>
      <c r="AB123" s="4">
        <v>900</v>
      </c>
      <c r="AC123" s="301">
        <v>-276.31578947368462</v>
      </c>
    </row>
    <row r="124" spans="10:29" hidden="1" outlineLevel="1">
      <c r="J124" s="67"/>
      <c r="K124" s="2" t="s">
        <v>76</v>
      </c>
      <c r="L124" s="4">
        <v>500</v>
      </c>
      <c r="M124" s="2"/>
      <c r="N124" s="2"/>
      <c r="O124" s="2"/>
      <c r="P124" s="2"/>
      <c r="Q124" s="4">
        <v>0</v>
      </c>
      <c r="S124" s="2" t="s">
        <v>571</v>
      </c>
      <c r="T124" s="4">
        <v>1057.5</v>
      </c>
      <c r="U124" s="4" t="s">
        <v>17</v>
      </c>
      <c r="X124" s="2"/>
      <c r="Z124" s="68"/>
      <c r="AA124" s="92"/>
      <c r="AB124" s="297">
        <v>4000</v>
      </c>
      <c r="AC124" s="43"/>
    </row>
    <row r="125" spans="10:29" hidden="1" outlineLevel="1">
      <c r="J125" s="67"/>
      <c r="K125" s="2" t="s">
        <v>76</v>
      </c>
      <c r="L125" s="4">
        <v>500</v>
      </c>
      <c r="M125" s="2">
        <v>-6</v>
      </c>
      <c r="N125" s="2"/>
      <c r="O125" s="2"/>
      <c r="P125" s="2">
        <v>1</v>
      </c>
      <c r="Q125" s="4">
        <v>-5</v>
      </c>
      <c r="T125" s="4">
        <v>26685.230362729028</v>
      </c>
      <c r="U125" s="4" t="s">
        <v>135</v>
      </c>
      <c r="X125" s="2"/>
      <c r="Z125" s="68"/>
      <c r="AC125" s="43"/>
    </row>
    <row r="126" spans="10:29" hidden="1" outlineLevel="1">
      <c r="J126" s="67"/>
      <c r="K126" s="2" t="s">
        <v>76</v>
      </c>
      <c r="L126" s="4">
        <v>200</v>
      </c>
      <c r="M126" s="2"/>
      <c r="N126" s="2"/>
      <c r="O126" s="2"/>
      <c r="P126" s="2"/>
      <c r="Q126" s="4">
        <v>0</v>
      </c>
      <c r="W126" s="2" t="s">
        <v>584</v>
      </c>
      <c r="X126" s="203">
        <v>150.14168832962878</v>
      </c>
      <c r="Z126" s="68"/>
      <c r="AC126" s="203">
        <v>147.6999585578119</v>
      </c>
    </row>
    <row r="127" spans="10:29" hidden="1" outlineLevel="1">
      <c r="J127" s="67"/>
      <c r="K127" s="2" t="s">
        <v>76</v>
      </c>
      <c r="L127" s="4">
        <v>100</v>
      </c>
      <c r="M127" s="2"/>
      <c r="N127" s="2"/>
      <c r="O127" s="2"/>
      <c r="P127" s="2">
        <v>4</v>
      </c>
      <c r="Q127" s="4">
        <v>4</v>
      </c>
      <c r="Z127" s="68"/>
    </row>
    <row r="128" spans="10:29" hidden="1" outlineLevel="1">
      <c r="J128" s="67"/>
      <c r="K128" s="2" t="s">
        <v>76</v>
      </c>
      <c r="L128" s="4">
        <v>50</v>
      </c>
      <c r="M128" s="2"/>
      <c r="N128" s="2"/>
      <c r="O128" s="2"/>
      <c r="P128" s="2"/>
      <c r="Q128" s="4">
        <v>0</v>
      </c>
      <c r="Y128" s="2"/>
      <c r="Z128" s="68"/>
    </row>
    <row r="129" spans="10:28" hidden="1" outlineLevel="1">
      <c r="J129" s="67"/>
      <c r="K129" s="2" t="s">
        <v>76</v>
      </c>
      <c r="L129" s="4">
        <v>20</v>
      </c>
      <c r="M129" s="2"/>
      <c r="N129" s="2"/>
      <c r="O129" s="2"/>
      <c r="P129" s="2">
        <v>2</v>
      </c>
      <c r="Q129" s="4">
        <v>2</v>
      </c>
      <c r="X129" s="2"/>
      <c r="Y129" s="2"/>
      <c r="Z129" s="125"/>
    </row>
    <row r="130" spans="10:28" hidden="1" outlineLevel="1">
      <c r="J130" s="67"/>
      <c r="K130" s="2" t="s">
        <v>76</v>
      </c>
      <c r="L130" s="4">
        <v>10</v>
      </c>
      <c r="M130" s="2"/>
      <c r="N130" s="2"/>
      <c r="O130" s="2"/>
      <c r="P130" s="2">
        <v>3</v>
      </c>
      <c r="Q130" s="4">
        <v>0</v>
      </c>
      <c r="X130" s="4" t="s">
        <v>75</v>
      </c>
      <c r="Y130" s="4" t="s">
        <v>77</v>
      </c>
      <c r="Z130" s="126" t="s">
        <v>590</v>
      </c>
    </row>
    <row r="131" spans="10:28" hidden="1" outlineLevel="1">
      <c r="J131" s="67"/>
      <c r="K131" s="2" t="s">
        <v>76</v>
      </c>
      <c r="L131" s="4">
        <v>5</v>
      </c>
      <c r="M131" s="2"/>
      <c r="N131" s="2"/>
      <c r="O131" s="2"/>
      <c r="P131" s="2"/>
      <c r="Q131" s="4">
        <v>0</v>
      </c>
      <c r="V131" s="2" t="s">
        <v>588</v>
      </c>
      <c r="W131" s="2" t="s">
        <v>9</v>
      </c>
      <c r="X131" s="142">
        <v>3100</v>
      </c>
      <c r="Y131" s="142">
        <v>78226.207209891232</v>
      </c>
      <c r="Z131" s="235">
        <v>3100</v>
      </c>
    </row>
    <row r="132" spans="10:28" hidden="1" outlineLevel="1">
      <c r="J132" s="67"/>
      <c r="K132" s="2" t="s">
        <v>76</v>
      </c>
      <c r="L132" s="4">
        <v>2</v>
      </c>
      <c r="M132" s="2"/>
      <c r="N132" s="2"/>
      <c r="O132" s="2"/>
      <c r="P132" s="2"/>
      <c r="Q132" s="4">
        <v>0</v>
      </c>
      <c r="V132" s="2" t="s">
        <v>588</v>
      </c>
      <c r="W132" s="2" t="s">
        <v>135</v>
      </c>
      <c r="X132" s="142">
        <v>-80.446185804650483</v>
      </c>
      <c r="Y132" s="142">
        <v>-2030</v>
      </c>
      <c r="Z132" s="235">
        <v>-80.446185804650483</v>
      </c>
    </row>
    <row r="133" spans="10:28" hidden="1" outlineLevel="1">
      <c r="J133" s="67"/>
      <c r="K133" s="4" t="s">
        <v>77</v>
      </c>
      <c r="M133" s="2">
        <v>-3000</v>
      </c>
      <c r="N133" s="2">
        <v>0</v>
      </c>
      <c r="O133" s="2">
        <v>0</v>
      </c>
      <c r="P133" s="2">
        <v>970</v>
      </c>
      <c r="Q133" s="4">
        <v>-2030</v>
      </c>
      <c r="V133" s="2" t="s">
        <v>589</v>
      </c>
      <c r="W133" s="2" t="s">
        <v>135</v>
      </c>
      <c r="X133" s="142">
        <v>1288.5826771653544</v>
      </c>
      <c r="Y133" s="142">
        <v>32730</v>
      </c>
      <c r="Z133" s="235">
        <v>1297.0461386138968</v>
      </c>
    </row>
    <row r="134" spans="10:28" hidden="1" outlineLevel="1">
      <c r="J134" s="67"/>
      <c r="Q134" s="311">
        <v>-80.446185804650483</v>
      </c>
      <c r="X134" s="142">
        <v>4308.136491360704</v>
      </c>
      <c r="Y134" s="142">
        <v>108926.20720989123</v>
      </c>
      <c r="Z134" s="235">
        <v>4316.5999528092461</v>
      </c>
    </row>
    <row r="135" spans="10:28" hidden="1" outlineLevel="1">
      <c r="J135" s="67"/>
      <c r="O135" t="s">
        <v>563</v>
      </c>
      <c r="Q135" s="312">
        <v>32730</v>
      </c>
      <c r="R135" s="296" t="s">
        <v>675</v>
      </c>
      <c r="T135" s="295">
        <v>236649.85454545487</v>
      </c>
      <c r="X135" s="142"/>
      <c r="Y135" s="142">
        <v>4316.5999528092461</v>
      </c>
      <c r="Z135" s="302"/>
    </row>
    <row r="136" spans="10:28" ht="15" hidden="1" outlineLevel="1" thickBot="1">
      <c r="J136" s="67"/>
      <c r="Q136" s="311">
        <v>1297.0461386138968</v>
      </c>
      <c r="Y136" s="142"/>
      <c r="Z136" s="302"/>
    </row>
    <row r="137" spans="10:28" ht="15" hidden="1" outlineLevel="1" thickBot="1">
      <c r="J137" s="67"/>
      <c r="K137" s="2" t="s">
        <v>606</v>
      </c>
      <c r="N137" s="9" t="s">
        <v>595</v>
      </c>
      <c r="Q137" s="287">
        <v>30700</v>
      </c>
      <c r="S137" s="288">
        <v>4014.7696372709725</v>
      </c>
      <c r="V137" s="2" t="s">
        <v>608</v>
      </c>
      <c r="W137" s="27">
        <v>76196.207209891232</v>
      </c>
      <c r="X137" s="6">
        <v>3019.5538141953493</v>
      </c>
      <c r="Y137" s="142">
        <v>-274.6266342986346</v>
      </c>
      <c r="Z137" s="302"/>
    </row>
    <row r="138" spans="10:28" hidden="1" outlineLevel="1">
      <c r="J138" s="67"/>
      <c r="K138" s="2" t="s">
        <v>607</v>
      </c>
      <c r="M138" s="2"/>
      <c r="Q138" s="311">
        <v>1216.5999528092464</v>
      </c>
      <c r="S138" s="289">
        <v>159.09995280924625</v>
      </c>
      <c r="V138" s="2" t="s">
        <v>609</v>
      </c>
      <c r="W138" s="27">
        <v>32730</v>
      </c>
      <c r="X138" s="6">
        <v>1297.0461386138968</v>
      </c>
      <c r="Y138" s="142">
        <v>426.80070005718517</v>
      </c>
      <c r="Z138" s="302"/>
      <c r="AA138" s="2"/>
    </row>
    <row r="139" spans="10:28" hidden="1" outlineLevel="1">
      <c r="J139" s="67"/>
      <c r="N139" s="9" t="s">
        <v>586</v>
      </c>
      <c r="O139" s="9"/>
      <c r="Q139" s="28">
        <v>4316.5999528092461</v>
      </c>
      <c r="S139"/>
      <c r="T139"/>
      <c r="V139" s="2" t="s">
        <v>14</v>
      </c>
      <c r="W139" s="233">
        <v>108926.20720989123</v>
      </c>
      <c r="X139" s="6">
        <v>4316.5999528092461</v>
      </c>
      <c r="Y139" s="161">
        <v>152.17406575855057</v>
      </c>
      <c r="Z139" s="302"/>
      <c r="AA139" s="2"/>
      <c r="AB139" s="28">
        <v>152.17406575855057</v>
      </c>
    </row>
    <row r="140" spans="10:28" hidden="1" outlineLevel="1">
      <c r="J140" s="67"/>
      <c r="Q140" s="311">
        <v>4316.5999528092461</v>
      </c>
      <c r="S140"/>
      <c r="T140"/>
      <c r="Z140" s="302"/>
      <c r="AB140" s="82">
        <v>3839.9999999999973</v>
      </c>
    </row>
    <row r="141" spans="10:28" hidden="1" outlineLevel="1">
      <c r="J141" s="92"/>
      <c r="K141" s="87"/>
      <c r="L141" s="87"/>
      <c r="M141" s="87"/>
      <c r="N141" s="87"/>
      <c r="O141" s="87"/>
      <c r="P141" s="87"/>
      <c r="Q141" s="87"/>
      <c r="R141" s="87"/>
      <c r="S141" s="297"/>
      <c r="T141" s="297"/>
      <c r="U141" s="297"/>
      <c r="V141" s="297"/>
      <c r="W141" s="297"/>
      <c r="X141" s="87"/>
      <c r="Y141" s="87"/>
      <c r="Z141" s="88"/>
    </row>
    <row r="142" spans="10:28" hidden="1" outlineLevel="1"/>
    <row r="143" spans="10:28" hidden="1" outlineLevel="1"/>
    <row r="144" spans="10:28" hidden="1" outlineLevel="1">
      <c r="J144" s="332" t="s">
        <v>676</v>
      </c>
      <c r="K144" s="188"/>
      <c r="L144" s="188"/>
      <c r="M144" s="188"/>
      <c r="N144" s="188"/>
      <c r="O144" s="188"/>
      <c r="P144" s="188"/>
      <c r="Q144" s="188"/>
      <c r="R144" s="188" t="s">
        <v>578</v>
      </c>
      <c r="S144" s="293"/>
      <c r="T144" s="293"/>
      <c r="U144" s="293"/>
      <c r="V144" s="293"/>
      <c r="W144" s="293"/>
      <c r="X144" s="188" t="s">
        <v>75</v>
      </c>
      <c r="Y144" s="188"/>
      <c r="Z144" s="189"/>
    </row>
    <row r="145" spans="10:28" hidden="1" outlineLevel="1">
      <c r="J145" s="67"/>
      <c r="K145" t="s">
        <v>565</v>
      </c>
      <c r="L145" s="2"/>
      <c r="M145" s="2"/>
      <c r="N145" s="2" t="s">
        <v>583</v>
      </c>
      <c r="O145" s="2" t="s">
        <v>583</v>
      </c>
      <c r="T145" s="4">
        <v>4629.95</v>
      </c>
      <c r="W145" s="2" t="s">
        <v>565</v>
      </c>
      <c r="X145" s="2">
        <v>4157.5</v>
      </c>
      <c r="Z145" s="68"/>
    </row>
    <row r="146" spans="10:28" hidden="1" outlineLevel="1">
      <c r="J146" s="67"/>
      <c r="K146" s="2" t="s">
        <v>76</v>
      </c>
      <c r="L146" s="4">
        <v>200</v>
      </c>
      <c r="M146" s="2"/>
      <c r="N146" s="2"/>
      <c r="O146" s="2"/>
      <c r="P146" s="2"/>
      <c r="W146" s="2" t="s">
        <v>563</v>
      </c>
      <c r="X146" s="312">
        <v>-1169.0944881889764</v>
      </c>
      <c r="Y146" s="142">
        <v>119.48818897637807</v>
      </c>
      <c r="Z146" s="325">
        <v>-9378.1173248311206</v>
      </c>
    </row>
    <row r="147" spans="10:28" hidden="1" outlineLevel="1">
      <c r="J147" s="67"/>
      <c r="K147" s="2" t="s">
        <v>76</v>
      </c>
      <c r="L147" s="4">
        <v>100</v>
      </c>
      <c r="M147" s="2"/>
      <c r="N147" s="2"/>
      <c r="O147" s="2"/>
      <c r="P147" s="2"/>
      <c r="W147" s="2" t="s">
        <v>562</v>
      </c>
      <c r="X147" s="142">
        <v>2988.4055118110236</v>
      </c>
      <c r="Z147" s="68"/>
    </row>
    <row r="148" spans="10:28" hidden="1" outlineLevel="1">
      <c r="J148" s="67"/>
      <c r="K148" s="2" t="s">
        <v>76</v>
      </c>
      <c r="L148" s="4">
        <v>50</v>
      </c>
      <c r="M148" s="2">
        <v>50</v>
      </c>
      <c r="N148" s="2"/>
      <c r="O148" s="2"/>
      <c r="P148" s="2"/>
      <c r="Q148" s="4">
        <v>50</v>
      </c>
      <c r="T148" s="2">
        <v>900</v>
      </c>
      <c r="X148" s="2"/>
      <c r="Z148" s="68"/>
    </row>
    <row r="149" spans="10:28" hidden="1" outlineLevel="1">
      <c r="J149" s="67"/>
      <c r="K149" s="2" t="s">
        <v>76</v>
      </c>
      <c r="L149" s="4">
        <v>20</v>
      </c>
      <c r="M149" s="2">
        <v>4</v>
      </c>
      <c r="N149" s="2"/>
      <c r="O149" s="2"/>
      <c r="P149" s="2"/>
      <c r="Q149" s="4">
        <v>4</v>
      </c>
      <c r="T149" s="2">
        <v>157.5</v>
      </c>
      <c r="X149" s="2"/>
      <c r="Z149" s="68"/>
    </row>
    <row r="150" spans="10:28" hidden="1" outlineLevel="1">
      <c r="J150" s="67"/>
      <c r="K150" s="2" t="s">
        <v>76</v>
      </c>
      <c r="L150" s="4">
        <v>10</v>
      </c>
      <c r="M150" s="2">
        <v>2</v>
      </c>
      <c r="N150" s="2"/>
      <c r="O150" s="2"/>
      <c r="P150" s="2"/>
      <c r="Q150" s="4">
        <v>2</v>
      </c>
      <c r="T150" s="2">
        <v>500</v>
      </c>
      <c r="W150" s="2" t="s">
        <v>75</v>
      </c>
      <c r="X150" s="2">
        <v>2600</v>
      </c>
      <c r="Z150" s="68"/>
    </row>
    <row r="151" spans="10:28" hidden="1" outlineLevel="1">
      <c r="J151" s="67"/>
      <c r="K151" s="4" t="s">
        <v>75</v>
      </c>
      <c r="M151" s="2">
        <v>2600</v>
      </c>
      <c r="N151" s="2">
        <v>0</v>
      </c>
      <c r="O151" s="2">
        <v>0</v>
      </c>
      <c r="P151" s="2">
        <v>0</v>
      </c>
      <c r="Q151" s="4">
        <v>2600</v>
      </c>
      <c r="T151" s="2">
        <v>472.45</v>
      </c>
      <c r="W151" s="2" t="s">
        <v>77</v>
      </c>
      <c r="X151" s="14">
        <v>264.75279106858056</v>
      </c>
      <c r="Z151" s="68"/>
      <c r="AA151" s="121" t="s">
        <v>11</v>
      </c>
      <c r="AB151" s="240">
        <v>500</v>
      </c>
    </row>
    <row r="152" spans="10:28" hidden="1" outlineLevel="1">
      <c r="J152" s="67"/>
      <c r="M152" s="2"/>
      <c r="N152" s="2"/>
      <c r="O152" s="2"/>
      <c r="P152" s="2"/>
      <c r="W152" s="2" t="s">
        <v>562</v>
      </c>
      <c r="X152" s="14">
        <v>2864.7527910685803</v>
      </c>
      <c r="Z152" s="68"/>
      <c r="AA152" s="299" t="s">
        <v>587</v>
      </c>
      <c r="AB152" s="4">
        <v>1400</v>
      </c>
    </row>
    <row r="153" spans="10:28" hidden="1" outlineLevel="1">
      <c r="J153" s="67"/>
      <c r="K153" s="2" t="s">
        <v>76</v>
      </c>
      <c r="L153" s="4">
        <v>500</v>
      </c>
      <c r="M153" s="2"/>
      <c r="N153" s="2"/>
      <c r="O153" s="2"/>
      <c r="P153" s="2"/>
      <c r="Q153" s="4">
        <v>0</v>
      </c>
      <c r="S153" s="2" t="s">
        <v>571</v>
      </c>
      <c r="T153" s="4">
        <v>2029.95</v>
      </c>
      <c r="U153" s="4" t="s">
        <v>17</v>
      </c>
      <c r="X153" s="2"/>
      <c r="Z153" s="68"/>
      <c r="AA153" s="92"/>
      <c r="AB153" s="297">
        <v>4000</v>
      </c>
    </row>
    <row r="154" spans="10:28" hidden="1" outlineLevel="1">
      <c r="J154" s="67"/>
      <c r="K154" s="2" t="s">
        <v>76</v>
      </c>
      <c r="L154" s="4">
        <v>500</v>
      </c>
      <c r="M154" s="2">
        <v>8</v>
      </c>
      <c r="N154" s="2"/>
      <c r="O154" s="2"/>
      <c r="P154" s="2">
        <v>4</v>
      </c>
      <c r="Q154" s="4">
        <v>12</v>
      </c>
      <c r="T154" s="4">
        <v>51224.286879264102</v>
      </c>
      <c r="U154" s="4" t="s">
        <v>135</v>
      </c>
      <c r="X154" s="2"/>
      <c r="Z154" s="68"/>
    </row>
    <row r="155" spans="10:28" hidden="1" outlineLevel="1">
      <c r="J155" s="67"/>
      <c r="K155" s="2" t="s">
        <v>76</v>
      </c>
      <c r="L155" s="4">
        <v>200</v>
      </c>
      <c r="M155" s="2"/>
      <c r="N155" s="2"/>
      <c r="O155" s="2"/>
      <c r="P155" s="2">
        <v>2</v>
      </c>
      <c r="Q155" s="4">
        <v>2</v>
      </c>
      <c r="W155" s="2" t="s">
        <v>584</v>
      </c>
      <c r="X155" s="203">
        <v>-123.65272074244331</v>
      </c>
      <c r="Z155" s="68"/>
    </row>
    <row r="156" spans="10:28" hidden="1" outlineLevel="1">
      <c r="J156" s="67"/>
      <c r="K156" s="2" t="s">
        <v>76</v>
      </c>
      <c r="L156" s="4">
        <v>100</v>
      </c>
      <c r="M156" s="2"/>
      <c r="N156" s="2"/>
      <c r="O156" s="2"/>
      <c r="P156" s="2">
        <v>2</v>
      </c>
      <c r="Q156" s="4">
        <v>2</v>
      </c>
      <c r="Z156" s="68"/>
    </row>
    <row r="157" spans="10:28" hidden="1" outlineLevel="1">
      <c r="J157" s="67"/>
      <c r="K157" s="2" t="s">
        <v>76</v>
      </c>
      <c r="L157" s="4">
        <v>50</v>
      </c>
      <c r="M157" s="2"/>
      <c r="N157" s="2"/>
      <c r="O157" s="2"/>
      <c r="P157" s="2"/>
      <c r="Q157" s="4">
        <v>0</v>
      </c>
      <c r="Y157" s="2"/>
      <c r="Z157" s="68"/>
    </row>
    <row r="158" spans="10:28" hidden="1" outlineLevel="1">
      <c r="J158" s="67"/>
      <c r="K158" s="2" t="s">
        <v>76</v>
      </c>
      <c r="L158" s="4">
        <v>20</v>
      </c>
      <c r="M158" s="2"/>
      <c r="N158" s="2"/>
      <c r="O158" s="2"/>
      <c r="P158" s="2"/>
      <c r="Q158" s="4">
        <v>0</v>
      </c>
      <c r="X158" s="2"/>
      <c r="Y158" s="2"/>
      <c r="Z158" s="125"/>
    </row>
    <row r="159" spans="10:28" hidden="1" outlineLevel="1">
      <c r="J159" s="67"/>
      <c r="K159" s="2" t="s">
        <v>76</v>
      </c>
      <c r="L159" s="4">
        <v>10</v>
      </c>
      <c r="M159" s="2"/>
      <c r="N159" s="2"/>
      <c r="O159" s="2"/>
      <c r="P159" s="2">
        <v>4</v>
      </c>
      <c r="Q159" s="4">
        <v>0</v>
      </c>
      <c r="X159" s="4" t="s">
        <v>75</v>
      </c>
      <c r="Y159" s="4" t="s">
        <v>77</v>
      </c>
      <c r="Z159" s="126" t="s">
        <v>590</v>
      </c>
    </row>
    <row r="160" spans="10:28" hidden="1" outlineLevel="1">
      <c r="J160" s="67"/>
      <c r="K160" s="2" t="s">
        <v>76</v>
      </c>
      <c r="L160" s="4">
        <v>5</v>
      </c>
      <c r="M160" s="2"/>
      <c r="N160" s="2"/>
      <c r="O160" s="2"/>
      <c r="P160" s="2"/>
      <c r="Q160" s="4">
        <v>0</v>
      </c>
      <c r="V160" s="2" t="s">
        <v>588</v>
      </c>
      <c r="W160" s="2" t="s">
        <v>9</v>
      </c>
      <c r="X160" s="142">
        <v>2600</v>
      </c>
      <c r="Y160" s="142">
        <v>65609.077014747483</v>
      </c>
      <c r="Z160" s="235">
        <v>2600</v>
      </c>
    </row>
    <row r="161" spans="10:28" hidden="1" outlineLevel="1">
      <c r="J161" s="67"/>
      <c r="K161" s="2" t="s">
        <v>76</v>
      </c>
      <c r="L161" s="4">
        <v>2</v>
      </c>
      <c r="M161" s="2"/>
      <c r="N161" s="2"/>
      <c r="O161" s="2"/>
      <c r="P161" s="2"/>
      <c r="Q161" s="4">
        <v>0</v>
      </c>
      <c r="V161" s="2" t="s">
        <v>588</v>
      </c>
      <c r="W161" s="2" t="s">
        <v>135</v>
      </c>
      <c r="X161" s="142">
        <v>263.13432204082721</v>
      </c>
      <c r="Y161" s="142">
        <v>6640</v>
      </c>
      <c r="Z161" s="235">
        <v>263.13432204082721</v>
      </c>
    </row>
    <row r="162" spans="10:28" hidden="1" outlineLevel="1">
      <c r="J162" s="67"/>
      <c r="K162" s="4" t="s">
        <v>77</v>
      </c>
      <c r="M162" s="2">
        <v>4000</v>
      </c>
      <c r="N162" s="2">
        <v>0</v>
      </c>
      <c r="O162" s="2">
        <v>0</v>
      </c>
      <c r="P162" s="2">
        <v>2640</v>
      </c>
      <c r="Q162" s="4">
        <v>6640</v>
      </c>
      <c r="V162" s="2" t="s">
        <v>589</v>
      </c>
      <c r="W162" s="2" t="s">
        <v>135</v>
      </c>
      <c r="X162" s="142">
        <v>1169.0944881889764</v>
      </c>
      <c r="Y162" s="142">
        <v>29695</v>
      </c>
      <c r="Z162" s="235">
        <v>1176.7731465365007</v>
      </c>
    </row>
    <row r="163" spans="10:28" hidden="1" outlineLevel="1">
      <c r="J163" s="67"/>
      <c r="Q163" s="311">
        <v>263.13432204082721</v>
      </c>
      <c r="X163" s="142">
        <v>4032.2288102298035</v>
      </c>
      <c r="Y163" s="142">
        <v>101944.07701474748</v>
      </c>
      <c r="Z163" s="235">
        <v>4039.9074685773276</v>
      </c>
    </row>
    <row r="164" spans="10:28" hidden="1" outlineLevel="1">
      <c r="J164" s="67"/>
      <c r="O164" t="s">
        <v>563</v>
      </c>
      <c r="Q164" s="295">
        <v>29695</v>
      </c>
      <c r="R164" s="296" t="s">
        <v>676</v>
      </c>
      <c r="T164" s="295">
        <v>236649.85454545487</v>
      </c>
      <c r="X164" s="142"/>
      <c r="Y164" s="142">
        <v>4039.9074685773276</v>
      </c>
      <c r="Z164" s="302"/>
    </row>
    <row r="165" spans="10:28" ht="15" hidden="1" outlineLevel="1" thickBot="1">
      <c r="J165" s="67"/>
      <c r="Q165" s="311">
        <v>1176.7731465365007</v>
      </c>
      <c r="Y165" s="142"/>
      <c r="Z165" s="302"/>
    </row>
    <row r="166" spans="10:28" ht="15" hidden="1" outlineLevel="1" thickBot="1">
      <c r="J166" s="67"/>
      <c r="K166" s="2" t="s">
        <v>606</v>
      </c>
      <c r="N166" s="9" t="s">
        <v>595</v>
      </c>
      <c r="Q166" s="287">
        <v>36335</v>
      </c>
      <c r="S166" s="288">
        <v>-14889.286879264102</v>
      </c>
      <c r="V166" s="2" t="s">
        <v>608</v>
      </c>
      <c r="W166" s="27">
        <v>72249.077014747483</v>
      </c>
      <c r="X166" s="6">
        <v>2863.1343220408271</v>
      </c>
      <c r="Y166" s="142">
        <v>-156.41949215452223</v>
      </c>
      <c r="Z166" s="302"/>
    </row>
    <row r="167" spans="10:28" hidden="1" outlineLevel="1">
      <c r="J167" s="67"/>
      <c r="K167" s="2" t="s">
        <v>607</v>
      </c>
      <c r="M167" s="2"/>
      <c r="Q167" s="311">
        <v>1439.9074685773278</v>
      </c>
      <c r="S167" s="289">
        <v>-590.04253142267225</v>
      </c>
      <c r="V167" s="2" t="s">
        <v>609</v>
      </c>
      <c r="W167" s="27">
        <v>29695</v>
      </c>
      <c r="X167" s="6">
        <v>1176.7731465365007</v>
      </c>
      <c r="Y167" s="142">
        <v>-120.27299207739611</v>
      </c>
      <c r="Z167" s="302"/>
      <c r="AA167" s="2"/>
    </row>
    <row r="168" spans="10:28" hidden="1" outlineLevel="1">
      <c r="J168" s="67"/>
      <c r="N168" s="9" t="s">
        <v>586</v>
      </c>
      <c r="O168" s="9"/>
      <c r="Q168" s="28">
        <v>4039.9074685773276</v>
      </c>
      <c r="S168"/>
      <c r="T168"/>
      <c r="V168" s="2" t="s">
        <v>14</v>
      </c>
      <c r="W168" s="233">
        <v>101944.07701474748</v>
      </c>
      <c r="X168" s="6">
        <v>4039.9074685773276</v>
      </c>
      <c r="Y168" s="161">
        <v>-276.69248423191857</v>
      </c>
      <c r="Z168" s="302"/>
      <c r="AA168" s="2"/>
      <c r="AB168" s="28">
        <v>-276.69248423191857</v>
      </c>
    </row>
    <row r="169" spans="10:28" hidden="1" outlineLevel="1">
      <c r="J169" s="67"/>
      <c r="Q169" s="311">
        <v>4039.9074685773276</v>
      </c>
      <c r="S169"/>
      <c r="T169"/>
      <c r="Z169" s="302"/>
      <c r="AB169" s="82">
        <v>-6982.1301951437499</v>
      </c>
    </row>
    <row r="170" spans="10:28" hidden="1" outlineLevel="1">
      <c r="J170" s="92"/>
      <c r="K170" s="87"/>
      <c r="L170" s="87"/>
      <c r="M170" s="87"/>
      <c r="N170" s="87"/>
      <c r="O170" s="87"/>
      <c r="P170" s="87"/>
      <c r="Q170" s="87"/>
      <c r="R170" s="87"/>
      <c r="S170" s="297"/>
      <c r="T170" s="297"/>
      <c r="U170" s="297"/>
      <c r="V170" s="297"/>
      <c r="W170" s="297"/>
      <c r="X170" s="87"/>
      <c r="Y170" s="87"/>
      <c r="Z170" s="88"/>
    </row>
    <row r="171" spans="10:28" hidden="1" outlineLevel="1"/>
    <row r="172" spans="10:28" hidden="1" outlineLevel="1"/>
    <row r="173" spans="10:28" hidden="1" outlineLevel="1" collapsed="1">
      <c r="J173" s="332" t="s">
        <v>700</v>
      </c>
      <c r="K173" s="188"/>
      <c r="L173" s="188"/>
      <c r="M173" s="188"/>
      <c r="N173" s="188"/>
      <c r="O173" s="188"/>
      <c r="P173" s="188"/>
      <c r="Q173" s="188"/>
      <c r="R173" s="188" t="s">
        <v>578</v>
      </c>
      <c r="S173" s="293"/>
      <c r="T173" s="293"/>
      <c r="U173" s="293"/>
      <c r="V173" s="293"/>
      <c r="W173" s="293"/>
      <c r="X173" s="188" t="s">
        <v>75</v>
      </c>
      <c r="Y173" s="188"/>
      <c r="Z173" s="189"/>
    </row>
    <row r="174" spans="10:28" hidden="1" outlineLevel="1">
      <c r="J174" s="67"/>
      <c r="K174" t="s">
        <v>565</v>
      </c>
      <c r="L174" s="2"/>
      <c r="M174" s="2"/>
      <c r="N174" s="2"/>
      <c r="O174" s="2"/>
      <c r="P174" s="2"/>
      <c r="T174" s="4">
        <v>4629.93</v>
      </c>
      <c r="W174" s="2" t="s">
        <v>565</v>
      </c>
      <c r="X174" s="215">
        <v>6098.2</v>
      </c>
      <c r="Z174" s="68"/>
    </row>
    <row r="175" spans="10:28" hidden="1" outlineLevel="1">
      <c r="J175" s="67"/>
      <c r="K175" s="2" t="s">
        <v>76</v>
      </c>
      <c r="L175" s="4">
        <v>200</v>
      </c>
      <c r="M175" s="2"/>
      <c r="N175" s="2"/>
      <c r="O175" s="2"/>
      <c r="P175" s="2"/>
      <c r="W175" s="2" t="s">
        <v>563</v>
      </c>
      <c r="X175" s="312">
        <v>-1846.3779527559057</v>
      </c>
      <c r="Y175" s="142">
        <v>-677.2834645669293</v>
      </c>
      <c r="Z175" s="325">
        <v>-9378.1173248311206</v>
      </c>
    </row>
    <row r="176" spans="10:28" hidden="1" outlineLevel="1">
      <c r="J176" s="67"/>
      <c r="K176" s="2" t="s">
        <v>76</v>
      </c>
      <c r="L176" s="4">
        <v>100</v>
      </c>
      <c r="M176" s="2"/>
      <c r="N176" s="2"/>
      <c r="O176" s="2"/>
      <c r="P176" s="2"/>
      <c r="W176" s="2" t="s">
        <v>562</v>
      </c>
      <c r="X176" s="142">
        <v>4251.8220472440944</v>
      </c>
      <c r="Z176" s="68"/>
    </row>
    <row r="177" spans="10:28" hidden="1" outlineLevel="1">
      <c r="J177" s="67"/>
      <c r="K177" s="2" t="s">
        <v>76</v>
      </c>
      <c r="L177" s="4">
        <v>50</v>
      </c>
      <c r="M177" s="2">
        <v>50</v>
      </c>
      <c r="N177" s="2"/>
      <c r="O177" s="2"/>
      <c r="P177" s="2"/>
      <c r="Q177" s="4">
        <v>50</v>
      </c>
      <c r="T177" s="2">
        <v>900</v>
      </c>
      <c r="X177" s="2"/>
      <c r="Z177" s="68"/>
    </row>
    <row r="178" spans="10:28" hidden="1" outlineLevel="1">
      <c r="J178" s="67"/>
      <c r="K178" s="2" t="s">
        <v>76</v>
      </c>
      <c r="L178" s="4">
        <v>20</v>
      </c>
      <c r="M178" s="2">
        <v>4</v>
      </c>
      <c r="N178" s="2"/>
      <c r="O178" s="2"/>
      <c r="P178" s="2"/>
      <c r="Q178" s="4">
        <v>4</v>
      </c>
      <c r="T178" s="2">
        <v>157.47999999999999</v>
      </c>
      <c r="X178" s="2"/>
      <c r="Z178" s="68"/>
    </row>
    <row r="179" spans="10:28" hidden="1" outlineLevel="1">
      <c r="J179" s="67"/>
      <c r="K179" s="2" t="s">
        <v>76</v>
      </c>
      <c r="L179" s="4">
        <v>10</v>
      </c>
      <c r="M179" s="2">
        <v>2</v>
      </c>
      <c r="N179" s="2"/>
      <c r="O179" s="2"/>
      <c r="P179" s="2"/>
      <c r="Q179" s="4">
        <v>2</v>
      </c>
      <c r="T179" s="2">
        <v>500</v>
      </c>
      <c r="W179" s="2" t="s">
        <v>75</v>
      </c>
      <c r="X179" s="2">
        <v>2600</v>
      </c>
      <c r="Z179" s="68"/>
    </row>
    <row r="180" spans="10:28" hidden="1" outlineLevel="1">
      <c r="J180" s="67"/>
      <c r="K180" s="4" t="s">
        <v>75</v>
      </c>
      <c r="M180" s="2">
        <v>2600</v>
      </c>
      <c r="N180" s="2">
        <v>0</v>
      </c>
      <c r="O180" s="2">
        <v>0</v>
      </c>
      <c r="P180" s="2">
        <v>0</v>
      </c>
      <c r="Q180" s="4">
        <v>2600</v>
      </c>
      <c r="T180" s="2">
        <v>472.45</v>
      </c>
      <c r="W180" s="2" t="s">
        <v>77</v>
      </c>
      <c r="X180" s="14">
        <v>225.07974481658692</v>
      </c>
      <c r="Z180" s="68"/>
      <c r="AA180" s="121" t="s">
        <v>11</v>
      </c>
      <c r="AB180" s="240">
        <v>0</v>
      </c>
    </row>
    <row r="181" spans="10:28" hidden="1" outlineLevel="1">
      <c r="J181" s="67"/>
      <c r="M181" s="2"/>
      <c r="N181" s="2"/>
      <c r="O181" s="2"/>
      <c r="P181" s="2"/>
      <c r="W181" s="2" t="s">
        <v>562</v>
      </c>
      <c r="X181" s="14">
        <v>2825.0797448165868</v>
      </c>
      <c r="Z181" s="68"/>
      <c r="AA181" s="299" t="s">
        <v>587</v>
      </c>
      <c r="AB181" s="4">
        <v>1400</v>
      </c>
    </row>
    <row r="182" spans="10:28" hidden="1" outlineLevel="1">
      <c r="J182" s="67"/>
      <c r="K182" s="2" t="s">
        <v>76</v>
      </c>
      <c r="L182" s="4">
        <v>500</v>
      </c>
      <c r="M182" s="2"/>
      <c r="N182" s="2"/>
      <c r="O182" s="2"/>
      <c r="P182" s="2"/>
      <c r="Q182" s="4">
        <v>0</v>
      </c>
      <c r="S182" s="2" t="s">
        <v>571</v>
      </c>
      <c r="T182" s="4">
        <v>2029.93</v>
      </c>
      <c r="U182" s="4" t="s">
        <v>17</v>
      </c>
      <c r="X182" s="2"/>
      <c r="Z182" s="68"/>
      <c r="AA182" s="92"/>
      <c r="AB182" s="297">
        <v>4000</v>
      </c>
    </row>
    <row r="183" spans="10:28" hidden="1" outlineLevel="1">
      <c r="J183" s="67"/>
      <c r="K183" s="2" t="s">
        <v>76</v>
      </c>
      <c r="L183" s="4">
        <v>500</v>
      </c>
      <c r="M183" s="2">
        <v>8</v>
      </c>
      <c r="N183" s="2"/>
      <c r="O183" s="2"/>
      <c r="P183" s="2">
        <v>3</v>
      </c>
      <c r="Q183" s="4">
        <v>11</v>
      </c>
      <c r="T183" s="4">
        <v>51223.782194056301</v>
      </c>
      <c r="U183" s="4" t="s">
        <v>135</v>
      </c>
      <c r="X183" s="2"/>
      <c r="Z183" s="68"/>
    </row>
    <row r="184" spans="10:28" hidden="1" outlineLevel="1">
      <c r="J184" s="67"/>
      <c r="K184" s="2" t="s">
        <v>76</v>
      </c>
      <c r="L184" s="4">
        <v>200</v>
      </c>
      <c r="M184" s="2"/>
      <c r="N184" s="2"/>
      <c r="O184" s="2"/>
      <c r="P184" s="2"/>
      <c r="Q184" s="4">
        <v>0</v>
      </c>
      <c r="W184" s="2" t="s">
        <v>584</v>
      </c>
      <c r="X184" s="203">
        <v>-1426.7423024275076</v>
      </c>
      <c r="Z184" s="68"/>
    </row>
    <row r="185" spans="10:28" hidden="1" outlineLevel="1">
      <c r="J185" s="67"/>
      <c r="K185" s="2" t="s">
        <v>76</v>
      </c>
      <c r="L185" s="4">
        <v>100</v>
      </c>
      <c r="M185" s="2"/>
      <c r="N185" s="2"/>
      <c r="O185" s="2"/>
      <c r="P185" s="2">
        <v>1</v>
      </c>
      <c r="Q185" s="4">
        <v>1</v>
      </c>
      <c r="Z185" s="68"/>
    </row>
    <row r="186" spans="10:28" hidden="1" outlineLevel="1">
      <c r="J186" s="67"/>
      <c r="K186" s="2" t="s">
        <v>76</v>
      </c>
      <c r="L186" s="4">
        <v>50</v>
      </c>
      <c r="M186" s="2"/>
      <c r="N186" s="2"/>
      <c r="O186" s="2"/>
      <c r="P186" s="2"/>
      <c r="Q186" s="4">
        <v>0</v>
      </c>
      <c r="Y186" s="2"/>
      <c r="Z186" s="68"/>
    </row>
    <row r="187" spans="10:28" hidden="1" outlineLevel="1">
      <c r="J187" s="67"/>
      <c r="K187" s="2" t="s">
        <v>76</v>
      </c>
      <c r="L187" s="4">
        <v>20</v>
      </c>
      <c r="M187" s="2"/>
      <c r="N187" s="2"/>
      <c r="O187" s="2"/>
      <c r="P187" s="2">
        <v>2</v>
      </c>
      <c r="Q187" s="4">
        <v>2</v>
      </c>
      <c r="X187" s="2"/>
      <c r="Y187" s="2"/>
      <c r="Z187" s="125"/>
    </row>
    <row r="188" spans="10:28" hidden="1" outlineLevel="1">
      <c r="J188" s="67"/>
      <c r="K188" s="2" t="s">
        <v>76</v>
      </c>
      <c r="L188" s="4">
        <v>10</v>
      </c>
      <c r="M188" s="2"/>
      <c r="N188" s="2"/>
      <c r="O188" s="2"/>
      <c r="P188" s="2"/>
      <c r="Q188" s="4">
        <v>0</v>
      </c>
      <c r="X188" s="4" t="s">
        <v>75</v>
      </c>
      <c r="Y188" s="4" t="s">
        <v>77</v>
      </c>
      <c r="Z188" s="126" t="s">
        <v>590</v>
      </c>
    </row>
    <row r="189" spans="10:28" hidden="1" outlineLevel="1">
      <c r="J189" s="67"/>
      <c r="K189" s="2" t="s">
        <v>76</v>
      </c>
      <c r="L189" s="4">
        <v>5</v>
      </c>
      <c r="M189" s="2"/>
      <c r="N189" s="2"/>
      <c r="O189" s="2"/>
      <c r="P189" s="2">
        <v>1</v>
      </c>
      <c r="Q189" s="4">
        <v>1</v>
      </c>
      <c r="V189" s="2" t="s">
        <v>588</v>
      </c>
      <c r="W189" s="2" t="s">
        <v>9</v>
      </c>
      <c r="X189" s="142">
        <v>2600</v>
      </c>
      <c r="Y189" s="142">
        <v>65609.077014747483</v>
      </c>
      <c r="Z189" s="235">
        <v>2600</v>
      </c>
    </row>
    <row r="190" spans="10:28" hidden="1" outlineLevel="1">
      <c r="J190" s="67"/>
      <c r="K190" s="2" t="s">
        <v>76</v>
      </c>
      <c r="L190" s="4">
        <v>2</v>
      </c>
      <c r="M190" s="2"/>
      <c r="N190" s="2"/>
      <c r="O190" s="2"/>
      <c r="P190" s="2"/>
      <c r="Q190" s="4">
        <v>0</v>
      </c>
      <c r="V190" s="2" t="s">
        <v>588</v>
      </c>
      <c r="W190" s="2" t="s">
        <v>135</v>
      </c>
      <c r="X190" s="142">
        <v>223.70380239766109</v>
      </c>
      <c r="Y190" s="142">
        <v>5645</v>
      </c>
      <c r="Z190" s="235">
        <v>223.70380239766109</v>
      </c>
    </row>
    <row r="191" spans="10:28" hidden="1" outlineLevel="1">
      <c r="J191" s="67"/>
      <c r="K191" s="4" t="s">
        <v>77</v>
      </c>
      <c r="M191" s="2">
        <v>4000</v>
      </c>
      <c r="N191" s="2">
        <v>0</v>
      </c>
      <c r="O191" s="2">
        <v>0</v>
      </c>
      <c r="P191" s="2">
        <v>1645</v>
      </c>
      <c r="Q191" s="4">
        <v>5645</v>
      </c>
      <c r="V191" s="2" t="s">
        <v>589</v>
      </c>
      <c r="W191" s="2" t="s">
        <v>135</v>
      </c>
      <c r="X191" s="142">
        <v>1846.3779527559057</v>
      </c>
      <c r="Y191" s="142">
        <v>46897.999999999993</v>
      </c>
      <c r="Z191" s="235">
        <v>1858.5050354022158</v>
      </c>
    </row>
    <row r="192" spans="10:28" hidden="1" outlineLevel="1">
      <c r="J192" s="67"/>
      <c r="Q192" s="311">
        <v>223.70380239766109</v>
      </c>
      <c r="X192" s="142">
        <v>4670.0817551535665</v>
      </c>
      <c r="Y192" s="142">
        <v>118152.07701474748</v>
      </c>
      <c r="Z192" s="235">
        <v>4682.2088377998771</v>
      </c>
    </row>
    <row r="193" spans="10:28" hidden="1" outlineLevel="1">
      <c r="J193" s="67"/>
      <c r="O193" t="s">
        <v>563</v>
      </c>
      <c r="Q193" s="295">
        <v>46897.999999999993</v>
      </c>
      <c r="R193" s="296" t="s">
        <v>700</v>
      </c>
      <c r="T193" s="295">
        <v>236649.85454545487</v>
      </c>
      <c r="X193" s="142"/>
      <c r="Y193" s="142">
        <v>4682.2088377998771</v>
      </c>
      <c r="Z193" s="302"/>
    </row>
    <row r="194" spans="10:28" ht="15" hidden="1" outlineLevel="1" thickBot="1">
      <c r="J194" s="67"/>
      <c r="Q194" s="311">
        <v>1858.5050354022158</v>
      </c>
      <c r="Y194" s="142"/>
      <c r="Z194" s="302"/>
    </row>
    <row r="195" spans="10:28" ht="15" hidden="1" outlineLevel="1" thickBot="1">
      <c r="J195" s="67"/>
      <c r="K195" s="2" t="s">
        <v>606</v>
      </c>
      <c r="N195" s="9" t="s">
        <v>595</v>
      </c>
      <c r="Q195" s="348">
        <v>52542.999999999993</v>
      </c>
      <c r="S195" s="349">
        <v>1319.2178059436919</v>
      </c>
      <c r="V195" s="2" t="s">
        <v>608</v>
      </c>
      <c r="W195" s="27">
        <v>71254.077014747483</v>
      </c>
      <c r="X195" s="6">
        <v>2823.7038023976611</v>
      </c>
      <c r="Y195" s="142">
        <v>-39.430519643166008</v>
      </c>
      <c r="Z195" s="302"/>
    </row>
    <row r="196" spans="10:28" hidden="1" outlineLevel="1">
      <c r="J196" s="67"/>
      <c r="K196" s="2" t="s">
        <v>607</v>
      </c>
      <c r="M196" s="2"/>
      <c r="Q196" s="311">
        <v>2082.2088377998766</v>
      </c>
      <c r="S196" s="289">
        <v>52.278837799876648</v>
      </c>
      <c r="V196" s="2" t="s">
        <v>609</v>
      </c>
      <c r="W196" s="27">
        <v>46897.999999999993</v>
      </c>
      <c r="X196" s="6">
        <v>1858.5050354022158</v>
      </c>
      <c r="Y196" s="142">
        <v>681.73188886571506</v>
      </c>
      <c r="Z196" s="302"/>
      <c r="AA196" s="2"/>
    </row>
    <row r="197" spans="10:28" hidden="1" outlineLevel="1">
      <c r="J197" s="67"/>
      <c r="N197" s="9" t="s">
        <v>586</v>
      </c>
      <c r="O197" s="9"/>
      <c r="Q197" s="28">
        <v>4682.2088377998771</v>
      </c>
      <c r="S197"/>
      <c r="T197"/>
      <c r="V197" s="2" t="s">
        <v>14</v>
      </c>
      <c r="W197" s="233">
        <v>118152.07701474748</v>
      </c>
      <c r="X197" s="6">
        <v>4682.2088377998771</v>
      </c>
      <c r="Y197" s="161">
        <v>642.30136922254951</v>
      </c>
      <c r="Z197" s="302"/>
      <c r="AA197" s="2"/>
      <c r="AB197" s="28">
        <v>642.30136922254951</v>
      </c>
    </row>
    <row r="198" spans="10:28" hidden="1" outlineLevel="1">
      <c r="J198" s="67"/>
      <c r="Q198" s="311">
        <v>4682.2088377998771</v>
      </c>
      <c r="S198"/>
      <c r="T198"/>
      <c r="Z198" s="302"/>
      <c r="AB198" s="82">
        <v>16208.000000000005</v>
      </c>
    </row>
    <row r="199" spans="10:28" hidden="1" outlineLevel="1">
      <c r="J199" s="92"/>
      <c r="K199" s="87"/>
      <c r="L199" s="87"/>
      <c r="M199" s="87"/>
      <c r="N199" s="87"/>
      <c r="O199" s="87"/>
      <c r="P199" s="87"/>
      <c r="Q199" s="87"/>
      <c r="R199" s="87"/>
      <c r="S199" s="297"/>
      <c r="T199" s="297"/>
      <c r="U199" s="297"/>
      <c r="V199" s="297"/>
      <c r="W199" s="297"/>
      <c r="X199" s="87"/>
      <c r="Y199" s="87"/>
      <c r="Z199" s="88"/>
    </row>
    <row r="200" spans="10:28" hidden="1" outlineLevel="1"/>
    <row r="201" spans="10:28" hidden="1" outlineLevel="1"/>
    <row r="202" spans="10:28" hidden="1" outlineLevel="1" collapsed="1">
      <c r="J202" s="332" t="s">
        <v>708</v>
      </c>
      <c r="K202" s="188"/>
      <c r="L202" s="188"/>
      <c r="M202" s="188"/>
      <c r="N202" s="188"/>
      <c r="O202" s="188"/>
      <c r="P202" s="188"/>
      <c r="Q202" s="188"/>
      <c r="R202" s="188" t="s">
        <v>578</v>
      </c>
      <c r="S202" s="293"/>
      <c r="T202" s="293"/>
      <c r="U202" s="293"/>
      <c r="V202" s="293"/>
      <c r="W202" s="293"/>
      <c r="X202" s="188" t="s">
        <v>75</v>
      </c>
      <c r="Y202" s="188"/>
      <c r="Z202" s="189"/>
    </row>
    <row r="203" spans="10:28" hidden="1" outlineLevel="1">
      <c r="J203" s="67"/>
      <c r="K203" t="s">
        <v>565</v>
      </c>
      <c r="L203" s="2"/>
      <c r="M203" s="2"/>
      <c r="N203" s="2"/>
      <c r="O203" s="2"/>
      <c r="P203" s="2"/>
      <c r="T203" s="4">
        <v>4629.93</v>
      </c>
      <c r="W203" s="2" t="s">
        <v>565</v>
      </c>
      <c r="X203" s="215">
        <v>6098.2</v>
      </c>
      <c r="Z203" s="68"/>
    </row>
    <row r="204" spans="10:28" hidden="1" outlineLevel="1">
      <c r="J204" s="67"/>
      <c r="K204" s="2" t="s">
        <v>76</v>
      </c>
      <c r="L204" s="4">
        <v>200</v>
      </c>
      <c r="M204" s="2"/>
      <c r="N204" s="2"/>
      <c r="O204" s="2"/>
      <c r="P204" s="2"/>
      <c r="W204" s="2" t="s">
        <v>563</v>
      </c>
      <c r="X204" s="353">
        <v>-9378.1173248311206</v>
      </c>
      <c r="Y204" s="142">
        <v>-7531.7393720752152</v>
      </c>
      <c r="Z204" s="350">
        <v>-9378.1173248311206</v>
      </c>
    </row>
    <row r="205" spans="10:28" hidden="1" outlineLevel="1">
      <c r="J205" s="67"/>
      <c r="K205" s="2" t="s">
        <v>76</v>
      </c>
      <c r="L205" s="4">
        <v>100</v>
      </c>
      <c r="M205" s="2"/>
      <c r="N205" s="2"/>
      <c r="O205" s="2"/>
      <c r="P205" s="2"/>
      <c r="W205" s="2" t="s">
        <v>562</v>
      </c>
      <c r="X205" s="142">
        <v>-3279.9173248311208</v>
      </c>
      <c r="Z205" s="350">
        <v>236649.85454545487</v>
      </c>
    </row>
    <row r="206" spans="10:28" hidden="1" outlineLevel="1">
      <c r="J206" s="67"/>
      <c r="K206" s="2" t="s">
        <v>76</v>
      </c>
      <c r="L206" s="4">
        <v>50</v>
      </c>
      <c r="M206" s="2">
        <v>50</v>
      </c>
      <c r="N206" s="2"/>
      <c r="O206" s="2"/>
      <c r="P206" s="2"/>
      <c r="Q206" s="4">
        <v>50</v>
      </c>
      <c r="T206" s="2">
        <v>900</v>
      </c>
      <c r="X206" s="2"/>
      <c r="Z206" s="68"/>
    </row>
    <row r="207" spans="10:28" hidden="1" outlineLevel="1">
      <c r="J207" s="67"/>
      <c r="K207" s="2" t="s">
        <v>76</v>
      </c>
      <c r="L207" s="4">
        <v>20</v>
      </c>
      <c r="M207" s="2">
        <v>4</v>
      </c>
      <c r="N207" s="2"/>
      <c r="O207" s="2"/>
      <c r="P207" s="2"/>
      <c r="Q207" s="4">
        <v>4</v>
      </c>
      <c r="T207" s="2">
        <v>157.47999999999999</v>
      </c>
      <c r="X207" s="2"/>
      <c r="Z207" s="351">
        <v>-9378.1173248311206</v>
      </c>
    </row>
    <row r="208" spans="10:28" hidden="1" outlineLevel="1">
      <c r="J208" s="67"/>
      <c r="K208" s="2" t="s">
        <v>76</v>
      </c>
      <c r="L208" s="4">
        <v>10</v>
      </c>
      <c r="M208" s="2">
        <v>2</v>
      </c>
      <c r="N208" s="2"/>
      <c r="O208" s="2"/>
      <c r="P208" s="2"/>
      <c r="Q208" s="4">
        <v>2</v>
      </c>
      <c r="T208" s="2">
        <v>500</v>
      </c>
      <c r="W208" s="2" t="s">
        <v>75</v>
      </c>
      <c r="X208" s="2">
        <v>2600</v>
      </c>
      <c r="Z208" s="351">
        <v>236649.85454545487</v>
      </c>
    </row>
    <row r="209" spans="10:28" hidden="1" outlineLevel="1">
      <c r="J209" s="67"/>
      <c r="K209" s="4" t="s">
        <v>75</v>
      </c>
      <c r="M209" s="2">
        <v>2600</v>
      </c>
      <c r="N209" s="2">
        <v>0</v>
      </c>
      <c r="O209" s="2">
        <v>0</v>
      </c>
      <c r="P209" s="2">
        <v>0</v>
      </c>
      <c r="Q209" s="4">
        <v>2600</v>
      </c>
      <c r="T209" s="2">
        <v>472.45</v>
      </c>
      <c r="W209" s="2" t="s">
        <v>77</v>
      </c>
      <c r="X209" s="14">
        <v>164.27432216905902</v>
      </c>
      <c r="Z209" s="68"/>
      <c r="AA209" s="121" t="s">
        <v>11</v>
      </c>
      <c r="AB209" s="240">
        <v>0</v>
      </c>
    </row>
    <row r="210" spans="10:28" hidden="1" outlineLevel="1">
      <c r="J210" s="67"/>
      <c r="M210" s="2"/>
      <c r="N210" s="2"/>
      <c r="O210" s="2"/>
      <c r="P210" s="2"/>
      <c r="W210" s="2" t="s">
        <v>562</v>
      </c>
      <c r="X210" s="14">
        <v>2764.2743221690589</v>
      </c>
      <c r="Z210" s="68"/>
      <c r="AA210" s="299" t="s">
        <v>587</v>
      </c>
      <c r="AB210" s="4">
        <v>1400</v>
      </c>
    </row>
    <row r="211" spans="10:28" hidden="1" outlineLevel="1">
      <c r="J211" s="67"/>
      <c r="K211" s="2" t="s">
        <v>76</v>
      </c>
      <c r="L211" s="4">
        <v>500</v>
      </c>
      <c r="M211" s="2"/>
      <c r="N211" s="2"/>
      <c r="O211" s="2"/>
      <c r="P211" s="2"/>
      <c r="Q211" s="4">
        <v>0</v>
      </c>
      <c r="S211" s="2" t="s">
        <v>571</v>
      </c>
      <c r="T211" s="4">
        <v>2029.93</v>
      </c>
      <c r="U211" s="4" t="s">
        <v>17</v>
      </c>
      <c r="X211" s="2"/>
      <c r="Z211" s="68"/>
      <c r="AA211" s="92"/>
      <c r="AB211" s="297">
        <v>4000</v>
      </c>
    </row>
    <row r="212" spans="10:28" hidden="1" outlineLevel="1">
      <c r="J212" s="67"/>
      <c r="K212" s="2" t="s">
        <v>76</v>
      </c>
      <c r="L212" s="4">
        <v>500</v>
      </c>
      <c r="M212" s="2">
        <v>8</v>
      </c>
      <c r="N212" s="2"/>
      <c r="O212" s="2"/>
      <c r="P212" s="2"/>
      <c r="Q212" s="4">
        <v>8</v>
      </c>
      <c r="T212" s="4">
        <v>51223.782194056301</v>
      </c>
      <c r="U212" s="4" t="s">
        <v>135</v>
      </c>
      <c r="X212" s="2"/>
      <c r="Z212" s="68"/>
    </row>
    <row r="213" spans="10:28" hidden="1" outlineLevel="1">
      <c r="J213" s="67"/>
      <c r="K213" s="2" t="s">
        <v>76</v>
      </c>
      <c r="L213" s="4">
        <v>200</v>
      </c>
      <c r="M213" s="2"/>
      <c r="N213" s="2"/>
      <c r="O213" s="2"/>
      <c r="P213" s="2"/>
      <c r="Q213" s="4">
        <v>0</v>
      </c>
      <c r="W213" s="2" t="s">
        <v>584</v>
      </c>
      <c r="X213" s="203">
        <v>6044.1916470001797</v>
      </c>
      <c r="Z213" s="68"/>
    </row>
    <row r="214" spans="10:28" hidden="1" outlineLevel="1">
      <c r="J214" s="67"/>
      <c r="K214" s="2" t="s">
        <v>76</v>
      </c>
      <c r="L214" s="4">
        <v>100</v>
      </c>
      <c r="M214" s="2"/>
      <c r="N214" s="2"/>
      <c r="O214" s="2"/>
      <c r="P214" s="2"/>
      <c r="Q214" s="4">
        <v>0</v>
      </c>
      <c r="Z214" s="68"/>
    </row>
    <row r="215" spans="10:28" hidden="1" outlineLevel="1">
      <c r="J215" s="67"/>
      <c r="K215" s="2" t="s">
        <v>76</v>
      </c>
      <c r="L215" s="4">
        <v>50</v>
      </c>
      <c r="M215" s="2"/>
      <c r="N215" s="2"/>
      <c r="O215" s="2"/>
      <c r="P215" s="2">
        <v>1</v>
      </c>
      <c r="Q215" s="4">
        <v>1</v>
      </c>
      <c r="Y215" s="2"/>
      <c r="Z215" s="68"/>
    </row>
    <row r="216" spans="10:28" hidden="1" outlineLevel="1">
      <c r="J216" s="67"/>
      <c r="K216" s="2" t="s">
        <v>76</v>
      </c>
      <c r="L216" s="4">
        <v>20</v>
      </c>
      <c r="M216" s="2"/>
      <c r="N216" s="2"/>
      <c r="O216" s="2"/>
      <c r="P216" s="2">
        <v>2</v>
      </c>
      <c r="Q216" s="4">
        <v>2</v>
      </c>
      <c r="X216" s="2"/>
      <c r="Y216" s="2"/>
      <c r="Z216" s="125"/>
    </row>
    <row r="217" spans="10:28" hidden="1" outlineLevel="1">
      <c r="J217" s="67"/>
      <c r="K217" s="2" t="s">
        <v>76</v>
      </c>
      <c r="L217" s="4">
        <v>10</v>
      </c>
      <c r="M217" s="2"/>
      <c r="N217" s="2"/>
      <c r="O217" s="2"/>
      <c r="P217" s="2">
        <v>2</v>
      </c>
      <c r="Q217" s="4">
        <v>0</v>
      </c>
      <c r="X217" s="4" t="s">
        <v>75</v>
      </c>
      <c r="Y217" s="4" t="s">
        <v>77</v>
      </c>
      <c r="Z217" s="126" t="s">
        <v>590</v>
      </c>
    </row>
    <row r="218" spans="10:28" hidden="1" outlineLevel="1">
      <c r="J218" s="67"/>
      <c r="K218" s="2" t="s">
        <v>76</v>
      </c>
      <c r="L218" s="4">
        <v>5</v>
      </c>
      <c r="M218" s="2"/>
      <c r="N218" s="2"/>
      <c r="O218" s="2"/>
      <c r="P218" s="2">
        <v>2</v>
      </c>
      <c r="Q218" s="4">
        <v>2</v>
      </c>
      <c r="V218" s="2" t="s">
        <v>588</v>
      </c>
      <c r="W218" s="2" t="s">
        <v>9</v>
      </c>
      <c r="X218" s="142">
        <v>2600</v>
      </c>
      <c r="Y218" s="142">
        <v>65609.077014747483</v>
      </c>
      <c r="Z218" s="235">
        <v>2600</v>
      </c>
    </row>
    <row r="219" spans="10:28" hidden="1" outlineLevel="1">
      <c r="J219" s="67"/>
      <c r="K219" s="2" t="s">
        <v>76</v>
      </c>
      <c r="L219" s="4">
        <v>2</v>
      </c>
      <c r="M219" s="2"/>
      <c r="N219" s="2"/>
      <c r="O219" s="2"/>
      <c r="P219" s="2"/>
      <c r="Q219" s="4">
        <v>0</v>
      </c>
      <c r="V219" s="2" t="s">
        <v>588</v>
      </c>
      <c r="W219" s="2" t="s">
        <v>135</v>
      </c>
      <c r="X219" s="142">
        <v>163.27009138677832</v>
      </c>
      <c r="Y219" s="142">
        <v>4120</v>
      </c>
      <c r="Z219" s="235">
        <v>163.27009138677832</v>
      </c>
    </row>
    <row r="220" spans="10:28" hidden="1" outlineLevel="1">
      <c r="J220" s="67"/>
      <c r="K220" s="4" t="s">
        <v>77</v>
      </c>
      <c r="M220" s="2">
        <v>4000</v>
      </c>
      <c r="N220" s="2">
        <v>0</v>
      </c>
      <c r="O220" s="2">
        <v>0</v>
      </c>
      <c r="P220" s="2">
        <v>120</v>
      </c>
      <c r="Q220" s="4">
        <v>4120</v>
      </c>
      <c r="V220" s="2" t="s">
        <v>589</v>
      </c>
      <c r="W220" s="2" t="s">
        <v>135</v>
      </c>
      <c r="X220" s="142">
        <v>9378.1173248311206</v>
      </c>
      <c r="Y220" s="142">
        <v>236649.85454545487</v>
      </c>
      <c r="Z220" s="235">
        <v>9378.1173248311206</v>
      </c>
    </row>
    <row r="221" spans="10:28" hidden="1" outlineLevel="1">
      <c r="J221" s="67"/>
      <c r="Q221" s="311">
        <v>163.27009138677832</v>
      </c>
      <c r="X221" s="142">
        <v>12141.387416217898</v>
      </c>
      <c r="Y221" s="142">
        <v>306378.93156020239</v>
      </c>
      <c r="Z221" s="235">
        <v>12141.387416217898</v>
      </c>
    </row>
    <row r="222" spans="10:28" hidden="1" outlineLevel="1">
      <c r="J222" s="67"/>
      <c r="O222" t="s">
        <v>563</v>
      </c>
      <c r="Q222" s="352">
        <v>236649.85454545487</v>
      </c>
      <c r="R222" s="296" t="s">
        <v>708</v>
      </c>
      <c r="X222" s="142"/>
      <c r="Y222" s="142">
        <v>12141.3874162179</v>
      </c>
      <c r="Z222" s="302"/>
    </row>
    <row r="223" spans="10:28" ht="15" hidden="1" outlineLevel="1" thickBot="1">
      <c r="J223" s="67"/>
      <c r="Q223" s="311">
        <v>9378.1173248311206</v>
      </c>
      <c r="Y223" s="142"/>
      <c r="Z223" s="302"/>
    </row>
    <row r="224" spans="10:28" ht="15" hidden="1" outlineLevel="1" thickBot="1">
      <c r="J224" s="67"/>
      <c r="K224" s="2" t="s">
        <v>606</v>
      </c>
      <c r="N224" s="9" t="s">
        <v>595</v>
      </c>
      <c r="Q224" s="348">
        <v>240769.85454545487</v>
      </c>
      <c r="S224" s="349">
        <v>189546.07235139859</v>
      </c>
      <c r="V224" s="2" t="s">
        <v>608</v>
      </c>
      <c r="W224" s="27">
        <v>69729.077014747483</v>
      </c>
      <c r="X224" s="6">
        <v>2763.2700913867779</v>
      </c>
      <c r="Y224" s="142">
        <v>-60.433711010883144</v>
      </c>
      <c r="Z224" s="302"/>
    </row>
    <row r="225" spans="10:28" hidden="1" outlineLevel="1">
      <c r="J225" s="67"/>
      <c r="K225" s="2" t="s">
        <v>607</v>
      </c>
      <c r="M225" s="2"/>
      <c r="Q225" s="311">
        <v>9541.3874162178981</v>
      </c>
      <c r="S225" s="289">
        <v>7511.4574162178988</v>
      </c>
      <c r="V225" s="2" t="s">
        <v>609</v>
      </c>
      <c r="W225" s="27">
        <v>236649.85454545487</v>
      </c>
      <c r="X225" s="6">
        <v>9378.1173248311206</v>
      </c>
      <c r="Y225" s="142">
        <v>7519.6122894289047</v>
      </c>
      <c r="Z225" s="302"/>
      <c r="AA225" s="2"/>
    </row>
    <row r="226" spans="10:28" hidden="1" outlineLevel="1">
      <c r="J226" s="67"/>
      <c r="N226" s="9" t="s">
        <v>586</v>
      </c>
      <c r="O226" s="9"/>
      <c r="Q226" s="28">
        <v>12141.387416217898</v>
      </c>
      <c r="S226"/>
      <c r="T226"/>
      <c r="V226" s="2" t="s">
        <v>14</v>
      </c>
      <c r="W226" s="233">
        <v>306378.93156020239</v>
      </c>
      <c r="X226" s="6">
        <v>12141.387416217898</v>
      </c>
      <c r="Y226" s="161">
        <v>7459.1785784180211</v>
      </c>
      <c r="Z226" s="302"/>
      <c r="AA226" s="2"/>
      <c r="AB226" s="28">
        <v>7459.1785784180211</v>
      </c>
    </row>
    <row r="227" spans="10:28" hidden="1" outlineLevel="1">
      <c r="J227" s="67"/>
      <c r="Q227" s="311">
        <v>12141.387416217898</v>
      </c>
      <c r="S227"/>
      <c r="T227"/>
      <c r="Z227" s="302"/>
      <c r="AB227" s="82">
        <v>188226.85454545487</v>
      </c>
    </row>
    <row r="228" spans="10:28" hidden="1" outlineLevel="1">
      <c r="J228" s="92"/>
      <c r="K228" s="87"/>
      <c r="L228" s="87"/>
      <c r="M228" s="87"/>
      <c r="N228" s="87"/>
      <c r="O228" s="87"/>
      <c r="P228" s="87"/>
      <c r="Q228" s="87"/>
      <c r="R228" s="87"/>
      <c r="S228" s="297"/>
      <c r="T228" s="297"/>
      <c r="U228" s="297"/>
      <c r="V228" s="297"/>
      <c r="W228" s="297"/>
      <c r="X228" s="87"/>
      <c r="Y228" s="87"/>
      <c r="Z228" s="88"/>
    </row>
    <row r="229" spans="10:28" hidden="1" outlineLevel="1"/>
    <row r="230" spans="10:28" hidden="1" outlineLevel="1"/>
    <row r="231" spans="10:28" hidden="1" outlineLevel="1" collapsed="1">
      <c r="J231" s="332" t="s">
        <v>707</v>
      </c>
      <c r="K231" s="188"/>
      <c r="L231" s="188"/>
      <c r="M231" s="188"/>
      <c r="N231" s="188"/>
      <c r="O231" s="188"/>
      <c r="P231" s="188"/>
      <c r="Q231" s="188"/>
      <c r="R231" s="188" t="s">
        <v>578</v>
      </c>
      <c r="S231" s="293"/>
      <c r="T231" s="293"/>
      <c r="U231" s="293"/>
      <c r="V231" s="293"/>
      <c r="W231" s="293"/>
      <c r="X231" s="188" t="s">
        <v>75</v>
      </c>
      <c r="Y231" s="188"/>
      <c r="Z231" s="189"/>
    </row>
    <row r="232" spans="10:28" hidden="1" outlineLevel="1">
      <c r="J232" s="67"/>
      <c r="K232" t="s">
        <v>565</v>
      </c>
      <c r="L232" s="2"/>
      <c r="M232" s="2"/>
      <c r="N232" s="2"/>
      <c r="O232" s="2"/>
      <c r="P232" s="2"/>
      <c r="T232" s="4">
        <v>4629.93</v>
      </c>
      <c r="W232" s="2" t="s">
        <v>565</v>
      </c>
      <c r="X232" s="215">
        <v>6098.2</v>
      </c>
      <c r="Y232" s="4" t="s">
        <v>1330</v>
      </c>
      <c r="Z232" s="68"/>
      <c r="AB232">
        <v>0</v>
      </c>
    </row>
    <row r="233" spans="10:28" hidden="1" outlineLevel="1">
      <c r="J233" s="67"/>
      <c r="K233" s="2" t="s">
        <v>76</v>
      </c>
      <c r="L233" s="4">
        <v>200</v>
      </c>
      <c r="M233" s="2"/>
      <c r="N233" s="2"/>
      <c r="O233" s="2"/>
      <c r="P233" s="2"/>
      <c r="W233" s="2" t="s">
        <v>563</v>
      </c>
      <c r="X233" s="353">
        <v>-2028.1496062992123</v>
      </c>
      <c r="Y233" s="142">
        <v>7349.9677185319088</v>
      </c>
      <c r="Z233" s="350">
        <v>-9378.1173248311206</v>
      </c>
    </row>
    <row r="234" spans="10:28" hidden="1" outlineLevel="1">
      <c r="J234" s="67"/>
      <c r="K234" s="2" t="s">
        <v>76</v>
      </c>
      <c r="L234" s="4">
        <v>100</v>
      </c>
      <c r="M234" s="2"/>
      <c r="N234" s="2"/>
      <c r="O234" s="2"/>
      <c r="P234" s="2"/>
      <c r="T234" s="2">
        <v>900</v>
      </c>
      <c r="W234" s="2" t="s">
        <v>562</v>
      </c>
      <c r="X234" s="142">
        <v>4070.0503937007875</v>
      </c>
      <c r="Z234" s="350">
        <v>236649.85454545487</v>
      </c>
    </row>
    <row r="235" spans="10:28" hidden="1" outlineLevel="1">
      <c r="J235" s="67"/>
      <c r="K235" s="2" t="s">
        <v>76</v>
      </c>
      <c r="L235" s="4">
        <v>50</v>
      </c>
      <c r="M235" s="2">
        <v>40</v>
      </c>
      <c r="N235" s="2"/>
      <c r="O235" s="2"/>
      <c r="P235" s="2"/>
      <c r="Q235" s="4">
        <v>40</v>
      </c>
      <c r="T235" s="2">
        <v>157.47999999999999</v>
      </c>
      <c r="X235" s="2"/>
      <c r="Z235" s="68"/>
    </row>
    <row r="236" spans="10:28" hidden="1" outlineLevel="1">
      <c r="J236" s="67"/>
      <c r="K236" s="2" t="s">
        <v>76</v>
      </c>
      <c r="L236" s="4">
        <v>20</v>
      </c>
      <c r="M236" s="2">
        <v>4</v>
      </c>
      <c r="N236" s="2"/>
      <c r="O236" s="2"/>
      <c r="P236" s="2"/>
      <c r="Q236" s="4">
        <v>4</v>
      </c>
      <c r="T236" s="2">
        <v>500</v>
      </c>
      <c r="X236" s="2"/>
      <c r="Z236" s="351">
        <v>-2028.1496062992123</v>
      </c>
    </row>
    <row r="237" spans="10:28" hidden="1" outlineLevel="1">
      <c r="J237" s="67"/>
      <c r="K237" s="2" t="s">
        <v>76</v>
      </c>
      <c r="L237" s="4">
        <v>10</v>
      </c>
      <c r="M237" s="2">
        <v>2</v>
      </c>
      <c r="N237" s="2"/>
      <c r="O237" s="2"/>
      <c r="P237" s="2"/>
      <c r="Q237" s="4">
        <v>2</v>
      </c>
      <c r="T237" s="2">
        <v>472.45</v>
      </c>
      <c r="W237" s="2" t="s">
        <v>75</v>
      </c>
      <c r="X237" s="2">
        <v>2100</v>
      </c>
      <c r="Z237" s="351">
        <v>51514.999999999985</v>
      </c>
    </row>
    <row r="238" spans="10:28" hidden="1" outlineLevel="1">
      <c r="J238" s="67"/>
      <c r="K238" s="4" t="s">
        <v>75</v>
      </c>
      <c r="M238" s="2">
        <v>2100</v>
      </c>
      <c r="N238" s="2">
        <v>0</v>
      </c>
      <c r="O238" s="2">
        <v>0</v>
      </c>
      <c r="P238" s="2">
        <v>0</v>
      </c>
      <c r="Q238" s="4">
        <v>2100</v>
      </c>
      <c r="T238" s="2">
        <v>500</v>
      </c>
      <c r="W238" s="2" t="s">
        <v>77</v>
      </c>
      <c r="X238" s="14">
        <v>440.39074960127596</v>
      </c>
      <c r="Z238" s="68"/>
      <c r="AA238" s="121" t="s">
        <v>11</v>
      </c>
      <c r="AB238" s="240">
        <v>500</v>
      </c>
    </row>
    <row r="239" spans="10:28" hidden="1" outlineLevel="1">
      <c r="J239" s="67"/>
      <c r="M239" s="2"/>
      <c r="N239" s="2"/>
      <c r="O239" s="2"/>
      <c r="P239" s="2"/>
      <c r="W239" s="2" t="s">
        <v>562</v>
      </c>
      <c r="X239" s="14">
        <v>2540.3907496012762</v>
      </c>
      <c r="Z239" s="68"/>
      <c r="AA239" s="299" t="s">
        <v>587</v>
      </c>
      <c r="AB239" s="4">
        <v>1900</v>
      </c>
    </row>
    <row r="240" spans="10:28" hidden="1" outlineLevel="1">
      <c r="J240" s="67"/>
      <c r="K240" s="2" t="s">
        <v>76</v>
      </c>
      <c r="L240" s="4">
        <v>500</v>
      </c>
      <c r="M240" s="2"/>
      <c r="N240" s="2"/>
      <c r="O240" s="2"/>
      <c r="P240" s="2"/>
      <c r="Q240" s="4">
        <v>0</v>
      </c>
      <c r="S240" s="2" t="s">
        <v>571</v>
      </c>
      <c r="T240" s="4">
        <v>2529.9300000000003</v>
      </c>
      <c r="U240" s="4" t="s">
        <v>17</v>
      </c>
      <c r="X240" s="2"/>
      <c r="Z240" s="68"/>
      <c r="AA240" s="92"/>
      <c r="AB240" s="297">
        <v>4000</v>
      </c>
    </row>
    <row r="241" spans="10:28" hidden="1" outlineLevel="1">
      <c r="J241" s="67"/>
      <c r="K241" s="2" t="s">
        <v>76</v>
      </c>
      <c r="L241" s="4">
        <v>500</v>
      </c>
      <c r="M241" s="2">
        <v>13</v>
      </c>
      <c r="N241" s="2"/>
      <c r="O241" s="2"/>
      <c r="P241" s="2">
        <v>8</v>
      </c>
      <c r="Q241" s="4">
        <v>21</v>
      </c>
      <c r="T241" s="4">
        <v>63840.91238920005</v>
      </c>
      <c r="U241" s="4" t="s">
        <v>135</v>
      </c>
      <c r="X241" s="2"/>
      <c r="Z241" s="68"/>
    </row>
    <row r="242" spans="10:28" hidden="1" outlineLevel="1">
      <c r="J242" s="67"/>
      <c r="K242" s="2" t="s">
        <v>76</v>
      </c>
      <c r="L242" s="4">
        <v>200</v>
      </c>
      <c r="M242" s="2"/>
      <c r="N242" s="2"/>
      <c r="O242" s="2"/>
      <c r="P242" s="2"/>
      <c r="Q242" s="4">
        <v>0</v>
      </c>
      <c r="W242" s="2" t="s">
        <v>584</v>
      </c>
      <c r="X242" s="203">
        <v>-1529.6596440995113</v>
      </c>
      <c r="Z242" s="68"/>
    </row>
    <row r="243" spans="10:28" hidden="1" outlineLevel="1">
      <c r="J243" s="67"/>
      <c r="K243" s="2" t="s">
        <v>76</v>
      </c>
      <c r="L243" s="4">
        <v>100</v>
      </c>
      <c r="M243" s="2"/>
      <c r="N243" s="2"/>
      <c r="O243" s="2"/>
      <c r="P243" s="2">
        <v>4</v>
      </c>
      <c r="Q243" s="4">
        <v>4</v>
      </c>
      <c r="Z243" s="68"/>
    </row>
    <row r="244" spans="10:28" hidden="1" outlineLevel="1">
      <c r="J244" s="67"/>
      <c r="K244" s="2" t="s">
        <v>76</v>
      </c>
      <c r="L244" s="4">
        <v>50</v>
      </c>
      <c r="M244" s="2"/>
      <c r="N244" s="2"/>
      <c r="O244" s="2"/>
      <c r="P244" s="2">
        <v>1</v>
      </c>
      <c r="Q244" s="4">
        <v>1</v>
      </c>
      <c r="Y244" s="2"/>
      <c r="Z244" s="68"/>
    </row>
    <row r="245" spans="10:28" hidden="1" outlineLevel="1">
      <c r="J245" s="67"/>
      <c r="K245" s="2" t="s">
        <v>76</v>
      </c>
      <c r="L245" s="4">
        <v>20</v>
      </c>
      <c r="M245" s="2"/>
      <c r="N245" s="2"/>
      <c r="O245" s="2"/>
      <c r="P245" s="2">
        <v>2</v>
      </c>
      <c r="Q245" s="4">
        <v>2</v>
      </c>
      <c r="X245" s="2"/>
      <c r="Y245" s="2"/>
      <c r="Z245" s="125"/>
    </row>
    <row r="246" spans="10:28" hidden="1" outlineLevel="1">
      <c r="J246" s="67"/>
      <c r="K246" s="2" t="s">
        <v>76</v>
      </c>
      <c r="L246" s="4">
        <v>10</v>
      </c>
      <c r="M246" s="2"/>
      <c r="N246" s="2"/>
      <c r="O246" s="2"/>
      <c r="P246" s="2">
        <v>5</v>
      </c>
      <c r="Q246" s="4">
        <v>0</v>
      </c>
      <c r="X246" s="4" t="s">
        <v>75</v>
      </c>
      <c r="Y246" s="4" t="s">
        <v>77</v>
      </c>
      <c r="Z246" s="126" t="s">
        <v>590</v>
      </c>
    </row>
    <row r="247" spans="10:28" hidden="1" outlineLevel="1">
      <c r="J247" s="67"/>
      <c r="K247" s="2" t="s">
        <v>76</v>
      </c>
      <c r="L247" s="4">
        <v>5</v>
      </c>
      <c r="M247" s="2"/>
      <c r="N247" s="2"/>
      <c r="O247" s="2"/>
      <c r="P247" s="2">
        <v>1</v>
      </c>
      <c r="Q247" s="4">
        <v>1</v>
      </c>
      <c r="V247" s="2" t="s">
        <v>588</v>
      </c>
      <c r="W247" s="2" t="s">
        <v>9</v>
      </c>
      <c r="X247" s="142">
        <v>2100</v>
      </c>
      <c r="Y247" s="142">
        <v>52991.946819603741</v>
      </c>
      <c r="Z247" s="235">
        <v>2100</v>
      </c>
    </row>
    <row r="248" spans="10:28" hidden="1" outlineLevel="1">
      <c r="J248" s="67"/>
      <c r="K248" s="2" t="s">
        <v>76</v>
      </c>
      <c r="L248" s="4">
        <v>2</v>
      </c>
      <c r="M248" s="2"/>
      <c r="N248" s="2"/>
      <c r="O248" s="2"/>
      <c r="P248" s="2"/>
      <c r="Q248" s="4">
        <v>0</v>
      </c>
      <c r="V248" s="2" t="s">
        <v>588</v>
      </c>
      <c r="W248" s="2" t="s">
        <v>135</v>
      </c>
      <c r="X248" s="142">
        <v>437.698582370623</v>
      </c>
      <c r="Y248" s="142">
        <v>11045</v>
      </c>
      <c r="Z248" s="235">
        <v>437.698582370623</v>
      </c>
    </row>
    <row r="249" spans="10:28" hidden="1" outlineLevel="1">
      <c r="J249" s="67"/>
      <c r="K249" s="4" t="s">
        <v>77</v>
      </c>
      <c r="M249" s="2">
        <v>6500</v>
      </c>
      <c r="N249" s="2">
        <v>0</v>
      </c>
      <c r="O249" s="2">
        <v>0</v>
      </c>
      <c r="P249" s="2">
        <v>4545</v>
      </c>
      <c r="Q249" s="4">
        <v>11045</v>
      </c>
      <c r="V249" s="2" t="s">
        <v>589</v>
      </c>
      <c r="W249" s="2" t="s">
        <v>135</v>
      </c>
      <c r="X249" s="142">
        <v>2028.1496062992123</v>
      </c>
      <c r="Y249" s="142">
        <v>51514.999999999985</v>
      </c>
      <c r="Z249" s="235">
        <v>2041.470572279098</v>
      </c>
    </row>
    <row r="250" spans="10:28" hidden="1" outlineLevel="1">
      <c r="J250" s="67"/>
      <c r="Q250" s="311">
        <v>437.698582370623</v>
      </c>
      <c r="X250" s="142">
        <v>4565.8481886698355</v>
      </c>
      <c r="Y250" s="142">
        <v>115551.94681960373</v>
      </c>
      <c r="Z250" s="235">
        <v>4579.1691546497213</v>
      </c>
    </row>
    <row r="251" spans="10:28" hidden="1" outlineLevel="1">
      <c r="J251" s="67"/>
      <c r="N251" t="s">
        <v>563</v>
      </c>
      <c r="P251" s="4" t="s">
        <v>1330</v>
      </c>
      <c r="Q251" s="352">
        <v>51514.999999999985</v>
      </c>
      <c r="R251" s="296" t="s">
        <v>707</v>
      </c>
      <c r="X251" s="142"/>
      <c r="Y251" s="142">
        <v>4579.1691546497213</v>
      </c>
      <c r="Z251" s="302"/>
    </row>
    <row r="252" spans="10:28" ht="15" hidden="1" outlineLevel="1" thickBot="1">
      <c r="J252" s="67"/>
      <c r="Q252" s="311">
        <v>2041.470572279098</v>
      </c>
      <c r="Y252" s="142"/>
      <c r="Z252" s="302"/>
    </row>
    <row r="253" spans="10:28" ht="15" hidden="1" outlineLevel="1" thickBot="1">
      <c r="J253" s="67"/>
      <c r="K253" s="2" t="s">
        <v>606</v>
      </c>
      <c r="N253" s="9" t="s">
        <v>595</v>
      </c>
      <c r="Q253" s="348">
        <v>62559.999999999985</v>
      </c>
      <c r="S253" s="349">
        <v>-1280.9123892000644</v>
      </c>
      <c r="V253" s="2" t="s">
        <v>608</v>
      </c>
      <c r="W253" s="27">
        <v>64036.946819603741</v>
      </c>
      <c r="X253" s="6">
        <v>2537.6985823706232</v>
      </c>
      <c r="Y253" s="142">
        <v>-225.57150901615478</v>
      </c>
      <c r="Z253" s="302"/>
    </row>
    <row r="254" spans="10:28" hidden="1" outlineLevel="1">
      <c r="J254" s="67"/>
      <c r="K254" s="2" t="s">
        <v>607</v>
      </c>
      <c r="M254" s="2"/>
      <c r="Q254" s="311">
        <v>2479.1691546497209</v>
      </c>
      <c r="S254" s="289">
        <v>-50.760845350279389</v>
      </c>
      <c r="V254" s="2" t="s">
        <v>609</v>
      </c>
      <c r="W254" s="27">
        <v>51514.999999999985</v>
      </c>
      <c r="X254" s="6">
        <v>2041.470572279098</v>
      </c>
      <c r="Y254" s="142">
        <v>-7336.6467525520229</v>
      </c>
      <c r="Z254" s="302"/>
      <c r="AA254" s="2"/>
    </row>
    <row r="255" spans="10:28" hidden="1" outlineLevel="1">
      <c r="J255" s="67"/>
      <c r="N255" s="9" t="s">
        <v>586</v>
      </c>
      <c r="O255" s="9"/>
      <c r="Q255" s="28">
        <v>4579.1691546497204</v>
      </c>
      <c r="S255"/>
      <c r="T255"/>
      <c r="V255" s="2" t="s">
        <v>14</v>
      </c>
      <c r="W255" s="233">
        <v>115551.94681960373</v>
      </c>
      <c r="X255" s="6">
        <v>4579.1691546497213</v>
      </c>
      <c r="Y255" s="161">
        <v>-7562.2182615681768</v>
      </c>
      <c r="Z255" s="302"/>
      <c r="AA255" s="2"/>
      <c r="AB255" s="28">
        <v>-7562.2182615681777</v>
      </c>
    </row>
    <row r="256" spans="10:28" hidden="1" outlineLevel="1">
      <c r="J256" s="67"/>
      <c r="Q256" s="311">
        <v>4579.1691546497213</v>
      </c>
      <c r="S256"/>
      <c r="T256"/>
      <c r="Z256" s="302"/>
      <c r="AB256" s="82">
        <v>-190826.98474059862</v>
      </c>
    </row>
    <row r="257" spans="10:28" hidden="1" outlineLevel="1">
      <c r="J257" s="92"/>
      <c r="K257" s="87"/>
      <c r="L257" s="87"/>
      <c r="M257" s="87"/>
      <c r="N257" s="87"/>
      <c r="O257" s="87"/>
      <c r="P257" s="87"/>
      <c r="Q257" s="87"/>
      <c r="R257" s="87"/>
      <c r="S257" s="297"/>
      <c r="T257" s="297"/>
      <c r="U257" s="297"/>
      <c r="V257" s="297"/>
      <c r="W257" s="297"/>
      <c r="X257" s="87"/>
      <c r="Y257" s="87"/>
      <c r="Z257" s="88"/>
    </row>
    <row r="258" spans="10:28" hidden="1" outlineLevel="1"/>
    <row r="259" spans="10:28" hidden="1" outlineLevel="1"/>
    <row r="260" spans="10:28" hidden="1" outlineLevel="1" collapsed="1">
      <c r="J260" s="332" t="s">
        <v>706</v>
      </c>
      <c r="K260" s="188"/>
      <c r="L260" s="188"/>
      <c r="M260" s="188"/>
      <c r="N260" s="188"/>
      <c r="O260" s="188"/>
      <c r="P260" s="188"/>
      <c r="Q260" s="188"/>
      <c r="R260" s="188" t="s">
        <v>578</v>
      </c>
      <c r="S260" s="293"/>
      <c r="T260" s="293"/>
      <c r="U260" s="293"/>
      <c r="V260" s="293"/>
      <c r="W260" s="293"/>
      <c r="X260" s="188" t="s">
        <v>75</v>
      </c>
      <c r="Y260" s="188"/>
      <c r="Z260" s="189"/>
    </row>
    <row r="261" spans="10:28" hidden="1" outlineLevel="1">
      <c r="J261" s="67"/>
      <c r="K261" t="s">
        <v>565</v>
      </c>
      <c r="L261" s="2"/>
      <c r="M261" s="2"/>
      <c r="N261" s="2"/>
      <c r="O261" s="2"/>
      <c r="P261" s="2"/>
      <c r="T261" s="4">
        <v>4629.93</v>
      </c>
      <c r="W261" s="2" t="s">
        <v>565</v>
      </c>
      <c r="X261" s="215">
        <v>6098.2</v>
      </c>
      <c r="Y261" s="4" t="s">
        <v>1330</v>
      </c>
      <c r="Z261" s="68"/>
      <c r="AB261">
        <v>0</v>
      </c>
    </row>
    <row r="262" spans="10:28" hidden="1" outlineLevel="1">
      <c r="J262" s="67"/>
      <c r="K262" s="2" t="s">
        <v>76</v>
      </c>
      <c r="L262" s="4">
        <v>200</v>
      </c>
      <c r="M262" s="2"/>
      <c r="N262" s="2"/>
      <c r="O262" s="2"/>
      <c r="P262" s="2"/>
      <c r="W262" s="2" t="s">
        <v>563</v>
      </c>
      <c r="X262" s="353">
        <v>-2385.2362204724404</v>
      </c>
      <c r="Y262" s="142">
        <v>-357.0866141732281</v>
      </c>
      <c r="Z262" s="350">
        <v>-9378.1173248311206</v>
      </c>
    </row>
    <row r="263" spans="10:28" hidden="1" outlineLevel="1">
      <c r="J263" s="67"/>
      <c r="K263" s="2" t="s">
        <v>76</v>
      </c>
      <c r="L263" s="4">
        <v>100</v>
      </c>
      <c r="M263" s="2"/>
      <c r="N263" s="2"/>
      <c r="O263" s="2"/>
      <c r="P263" s="2"/>
      <c r="T263" s="2">
        <v>900</v>
      </c>
      <c r="W263" s="2" t="s">
        <v>562</v>
      </c>
      <c r="X263" s="142">
        <v>3712.9637795275594</v>
      </c>
      <c r="Z263" s="350">
        <v>236649.85454545487</v>
      </c>
    </row>
    <row r="264" spans="10:28" hidden="1" outlineLevel="1">
      <c r="J264" s="67"/>
      <c r="K264" s="2" t="s">
        <v>76</v>
      </c>
      <c r="L264" s="4">
        <v>50</v>
      </c>
      <c r="M264" s="2">
        <v>40</v>
      </c>
      <c r="N264" s="2"/>
      <c r="O264" s="2"/>
      <c r="P264" s="2"/>
      <c r="Q264" s="4">
        <v>40</v>
      </c>
      <c r="T264" s="2">
        <v>157.47999999999999</v>
      </c>
      <c r="X264" s="2"/>
      <c r="Z264" s="68"/>
    </row>
    <row r="265" spans="10:28" hidden="1" outlineLevel="1">
      <c r="J265" s="67"/>
      <c r="K265" s="2" t="s">
        <v>76</v>
      </c>
      <c r="L265" s="4">
        <v>20</v>
      </c>
      <c r="M265" s="2">
        <v>4</v>
      </c>
      <c r="N265" s="2"/>
      <c r="O265" s="2"/>
      <c r="P265" s="2"/>
      <c r="Q265" s="4">
        <v>4</v>
      </c>
      <c r="T265" s="2">
        <v>500</v>
      </c>
      <c r="X265" s="2"/>
      <c r="Z265" s="351">
        <v>-2385.2362204724404</v>
      </c>
    </row>
    <row r="266" spans="10:28" hidden="1" outlineLevel="1">
      <c r="J266" s="67"/>
      <c r="K266" s="2" t="s">
        <v>76</v>
      </c>
      <c r="L266" s="4">
        <v>10</v>
      </c>
      <c r="M266" s="2">
        <v>2</v>
      </c>
      <c r="N266" s="2"/>
      <c r="O266" s="2"/>
      <c r="P266" s="2"/>
      <c r="Q266" s="4">
        <v>2</v>
      </c>
      <c r="T266" s="2">
        <v>472.45</v>
      </c>
      <c r="W266" s="2" t="s">
        <v>75</v>
      </c>
      <c r="X266" s="2">
        <v>2100</v>
      </c>
      <c r="Z266" s="351">
        <v>60584.999999999978</v>
      </c>
    </row>
    <row r="267" spans="10:28" hidden="1" outlineLevel="1">
      <c r="J267" s="67"/>
      <c r="K267" s="4" t="s">
        <v>75</v>
      </c>
      <c r="M267" s="2">
        <v>2100</v>
      </c>
      <c r="N267" s="2">
        <v>0</v>
      </c>
      <c r="O267" s="2">
        <v>0</v>
      </c>
      <c r="P267" s="2">
        <v>0</v>
      </c>
      <c r="Q267" s="4">
        <v>2100</v>
      </c>
      <c r="T267" s="2">
        <v>500</v>
      </c>
      <c r="W267" s="2" t="s">
        <v>77</v>
      </c>
      <c r="X267" s="14">
        <v>146.53110047846891</v>
      </c>
      <c r="Z267" s="68"/>
      <c r="AA267" s="121" t="s">
        <v>11</v>
      </c>
      <c r="AB267" s="240">
        <v>0</v>
      </c>
    </row>
    <row r="268" spans="10:28" hidden="1" outlineLevel="1">
      <c r="J268" s="67"/>
      <c r="M268" s="2"/>
      <c r="N268" s="2"/>
      <c r="O268" s="2"/>
      <c r="P268" s="2"/>
      <c r="W268" s="2" t="s">
        <v>562</v>
      </c>
      <c r="X268" s="14">
        <v>2246.5311004784689</v>
      </c>
      <c r="Z268" s="68"/>
      <c r="AA268" s="299" t="s">
        <v>587</v>
      </c>
      <c r="AB268" s="4">
        <v>1900</v>
      </c>
    </row>
    <row r="269" spans="10:28" hidden="1" outlineLevel="1">
      <c r="J269" s="67"/>
      <c r="K269" s="2" t="s">
        <v>76</v>
      </c>
      <c r="L269" s="4">
        <v>500</v>
      </c>
      <c r="M269" s="2"/>
      <c r="N269" s="2"/>
      <c r="O269" s="2"/>
      <c r="P269" s="2"/>
      <c r="Q269" s="4">
        <v>0</v>
      </c>
      <c r="S269" s="2" t="s">
        <v>571</v>
      </c>
      <c r="T269" s="4">
        <v>2529.9300000000003</v>
      </c>
      <c r="U269" s="4" t="s">
        <v>17</v>
      </c>
      <c r="X269" s="2"/>
      <c r="Z269" s="68"/>
      <c r="AA269" s="92"/>
      <c r="AB269" s="297">
        <v>4000</v>
      </c>
    </row>
    <row r="270" spans="10:28" hidden="1" outlineLevel="1">
      <c r="J270" s="67"/>
      <c r="K270" s="2" t="s">
        <v>76</v>
      </c>
      <c r="L270" s="4">
        <v>500</v>
      </c>
      <c r="M270" s="2"/>
      <c r="N270" s="2"/>
      <c r="O270" s="2"/>
      <c r="P270" s="2">
        <v>6</v>
      </c>
      <c r="Q270" s="4">
        <v>6</v>
      </c>
      <c r="T270" s="4">
        <v>63840.91238920005</v>
      </c>
      <c r="U270" s="4" t="s">
        <v>135</v>
      </c>
      <c r="X270" s="2"/>
      <c r="Z270" s="68"/>
    </row>
    <row r="271" spans="10:28" hidden="1" outlineLevel="1">
      <c r="J271" s="67"/>
      <c r="K271" s="2" t="s">
        <v>76</v>
      </c>
      <c r="L271" s="4">
        <v>200</v>
      </c>
      <c r="M271" s="2"/>
      <c r="N271" s="2"/>
      <c r="O271" s="2"/>
      <c r="P271" s="2">
        <v>2</v>
      </c>
      <c r="Q271" s="4">
        <v>2</v>
      </c>
      <c r="W271" s="2" t="s">
        <v>584</v>
      </c>
      <c r="X271" s="203">
        <v>-1466.4326790490904</v>
      </c>
      <c r="Z271" s="68"/>
    </row>
    <row r="272" spans="10:28" hidden="1" outlineLevel="1">
      <c r="J272" s="67"/>
      <c r="K272" s="2" t="s">
        <v>76</v>
      </c>
      <c r="L272" s="4">
        <v>100</v>
      </c>
      <c r="M272" s="2"/>
      <c r="N272" s="2"/>
      <c r="O272" s="2"/>
      <c r="P272" s="2">
        <v>2</v>
      </c>
      <c r="Q272" s="4">
        <v>2</v>
      </c>
      <c r="Z272" s="68"/>
    </row>
    <row r="273" spans="10:28" hidden="1" outlineLevel="1">
      <c r="J273" s="67"/>
      <c r="K273" s="2" t="s">
        <v>76</v>
      </c>
      <c r="L273" s="4">
        <v>50</v>
      </c>
      <c r="M273" s="2"/>
      <c r="N273" s="2"/>
      <c r="O273" s="2"/>
      <c r="P273" s="2"/>
      <c r="Q273" s="4">
        <v>0</v>
      </c>
      <c r="Y273" s="2"/>
      <c r="Z273" s="68"/>
    </row>
    <row r="274" spans="10:28" hidden="1" outlineLevel="1">
      <c r="J274" s="67"/>
      <c r="K274" s="2" t="s">
        <v>76</v>
      </c>
      <c r="L274" s="4">
        <v>20</v>
      </c>
      <c r="M274" s="2"/>
      <c r="N274" s="2"/>
      <c r="O274" s="2"/>
      <c r="P274" s="2">
        <v>2</v>
      </c>
      <c r="Q274" s="4">
        <v>2</v>
      </c>
      <c r="X274" s="2"/>
      <c r="Y274" s="2"/>
      <c r="Z274" s="125"/>
    </row>
    <row r="275" spans="10:28" hidden="1" outlineLevel="1">
      <c r="J275" s="67"/>
      <c r="K275" s="2" t="s">
        <v>76</v>
      </c>
      <c r="L275" s="4">
        <v>10</v>
      </c>
      <c r="M275" s="2"/>
      <c r="N275" s="2"/>
      <c r="O275" s="2"/>
      <c r="P275" s="2">
        <v>2</v>
      </c>
      <c r="Q275" s="4">
        <v>0</v>
      </c>
      <c r="X275" s="4" t="s">
        <v>75</v>
      </c>
      <c r="Y275" s="4" t="s">
        <v>77</v>
      </c>
      <c r="Z275" s="126" t="s">
        <v>590</v>
      </c>
    </row>
    <row r="276" spans="10:28" hidden="1" outlineLevel="1">
      <c r="J276" s="67"/>
      <c r="K276" s="2" t="s">
        <v>76</v>
      </c>
      <c r="L276" s="4">
        <v>5</v>
      </c>
      <c r="M276" s="2"/>
      <c r="N276" s="2"/>
      <c r="O276" s="2"/>
      <c r="P276" s="2">
        <v>3</v>
      </c>
      <c r="Q276" s="4">
        <v>3</v>
      </c>
      <c r="V276" s="2" t="s">
        <v>588</v>
      </c>
      <c r="W276" s="2" t="s">
        <v>9</v>
      </c>
      <c r="X276" s="142">
        <v>2100</v>
      </c>
      <c r="Y276" s="142">
        <v>52991.946819603741</v>
      </c>
      <c r="Z276" s="235">
        <v>2100</v>
      </c>
    </row>
    <row r="277" spans="10:28" hidden="1" outlineLevel="1">
      <c r="J277" s="67"/>
      <c r="K277" s="2" t="s">
        <v>76</v>
      </c>
      <c r="L277" s="4">
        <v>2</v>
      </c>
      <c r="M277" s="2"/>
      <c r="N277" s="2"/>
      <c r="O277" s="2"/>
      <c r="P277" s="2"/>
      <c r="Q277" s="4">
        <v>0</v>
      </c>
      <c r="V277" s="2" t="s">
        <v>588</v>
      </c>
      <c r="W277" s="2" t="s">
        <v>135</v>
      </c>
      <c r="X277" s="142">
        <v>145.63533637048795</v>
      </c>
      <c r="Y277" s="142">
        <v>3675</v>
      </c>
      <c r="Z277" s="235">
        <v>145.63533637048795</v>
      </c>
    </row>
    <row r="278" spans="10:28" hidden="1" outlineLevel="1">
      <c r="J278" s="67"/>
      <c r="K278" s="4" t="s">
        <v>77</v>
      </c>
      <c r="M278" s="2">
        <v>0</v>
      </c>
      <c r="N278" s="2">
        <v>0</v>
      </c>
      <c r="O278" s="2">
        <v>0</v>
      </c>
      <c r="P278" s="2">
        <v>3675</v>
      </c>
      <c r="Q278" s="4">
        <v>3675</v>
      </c>
      <c r="V278" s="2" t="s">
        <v>589</v>
      </c>
      <c r="W278" s="2" t="s">
        <v>135</v>
      </c>
      <c r="X278" s="142">
        <v>2385.2362204724404</v>
      </c>
      <c r="Y278" s="142">
        <v>60584.999999999978</v>
      </c>
      <c r="Z278" s="235">
        <v>2400.9025453077575</v>
      </c>
    </row>
    <row r="279" spans="10:28" hidden="1" outlineLevel="1">
      <c r="J279" s="67"/>
      <c r="Q279" s="311">
        <v>145.63533637048795</v>
      </c>
      <c r="X279" s="142">
        <v>4630.8715568429288</v>
      </c>
      <c r="Y279" s="142">
        <v>117251.94681960372</v>
      </c>
      <c r="Z279" s="235">
        <v>4646.537881678245</v>
      </c>
    </row>
    <row r="280" spans="10:28" hidden="1" outlineLevel="1">
      <c r="J280" s="67"/>
      <c r="N280" t="s">
        <v>563</v>
      </c>
      <c r="P280" s="4" t="s">
        <v>1330</v>
      </c>
      <c r="Q280" s="352">
        <v>60584.999999999978</v>
      </c>
      <c r="R280" s="296" t="s">
        <v>706</v>
      </c>
      <c r="X280" s="142"/>
      <c r="Y280" s="142">
        <v>4646.5378816782459</v>
      </c>
      <c r="Z280" s="302"/>
    </row>
    <row r="281" spans="10:28" ht="15" hidden="1" outlineLevel="1" thickBot="1">
      <c r="J281" s="67"/>
      <c r="Q281" s="311">
        <v>2400.9025453077575</v>
      </c>
      <c r="Y281" s="142"/>
      <c r="Z281" s="302"/>
    </row>
    <row r="282" spans="10:28" ht="15" hidden="1" outlineLevel="1" thickBot="1">
      <c r="J282" s="67"/>
      <c r="K282" s="2" t="s">
        <v>606</v>
      </c>
      <c r="N282" s="9" t="s">
        <v>595</v>
      </c>
      <c r="Q282" s="348">
        <v>64259.999999999978</v>
      </c>
      <c r="S282" s="349">
        <v>419.08761079992837</v>
      </c>
      <c r="V282" s="2" t="s">
        <v>608</v>
      </c>
      <c r="W282" s="27">
        <v>56666.946819603741</v>
      </c>
      <c r="X282" s="6">
        <v>2245.6353363704879</v>
      </c>
      <c r="Y282" s="142">
        <v>-292.06324600013522</v>
      </c>
      <c r="Z282" s="302"/>
    </row>
    <row r="283" spans="10:28" hidden="1" outlineLevel="1">
      <c r="J283" s="67"/>
      <c r="K283" s="2" t="s">
        <v>607</v>
      </c>
      <c r="M283" s="2"/>
      <c r="Q283" s="311">
        <v>2546.5378816782454</v>
      </c>
      <c r="S283" s="289">
        <v>16.607881678245363</v>
      </c>
      <c r="V283" s="2" t="s">
        <v>609</v>
      </c>
      <c r="W283" s="27">
        <v>60584.999999999978</v>
      </c>
      <c r="X283" s="6">
        <v>2400.9025453077575</v>
      </c>
      <c r="Y283" s="142">
        <v>359.43197302865951</v>
      </c>
      <c r="Z283" s="302"/>
      <c r="AA283" s="2"/>
    </row>
    <row r="284" spans="10:28" hidden="1" outlineLevel="1">
      <c r="J284" s="67"/>
      <c r="N284" s="9" t="s">
        <v>586</v>
      </c>
      <c r="O284" s="9"/>
      <c r="Q284" s="28">
        <v>4646.537881678245</v>
      </c>
      <c r="S284"/>
      <c r="T284"/>
      <c r="V284" s="2" t="s">
        <v>14</v>
      </c>
      <c r="W284" s="233">
        <v>117251.94681960372</v>
      </c>
      <c r="X284" s="6">
        <v>4646.537881678245</v>
      </c>
      <c r="Y284" s="161">
        <v>67.368727028523608</v>
      </c>
      <c r="Z284" s="302"/>
      <c r="AA284" s="2"/>
      <c r="AB284" s="28">
        <v>67.368727028524518</v>
      </c>
    </row>
    <row r="285" spans="10:28" hidden="1" outlineLevel="1">
      <c r="J285" s="67"/>
      <c r="Q285" s="311">
        <v>4646.537881678245</v>
      </c>
      <c r="S285"/>
      <c r="T285"/>
      <c r="Z285" s="302"/>
      <c r="AB285" s="82">
        <v>1699.9999999999868</v>
      </c>
    </row>
    <row r="286" spans="10:28" hidden="1" outlineLevel="1">
      <c r="J286" s="92"/>
      <c r="K286" s="87"/>
      <c r="L286" s="87"/>
      <c r="M286" s="87"/>
      <c r="N286" s="87"/>
      <c r="O286" s="87"/>
      <c r="P286" s="87"/>
      <c r="Q286" s="87"/>
      <c r="R286" s="87"/>
      <c r="S286" s="297"/>
      <c r="T286" s="297"/>
      <c r="U286" s="297"/>
      <c r="V286" s="297"/>
      <c r="W286" s="297"/>
      <c r="X286" s="87"/>
      <c r="Y286" s="87"/>
      <c r="Z286" s="88"/>
    </row>
    <row r="287" spans="10:28" hidden="1" outlineLevel="1"/>
    <row r="288" spans="10:28" hidden="1" outlineLevel="1"/>
    <row r="289" spans="10:28" hidden="1" outlineLevel="1">
      <c r="J289" s="332" t="s">
        <v>716</v>
      </c>
      <c r="K289" s="188"/>
      <c r="L289" s="188"/>
      <c r="M289" s="188"/>
      <c r="N289" s="188"/>
      <c r="O289" s="188"/>
      <c r="P289" s="188"/>
      <c r="Q289" s="188"/>
      <c r="R289" s="188" t="s">
        <v>578</v>
      </c>
      <c r="S289" s="293"/>
      <c r="T289" s="293"/>
      <c r="U289" s="293"/>
      <c r="V289" s="293"/>
      <c r="W289" s="293"/>
      <c r="X289" s="188" t="s">
        <v>75</v>
      </c>
      <c r="Y289" s="188"/>
      <c r="Z289" s="189"/>
    </row>
    <row r="290" spans="10:28" hidden="1" outlineLevel="1">
      <c r="J290" s="67"/>
      <c r="K290" t="s">
        <v>565</v>
      </c>
      <c r="L290" s="2"/>
      <c r="M290" s="2"/>
      <c r="N290" s="2"/>
      <c r="O290" s="2"/>
      <c r="P290" s="2"/>
      <c r="T290" s="4">
        <v>4629.93</v>
      </c>
      <c r="W290" s="2" t="s">
        <v>565</v>
      </c>
      <c r="X290" s="215">
        <v>6098.2</v>
      </c>
      <c r="Y290" s="4" t="s">
        <v>1330</v>
      </c>
      <c r="Z290" s="68"/>
      <c r="AB290">
        <v>0</v>
      </c>
    </row>
    <row r="291" spans="10:28" hidden="1" outlineLevel="1">
      <c r="J291" s="67"/>
      <c r="K291" s="2" t="s">
        <v>76</v>
      </c>
      <c r="L291" s="4">
        <v>200</v>
      </c>
      <c r="M291" s="2"/>
      <c r="N291" s="2"/>
      <c r="O291" s="2"/>
      <c r="P291" s="2"/>
      <c r="W291" s="2" t="s">
        <v>563</v>
      </c>
      <c r="X291" s="353">
        <v>-2539.3418204102077</v>
      </c>
      <c r="Y291" s="142">
        <v>-154.10559993776724</v>
      </c>
      <c r="Z291" s="350">
        <v>-9378.1173248311206</v>
      </c>
    </row>
    <row r="292" spans="10:28" hidden="1" outlineLevel="1">
      <c r="J292" s="67"/>
      <c r="K292" s="2" t="s">
        <v>76</v>
      </c>
      <c r="L292" s="4">
        <v>100</v>
      </c>
      <c r="M292" s="2"/>
      <c r="N292" s="2"/>
      <c r="O292" s="2"/>
      <c r="P292" s="2"/>
      <c r="T292" s="2">
        <v>900</v>
      </c>
      <c r="W292" s="2" t="s">
        <v>562</v>
      </c>
      <c r="X292" s="142">
        <v>3558.8581795897921</v>
      </c>
      <c r="Z292" s="350">
        <v>236649.85454545487</v>
      </c>
    </row>
    <row r="293" spans="10:28" hidden="1" outlineLevel="1">
      <c r="J293" s="67"/>
      <c r="K293" s="2" t="s">
        <v>76</v>
      </c>
      <c r="L293" s="4">
        <v>50</v>
      </c>
      <c r="M293" s="2">
        <v>30</v>
      </c>
      <c r="N293" s="2"/>
      <c r="O293" s="2"/>
      <c r="P293" s="2"/>
      <c r="Q293" s="4">
        <v>30</v>
      </c>
      <c r="T293" s="2">
        <v>157.47999999999999</v>
      </c>
      <c r="X293" s="2"/>
      <c r="Z293" s="68"/>
    </row>
    <row r="294" spans="10:28" hidden="1" outlineLevel="1">
      <c r="J294" s="67"/>
      <c r="K294" s="2" t="s">
        <v>76</v>
      </c>
      <c r="L294" s="4">
        <v>20</v>
      </c>
      <c r="M294" s="2">
        <v>4</v>
      </c>
      <c r="N294" s="2"/>
      <c r="O294" s="2"/>
      <c r="P294" s="2"/>
      <c r="Q294" s="4">
        <v>4</v>
      </c>
      <c r="T294" s="2">
        <v>500</v>
      </c>
      <c r="X294" s="2"/>
      <c r="Z294" s="351">
        <v>-2539.3418204102077</v>
      </c>
    </row>
    <row r="295" spans="10:28" hidden="1" outlineLevel="1">
      <c r="J295" s="67"/>
      <c r="K295" s="2" t="s">
        <v>76</v>
      </c>
      <c r="L295" s="4">
        <v>10</v>
      </c>
      <c r="M295" s="2">
        <v>2</v>
      </c>
      <c r="N295" s="2"/>
      <c r="O295" s="2"/>
      <c r="P295" s="2"/>
      <c r="Q295" s="4">
        <v>2</v>
      </c>
      <c r="T295" s="2">
        <v>472.45</v>
      </c>
      <c r="W295" s="2" t="s">
        <v>75</v>
      </c>
      <c r="X295" s="2">
        <v>1600</v>
      </c>
      <c r="Z295" s="351">
        <v>64184.999999999956</v>
      </c>
    </row>
    <row r="296" spans="10:28" hidden="1" outlineLevel="1">
      <c r="J296" s="67"/>
      <c r="K296" s="4" t="s">
        <v>75</v>
      </c>
      <c r="M296" s="2">
        <v>1600</v>
      </c>
      <c r="N296" s="2">
        <v>0</v>
      </c>
      <c r="O296" s="2">
        <v>0</v>
      </c>
      <c r="P296" s="2">
        <v>0</v>
      </c>
      <c r="Q296" s="4">
        <v>1600</v>
      </c>
      <c r="T296" s="2">
        <v>1000</v>
      </c>
      <c r="W296" s="2" t="s">
        <v>77</v>
      </c>
      <c r="X296" s="14">
        <v>463.31738437001599</v>
      </c>
      <c r="Z296" s="68"/>
      <c r="AA296" s="121" t="s">
        <v>11</v>
      </c>
      <c r="AB296" s="240">
        <v>500</v>
      </c>
    </row>
    <row r="297" spans="10:28" hidden="1" outlineLevel="1">
      <c r="J297" s="67"/>
      <c r="M297" s="2"/>
      <c r="N297" s="2"/>
      <c r="O297" s="2"/>
      <c r="P297" s="2"/>
      <c r="W297" s="2" t="s">
        <v>562</v>
      </c>
      <c r="X297" s="14">
        <v>2063.317384370016</v>
      </c>
      <c r="Z297" s="68"/>
      <c r="AA297" s="299" t="s">
        <v>587</v>
      </c>
      <c r="AB297" s="4">
        <v>2400</v>
      </c>
    </row>
    <row r="298" spans="10:28" hidden="1" outlineLevel="1">
      <c r="J298" s="67"/>
      <c r="K298" s="2" t="s">
        <v>76</v>
      </c>
      <c r="L298" s="4">
        <v>500</v>
      </c>
      <c r="M298" s="2"/>
      <c r="N298" s="2"/>
      <c r="O298" s="2"/>
      <c r="P298" s="2"/>
      <c r="Q298" s="4">
        <v>0</v>
      </c>
      <c r="S298" s="2" t="s">
        <v>571</v>
      </c>
      <c r="T298" s="4">
        <v>3029.9300000000003</v>
      </c>
      <c r="U298" s="4" t="s">
        <v>17</v>
      </c>
      <c r="X298" s="2"/>
      <c r="Z298" s="68"/>
      <c r="AA298" s="92"/>
      <c r="AB298" s="297">
        <v>4000</v>
      </c>
    </row>
    <row r="299" spans="10:28" hidden="1" outlineLevel="1">
      <c r="J299" s="67"/>
      <c r="K299" s="2" t="s">
        <v>76</v>
      </c>
      <c r="L299" s="4">
        <v>500</v>
      </c>
      <c r="M299" s="2">
        <v>15</v>
      </c>
      <c r="N299" s="2"/>
      <c r="O299" s="2"/>
      <c r="P299" s="2"/>
      <c r="Q299" s="4">
        <v>15</v>
      </c>
      <c r="T299" s="4">
        <v>76458.042584343799</v>
      </c>
      <c r="U299" s="4" t="s">
        <v>135</v>
      </c>
      <c r="X299" s="2"/>
      <c r="Z299" s="68"/>
    </row>
    <row r="300" spans="10:28" hidden="1" outlineLevel="1">
      <c r="J300" s="67"/>
      <c r="K300" s="2" t="s">
        <v>76</v>
      </c>
      <c r="L300" s="4">
        <v>200</v>
      </c>
      <c r="M300" s="2">
        <v>12</v>
      </c>
      <c r="N300" s="2"/>
      <c r="O300" s="2"/>
      <c r="P300" s="2">
        <v>7</v>
      </c>
      <c r="Q300" s="4">
        <v>19</v>
      </c>
      <c r="W300" s="2" t="s">
        <v>584</v>
      </c>
      <c r="X300" s="203">
        <v>-1495.5407952197761</v>
      </c>
      <c r="Z300" s="68"/>
    </row>
    <row r="301" spans="10:28" hidden="1" outlineLevel="1">
      <c r="J301" s="67"/>
      <c r="K301" s="2" t="s">
        <v>76</v>
      </c>
      <c r="L301" s="4">
        <v>100</v>
      </c>
      <c r="M301" s="2"/>
      <c r="N301" s="2"/>
      <c r="O301" s="2"/>
      <c r="P301" s="2">
        <v>2</v>
      </c>
      <c r="Q301" s="4">
        <v>2</v>
      </c>
      <c r="Z301" s="68"/>
    </row>
    <row r="302" spans="10:28" hidden="1" outlineLevel="1">
      <c r="J302" s="67"/>
      <c r="K302" s="2" t="s">
        <v>76</v>
      </c>
      <c r="L302" s="4">
        <v>50</v>
      </c>
      <c r="M302" s="2"/>
      <c r="N302" s="2"/>
      <c r="O302" s="2"/>
      <c r="P302" s="2">
        <v>2</v>
      </c>
      <c r="Q302" s="4">
        <v>2</v>
      </c>
      <c r="Y302" s="2"/>
      <c r="Z302" s="68"/>
    </row>
    <row r="303" spans="10:28" hidden="1" outlineLevel="1">
      <c r="J303" s="67"/>
      <c r="K303" s="2" t="s">
        <v>76</v>
      </c>
      <c r="L303" s="4">
        <v>20</v>
      </c>
      <c r="M303" s="2"/>
      <c r="N303" s="2"/>
      <c r="O303" s="2"/>
      <c r="P303" s="2">
        <v>1</v>
      </c>
      <c r="Q303" s="4">
        <v>1</v>
      </c>
      <c r="X303" s="2"/>
      <c r="Y303" s="2"/>
      <c r="Z303" s="125"/>
    </row>
    <row r="304" spans="10:28" hidden="1" outlineLevel="1">
      <c r="J304" s="67"/>
      <c r="K304" s="2" t="s">
        <v>76</v>
      </c>
      <c r="L304" s="4">
        <v>10</v>
      </c>
      <c r="M304" s="2"/>
      <c r="N304" s="2"/>
      <c r="O304" s="2"/>
      <c r="P304" s="2"/>
      <c r="Q304" s="4">
        <v>0</v>
      </c>
      <c r="X304" s="4" t="s">
        <v>75</v>
      </c>
      <c r="Y304" s="4" t="s">
        <v>77</v>
      </c>
      <c r="Z304" s="126" t="s">
        <v>590</v>
      </c>
    </row>
    <row r="305" spans="10:28" hidden="1" outlineLevel="1">
      <c r="J305" s="67"/>
      <c r="K305" s="2" t="s">
        <v>76</v>
      </c>
      <c r="L305" s="4">
        <v>5</v>
      </c>
      <c r="M305" s="2"/>
      <c r="N305" s="2"/>
      <c r="O305" s="2"/>
      <c r="P305" s="2"/>
      <c r="Q305" s="4">
        <v>0</v>
      </c>
      <c r="V305" s="2" t="s">
        <v>588</v>
      </c>
      <c r="W305" s="2" t="s">
        <v>9</v>
      </c>
      <c r="X305" s="142">
        <v>1600</v>
      </c>
      <c r="Y305" s="142">
        <v>40374.816624459992</v>
      </c>
      <c r="Z305" s="235">
        <v>1600</v>
      </c>
    </row>
    <row r="306" spans="10:28" hidden="1" outlineLevel="1">
      <c r="J306" s="67"/>
      <c r="K306" s="2" t="s">
        <v>76</v>
      </c>
      <c r="L306" s="4">
        <v>2</v>
      </c>
      <c r="M306" s="2"/>
      <c r="N306" s="2"/>
      <c r="O306" s="2"/>
      <c r="P306" s="2"/>
      <c r="Q306" s="4">
        <v>0</v>
      </c>
      <c r="V306" s="2" t="s">
        <v>588</v>
      </c>
      <c r="W306" s="2" t="s">
        <v>135</v>
      </c>
      <c r="X306" s="142">
        <v>460.4850635714476</v>
      </c>
      <c r="Y306" s="142">
        <v>11620</v>
      </c>
      <c r="Z306" s="235">
        <v>460.4850635714476</v>
      </c>
    </row>
    <row r="307" spans="10:28" hidden="1" outlineLevel="1">
      <c r="J307" s="67"/>
      <c r="K307" s="4" t="s">
        <v>77</v>
      </c>
      <c r="M307" s="2">
        <v>9900</v>
      </c>
      <c r="N307" s="2">
        <v>0</v>
      </c>
      <c r="O307" s="2">
        <v>0</v>
      </c>
      <c r="P307" s="2">
        <v>1720</v>
      </c>
      <c r="Q307" s="4">
        <v>11620</v>
      </c>
      <c r="V307" s="2" t="s">
        <v>589</v>
      </c>
      <c r="W307" s="2" t="s">
        <v>135</v>
      </c>
      <c r="X307" s="142">
        <v>2539.3418204102077</v>
      </c>
      <c r="Y307" s="142">
        <v>64184.999999999956</v>
      </c>
      <c r="Z307" s="235">
        <v>2543.5657319563979</v>
      </c>
    </row>
    <row r="308" spans="10:28" hidden="1" outlineLevel="1">
      <c r="J308" s="67"/>
      <c r="Q308" s="311">
        <v>460.4850635714476</v>
      </c>
      <c r="X308" s="142">
        <v>4599.8268839816556</v>
      </c>
      <c r="Y308" s="142">
        <v>116179.81662445996</v>
      </c>
      <c r="Z308" s="235">
        <v>4604.0507955278454</v>
      </c>
    </row>
    <row r="309" spans="10:28" hidden="1" outlineLevel="1">
      <c r="J309" s="67"/>
      <c r="N309" t="s">
        <v>563</v>
      </c>
      <c r="P309" s="4" t="s">
        <v>1330</v>
      </c>
      <c r="Q309" s="352">
        <v>64184.999999999956</v>
      </c>
      <c r="R309" s="296" t="s">
        <v>716</v>
      </c>
      <c r="X309" s="142"/>
      <c r="Y309" s="142">
        <v>4604.0507955278463</v>
      </c>
      <c r="Z309" s="302"/>
    </row>
    <row r="310" spans="10:28" ht="15" hidden="1" outlineLevel="1" thickBot="1">
      <c r="J310" s="67"/>
      <c r="Q310" s="311">
        <v>2543.5657319563979</v>
      </c>
      <c r="Y310" s="142"/>
      <c r="Z310" s="302"/>
    </row>
    <row r="311" spans="10:28" ht="15" hidden="1" outlineLevel="1" thickBot="1">
      <c r="J311" s="67"/>
      <c r="K311" s="2" t="s">
        <v>606</v>
      </c>
      <c r="N311" s="9" t="s">
        <v>595</v>
      </c>
      <c r="Q311" s="348">
        <v>75804.999999999956</v>
      </c>
      <c r="S311" s="349">
        <v>-653.04258434384246</v>
      </c>
      <c r="V311" s="2" t="s">
        <v>608</v>
      </c>
      <c r="W311" s="27">
        <v>51994.816624459992</v>
      </c>
      <c r="X311" s="6">
        <v>2060.4850635714474</v>
      </c>
      <c r="Y311" s="142">
        <v>-185.15027279904052</v>
      </c>
      <c r="Z311" s="302"/>
    </row>
    <row r="312" spans="10:28" hidden="1" outlineLevel="1">
      <c r="J312" s="67"/>
      <c r="K312" s="2" t="s">
        <v>607</v>
      </c>
      <c r="M312" s="2"/>
      <c r="Q312" s="311">
        <v>3004.0507955278458</v>
      </c>
      <c r="S312" s="289">
        <v>-25.879204472154626</v>
      </c>
      <c r="V312" s="2" t="s">
        <v>609</v>
      </c>
      <c r="W312" s="27">
        <v>64184.999999999956</v>
      </c>
      <c r="X312" s="6">
        <v>2543.5657319563979</v>
      </c>
      <c r="Y312" s="142">
        <v>142.66318664864048</v>
      </c>
      <c r="Z312" s="302"/>
      <c r="AA312" s="2"/>
    </row>
    <row r="313" spans="10:28" hidden="1" outlineLevel="1">
      <c r="J313" s="67"/>
      <c r="N313" s="9" t="s">
        <v>586</v>
      </c>
      <c r="O313" s="9"/>
      <c r="Q313" s="28">
        <v>4604.0507955278463</v>
      </c>
      <c r="S313"/>
      <c r="T313"/>
      <c r="V313" s="2" t="s">
        <v>14</v>
      </c>
      <c r="W313" s="233">
        <v>116179.81662445996</v>
      </c>
      <c r="X313" s="6">
        <v>4604.0507955278454</v>
      </c>
      <c r="Y313" s="161">
        <v>-42.487086150399591</v>
      </c>
      <c r="Z313" s="302"/>
      <c r="AA313" s="2"/>
      <c r="AB313" s="28">
        <v>-42.487086150398682</v>
      </c>
    </row>
    <row r="314" spans="10:28" hidden="1" outlineLevel="1">
      <c r="J314" s="67"/>
      <c r="Q314" s="311">
        <v>4604.0507955278454</v>
      </c>
      <c r="S314"/>
      <c r="T314"/>
      <c r="Z314" s="302"/>
      <c r="AB314" s="82">
        <v>-1072.1301951437379</v>
      </c>
    </row>
    <row r="315" spans="10:28" hidden="1" outlineLevel="1">
      <c r="J315" s="92"/>
      <c r="K315" s="87"/>
      <c r="L315" s="87"/>
      <c r="M315" s="87"/>
      <c r="N315" s="87"/>
      <c r="O315" s="87"/>
      <c r="P315" s="87"/>
      <c r="Q315" s="87"/>
      <c r="R315" s="87"/>
      <c r="S315" s="297"/>
      <c r="T315" s="297"/>
      <c r="U315" s="297"/>
      <c r="V315" s="297"/>
      <c r="W315" s="297"/>
      <c r="X315" s="87"/>
      <c r="Y315" s="87"/>
      <c r="Z315" s="88"/>
    </row>
    <row r="316" spans="10:28" hidden="1" outlineLevel="1"/>
    <row r="317" spans="10:28" hidden="1" outlineLevel="1"/>
    <row r="318" spans="10:28" hidden="1" outlineLevel="1">
      <c r="J318" s="332" t="s">
        <v>718</v>
      </c>
      <c r="K318" s="188"/>
      <c r="L318" s="188"/>
      <c r="M318" s="188"/>
      <c r="N318" s="188"/>
      <c r="O318" s="188"/>
      <c r="P318" s="188"/>
      <c r="Q318" s="188"/>
      <c r="R318" s="188" t="s">
        <v>578</v>
      </c>
      <c r="S318" s="293"/>
      <c r="T318" s="293"/>
      <c r="U318" s="293"/>
      <c r="V318" s="293"/>
      <c r="W318" s="293"/>
      <c r="X318" s="188" t="s">
        <v>75</v>
      </c>
      <c r="Y318" s="188"/>
      <c r="Z318" s="189"/>
    </row>
    <row r="319" spans="10:28" hidden="1" outlineLevel="1">
      <c r="J319" s="67"/>
      <c r="K319" t="s">
        <v>565</v>
      </c>
      <c r="L319" s="2"/>
      <c r="M319" s="2"/>
      <c r="N319" s="2"/>
      <c r="O319" s="2"/>
      <c r="P319" s="2"/>
      <c r="T319" s="4">
        <v>4629.93</v>
      </c>
      <c r="W319" s="2" t="s">
        <v>565</v>
      </c>
      <c r="X319" s="215">
        <v>6868.2</v>
      </c>
      <c r="Y319" s="4" t="s">
        <v>1330</v>
      </c>
      <c r="Z319" s="68"/>
      <c r="AB319">
        <v>0</v>
      </c>
    </row>
    <row r="320" spans="10:28" hidden="1" outlineLevel="1">
      <c r="J320" s="67"/>
      <c r="K320" s="2" t="s">
        <v>76</v>
      </c>
      <c r="L320" s="4">
        <v>200</v>
      </c>
      <c r="M320" s="2"/>
      <c r="N320" s="2"/>
      <c r="O320" s="2"/>
      <c r="P320" s="2"/>
      <c r="W320" s="2" t="s">
        <v>563</v>
      </c>
      <c r="X320" s="353">
        <v>-2711.2424235056724</v>
      </c>
      <c r="Y320" s="142">
        <v>-171.9006030954647</v>
      </c>
      <c r="Z320" s="350">
        <v>-9378.1173248311206</v>
      </c>
    </row>
    <row r="321" spans="10:28" hidden="1" outlineLevel="1">
      <c r="J321" s="67"/>
      <c r="K321" s="2" t="s">
        <v>76</v>
      </c>
      <c r="L321" s="4">
        <v>100</v>
      </c>
      <c r="M321" s="2"/>
      <c r="N321" s="2"/>
      <c r="O321" s="2"/>
      <c r="P321" s="2"/>
      <c r="T321" s="2">
        <v>900</v>
      </c>
      <c r="W321" s="2" t="s">
        <v>562</v>
      </c>
      <c r="X321" s="142">
        <v>4156.9575764943274</v>
      </c>
      <c r="Z321" s="350">
        <v>236649.85454545487</v>
      </c>
    </row>
    <row r="322" spans="10:28" hidden="1" outlineLevel="1">
      <c r="J322" s="67"/>
      <c r="K322" s="2" t="s">
        <v>76</v>
      </c>
      <c r="L322" s="4">
        <v>50</v>
      </c>
      <c r="M322" s="2">
        <v>30</v>
      </c>
      <c r="N322" s="2"/>
      <c r="O322" s="2"/>
      <c r="P322" s="2"/>
      <c r="Q322" s="4">
        <v>30</v>
      </c>
      <c r="T322" s="2">
        <v>157.47999999999999</v>
      </c>
      <c r="X322" s="2"/>
      <c r="Z322" s="68"/>
    </row>
    <row r="323" spans="10:28" hidden="1" outlineLevel="1">
      <c r="J323" s="67"/>
      <c r="K323" s="2" t="s">
        <v>76</v>
      </c>
      <c r="L323" s="4">
        <v>20</v>
      </c>
      <c r="M323" s="2">
        <v>4</v>
      </c>
      <c r="N323" s="2"/>
      <c r="O323" s="2"/>
      <c r="P323" s="2"/>
      <c r="Q323" s="4">
        <v>4</v>
      </c>
      <c r="T323" s="2">
        <v>500</v>
      </c>
      <c r="X323" s="2"/>
      <c r="Z323" s="351">
        <v>-2711.2424235056724</v>
      </c>
    </row>
    <row r="324" spans="10:28" hidden="1" outlineLevel="1">
      <c r="J324" s="67"/>
      <c r="K324" s="2" t="s">
        <v>76</v>
      </c>
      <c r="L324" s="4">
        <v>10</v>
      </c>
      <c r="M324" s="2">
        <v>2</v>
      </c>
      <c r="N324" s="2"/>
      <c r="O324" s="2"/>
      <c r="P324" s="2"/>
      <c r="Q324" s="4">
        <v>2</v>
      </c>
      <c r="T324" s="2">
        <v>472.45</v>
      </c>
      <c r="W324" s="2" t="s">
        <v>75</v>
      </c>
      <c r="X324" s="2">
        <v>1600</v>
      </c>
      <c r="Z324" s="351">
        <v>68529.999999999971</v>
      </c>
    </row>
    <row r="325" spans="10:28" hidden="1" outlineLevel="1">
      <c r="J325" s="67"/>
      <c r="K325" s="4" t="s">
        <v>75</v>
      </c>
      <c r="M325" s="2">
        <v>1600</v>
      </c>
      <c r="N325" s="2">
        <v>0</v>
      </c>
      <c r="O325" s="2">
        <v>0</v>
      </c>
      <c r="P325" s="2">
        <v>0</v>
      </c>
      <c r="Q325" s="4">
        <v>1600</v>
      </c>
      <c r="T325" s="2">
        <v>1000</v>
      </c>
      <c r="W325" s="2" t="s">
        <v>77</v>
      </c>
      <c r="X325" s="14">
        <v>301.07655502392345</v>
      </c>
      <c r="Z325" s="68"/>
      <c r="AA325" s="121" t="s">
        <v>11</v>
      </c>
      <c r="AB325" s="240">
        <v>0</v>
      </c>
    </row>
    <row r="326" spans="10:28" hidden="1" outlineLevel="1">
      <c r="J326" s="67"/>
      <c r="M326" s="2"/>
      <c r="N326" s="2"/>
      <c r="O326" s="2"/>
      <c r="P326" s="2"/>
      <c r="W326" s="2" t="s">
        <v>562</v>
      </c>
      <c r="X326" s="14">
        <v>1901.0765550239234</v>
      </c>
      <c r="Z326" s="68"/>
      <c r="AA326" s="299" t="s">
        <v>587</v>
      </c>
      <c r="AB326" s="4">
        <v>2400</v>
      </c>
    </row>
    <row r="327" spans="10:28" hidden="1" outlineLevel="1">
      <c r="J327" s="67"/>
      <c r="K327" s="2" t="s">
        <v>76</v>
      </c>
      <c r="L327" s="4">
        <v>500</v>
      </c>
      <c r="M327" s="2"/>
      <c r="N327" s="2"/>
      <c r="O327" s="2"/>
      <c r="P327" s="2"/>
      <c r="Q327" s="4">
        <v>0</v>
      </c>
      <c r="S327" s="2" t="s">
        <v>571</v>
      </c>
      <c r="T327" s="4">
        <v>3029.9300000000003</v>
      </c>
      <c r="U327" s="4" t="s">
        <v>17</v>
      </c>
      <c r="X327" s="2"/>
      <c r="Z327" s="68"/>
      <c r="AA327" s="92"/>
      <c r="AB327" s="297">
        <v>4000</v>
      </c>
    </row>
    <row r="328" spans="10:28" hidden="1" outlineLevel="1">
      <c r="J328" s="67"/>
      <c r="K328" s="2" t="s">
        <v>76</v>
      </c>
      <c r="L328" s="4">
        <v>500</v>
      </c>
      <c r="M328" s="2">
        <v>7</v>
      </c>
      <c r="N328" s="2"/>
      <c r="O328" s="2"/>
      <c r="P328" s="2">
        <v>7</v>
      </c>
      <c r="Q328" s="4">
        <v>14</v>
      </c>
      <c r="T328" s="4">
        <v>76458.042584343799</v>
      </c>
      <c r="U328" s="4" t="s">
        <v>135</v>
      </c>
      <c r="X328" s="2"/>
      <c r="Z328" s="68"/>
    </row>
    <row r="329" spans="10:28" hidden="1" outlineLevel="1">
      <c r="J329" s="67"/>
      <c r="K329" s="2" t="s">
        <v>76</v>
      </c>
      <c r="L329" s="4">
        <v>200</v>
      </c>
      <c r="M329" s="2"/>
      <c r="N329" s="2"/>
      <c r="O329" s="2"/>
      <c r="P329" s="2">
        <v>2</v>
      </c>
      <c r="Q329" s="4">
        <v>2</v>
      </c>
      <c r="W329" s="2" t="s">
        <v>584</v>
      </c>
      <c r="X329" s="203">
        <v>-2255.881021470404</v>
      </c>
      <c r="Z329" s="68"/>
    </row>
    <row r="330" spans="10:28" hidden="1" outlineLevel="1">
      <c r="J330" s="67"/>
      <c r="K330" s="2" t="s">
        <v>76</v>
      </c>
      <c r="L330" s="4">
        <v>100</v>
      </c>
      <c r="M330" s="2"/>
      <c r="N330" s="2"/>
      <c r="O330" s="2"/>
      <c r="P330" s="2"/>
      <c r="Q330" s="4">
        <v>0</v>
      </c>
      <c r="Z330" s="68"/>
    </row>
    <row r="331" spans="10:28" hidden="1" outlineLevel="1">
      <c r="J331" s="67"/>
      <c r="K331" s="2" t="s">
        <v>76</v>
      </c>
      <c r="L331" s="4">
        <v>50</v>
      </c>
      <c r="M331" s="2"/>
      <c r="N331" s="2"/>
      <c r="O331" s="2"/>
      <c r="P331" s="2">
        <v>2</v>
      </c>
      <c r="Q331" s="4">
        <v>2</v>
      </c>
      <c r="Y331" s="2"/>
      <c r="Z331" s="68"/>
    </row>
    <row r="332" spans="10:28" hidden="1" outlineLevel="1">
      <c r="J332" s="67"/>
      <c r="K332" s="2" t="s">
        <v>76</v>
      </c>
      <c r="L332" s="4">
        <v>20</v>
      </c>
      <c r="M332" s="2"/>
      <c r="N332" s="2"/>
      <c r="O332" s="2"/>
      <c r="P332" s="2">
        <v>1</v>
      </c>
      <c r="Q332" s="4">
        <v>1</v>
      </c>
      <c r="X332" s="2"/>
      <c r="Y332" s="2"/>
      <c r="Z332" s="125"/>
    </row>
    <row r="333" spans="10:28" hidden="1" outlineLevel="1">
      <c r="J333" s="67"/>
      <c r="K333" s="2" t="s">
        <v>76</v>
      </c>
      <c r="L333" s="4">
        <v>10</v>
      </c>
      <c r="M333" s="2"/>
      <c r="N333" s="2"/>
      <c r="O333" s="2"/>
      <c r="P333" s="2">
        <v>2</v>
      </c>
      <c r="Q333" s="4">
        <v>0</v>
      </c>
      <c r="X333" s="4" t="s">
        <v>75</v>
      </c>
      <c r="Y333" s="4" t="s">
        <v>77</v>
      </c>
      <c r="Z333" s="126" t="s">
        <v>590</v>
      </c>
    </row>
    <row r="334" spans="10:28" hidden="1" outlineLevel="1">
      <c r="J334" s="67"/>
      <c r="K334" s="2" t="s">
        <v>76</v>
      </c>
      <c r="L334" s="4">
        <v>5</v>
      </c>
      <c r="M334" s="2"/>
      <c r="N334" s="2"/>
      <c r="O334" s="2"/>
      <c r="P334" s="2">
        <v>1</v>
      </c>
      <c r="Q334" s="4">
        <v>1</v>
      </c>
      <c r="V334" s="2" t="s">
        <v>588</v>
      </c>
      <c r="W334" s="2" t="s">
        <v>9</v>
      </c>
      <c r="X334" s="142">
        <v>1600</v>
      </c>
      <c r="Y334" s="142">
        <v>40374.816624459992</v>
      </c>
      <c r="Z334" s="235">
        <v>1600</v>
      </c>
    </row>
    <row r="335" spans="10:28" hidden="1" outlineLevel="1">
      <c r="J335" s="67"/>
      <c r="K335" s="2" t="s">
        <v>76</v>
      </c>
      <c r="L335" s="4">
        <v>2</v>
      </c>
      <c r="M335" s="2"/>
      <c r="N335" s="2"/>
      <c r="O335" s="2"/>
      <c r="P335" s="2">
        <v>3</v>
      </c>
      <c r="Q335" s="4">
        <v>3</v>
      </c>
      <c r="V335" s="2" t="s">
        <v>588</v>
      </c>
      <c r="W335" s="2" t="s">
        <v>135</v>
      </c>
      <c r="X335" s="142">
        <v>299.23603399552502</v>
      </c>
      <c r="Y335" s="142">
        <v>7551</v>
      </c>
      <c r="Z335" s="235">
        <v>299.23603399552502</v>
      </c>
    </row>
    <row r="336" spans="10:28" hidden="1" outlineLevel="1">
      <c r="J336" s="67"/>
      <c r="K336" s="4" t="s">
        <v>77</v>
      </c>
      <c r="M336" s="2">
        <v>3500</v>
      </c>
      <c r="N336" s="2">
        <v>0</v>
      </c>
      <c r="O336" s="2">
        <v>0</v>
      </c>
      <c r="P336" s="2">
        <v>4051</v>
      </c>
      <c r="Q336" s="4">
        <v>7551</v>
      </c>
      <c r="V336" s="2" t="s">
        <v>589</v>
      </c>
      <c r="W336" s="2" t="s">
        <v>135</v>
      </c>
      <c r="X336" s="142">
        <v>2711.2424235056724</v>
      </c>
      <c r="Y336" s="142">
        <v>68529.999999999971</v>
      </c>
      <c r="Z336" s="235">
        <v>2715.7522725087169</v>
      </c>
    </row>
    <row r="337" spans="10:28" hidden="1" outlineLevel="1">
      <c r="J337" s="67"/>
      <c r="Q337" s="311">
        <v>299.23603399552502</v>
      </c>
      <c r="X337" s="142">
        <v>4610.4784575011972</v>
      </c>
      <c r="Y337" s="142">
        <v>116455.81662445996</v>
      </c>
      <c r="Z337" s="235">
        <v>4614.9883065042422</v>
      </c>
    </row>
    <row r="338" spans="10:28" hidden="1" outlineLevel="1">
      <c r="J338" s="67"/>
      <c r="N338" t="s">
        <v>563</v>
      </c>
      <c r="P338" s="4" t="s">
        <v>1330</v>
      </c>
      <c r="Q338" s="352">
        <v>68529.999999999971</v>
      </c>
      <c r="R338" s="296" t="s">
        <v>718</v>
      </c>
      <c r="X338" s="142"/>
      <c r="Y338" s="142">
        <v>4614.9883065042413</v>
      </c>
      <c r="Z338" s="302"/>
    </row>
    <row r="339" spans="10:28" ht="15" hidden="1" outlineLevel="1" thickBot="1">
      <c r="J339" s="67"/>
      <c r="Q339" s="311">
        <v>2715.7522725087169</v>
      </c>
      <c r="Y339" s="142"/>
      <c r="Z339" s="302"/>
    </row>
    <row r="340" spans="10:28" ht="15" hidden="1" outlineLevel="1" thickBot="1">
      <c r="J340" s="67"/>
      <c r="K340" s="2" t="s">
        <v>606</v>
      </c>
      <c r="N340" s="9" t="s">
        <v>595</v>
      </c>
      <c r="Q340" s="348">
        <v>76080.999999999971</v>
      </c>
      <c r="S340" s="349">
        <v>-377.04258434382791</v>
      </c>
      <c r="V340" s="2" t="s">
        <v>608</v>
      </c>
      <c r="W340" s="27">
        <v>47925.816624459992</v>
      </c>
      <c r="X340" s="6">
        <v>1899.2360339955251</v>
      </c>
      <c r="Y340" s="142">
        <v>-161.24902957592235</v>
      </c>
      <c r="Z340" s="302"/>
    </row>
    <row r="341" spans="10:28" hidden="1" outlineLevel="1">
      <c r="J341" s="67"/>
      <c r="K341" s="2" t="s">
        <v>607</v>
      </c>
      <c r="M341" s="2"/>
      <c r="Q341" s="311">
        <v>3014.9883065042422</v>
      </c>
      <c r="S341" s="289">
        <v>-14.941693495758217</v>
      </c>
      <c r="V341" s="2" t="s">
        <v>609</v>
      </c>
      <c r="W341" s="27">
        <v>68529.999999999971</v>
      </c>
      <c r="X341" s="6">
        <v>2715.7522725087169</v>
      </c>
      <c r="Y341" s="142">
        <v>172.186540552319</v>
      </c>
      <c r="Z341" s="302"/>
      <c r="AA341" s="2"/>
    </row>
    <row r="342" spans="10:28" hidden="1" outlineLevel="1">
      <c r="J342" s="67"/>
      <c r="N342" s="9" t="s">
        <v>586</v>
      </c>
      <c r="O342" s="9"/>
      <c r="Q342" s="28">
        <v>4614.9883065042422</v>
      </c>
      <c r="S342"/>
      <c r="T342"/>
      <c r="V342" s="2" t="s">
        <v>14</v>
      </c>
      <c r="W342" s="233">
        <v>116455.81662445996</v>
      </c>
      <c r="X342" s="6">
        <v>4614.9883065042422</v>
      </c>
      <c r="Y342" s="161">
        <v>10.937510976396879</v>
      </c>
      <c r="Z342" s="302"/>
      <c r="AA342" s="2"/>
      <c r="AB342" s="28">
        <v>10.93751097639597</v>
      </c>
    </row>
    <row r="343" spans="10:28" hidden="1" outlineLevel="1">
      <c r="J343" s="67"/>
      <c r="Q343" s="311">
        <v>4614.9883065042422</v>
      </c>
      <c r="S343"/>
      <c r="T343"/>
      <c r="Z343" s="302"/>
      <c r="AB343" s="82">
        <v>276.00000000000352</v>
      </c>
    </row>
    <row r="344" spans="10:28" hidden="1" outlineLevel="1">
      <c r="J344" s="92"/>
      <c r="K344" s="87"/>
      <c r="L344" s="87"/>
      <c r="M344" s="87"/>
      <c r="N344" s="87"/>
      <c r="O344" s="87"/>
      <c r="P344" s="87"/>
      <c r="Q344" s="87"/>
      <c r="R344" s="87"/>
      <c r="S344" s="297"/>
      <c r="T344" s="297"/>
      <c r="U344" s="297"/>
      <c r="V344" s="297"/>
      <c r="W344" s="297"/>
      <c r="X344" s="87"/>
      <c r="Y344" s="87"/>
      <c r="Z344" s="88"/>
    </row>
    <row r="345" spans="10:28" hidden="1" outlineLevel="1"/>
    <row r="346" spans="10:28" hidden="1" outlineLevel="1"/>
    <row r="347" spans="10:28" hidden="1" outlineLevel="1">
      <c r="J347" s="332" t="s">
        <v>729</v>
      </c>
      <c r="K347" s="188"/>
      <c r="L347" s="188"/>
      <c r="M347" s="188"/>
      <c r="N347" s="188"/>
      <c r="O347" s="188"/>
      <c r="P347" s="188"/>
      <c r="Q347" s="188"/>
      <c r="R347" s="188" t="s">
        <v>578</v>
      </c>
      <c r="S347" s="293"/>
      <c r="T347" s="293"/>
      <c r="U347" s="293"/>
      <c r="V347" s="293"/>
      <c r="W347" s="293"/>
      <c r="X347" s="188" t="s">
        <v>75</v>
      </c>
      <c r="Y347" s="188"/>
      <c r="Z347" s="189"/>
    </row>
    <row r="348" spans="10:28" hidden="1" outlineLevel="1">
      <c r="J348" s="67"/>
      <c r="K348" t="s">
        <v>565</v>
      </c>
      <c r="L348" s="2"/>
      <c r="M348" s="2"/>
      <c r="N348" s="2"/>
      <c r="O348" s="2"/>
      <c r="P348" s="2"/>
      <c r="T348" s="4">
        <v>4896.8600000000006</v>
      </c>
      <c r="W348" s="2" t="s">
        <v>565</v>
      </c>
      <c r="X348" s="215">
        <v>6098.2</v>
      </c>
      <c r="Y348" s="4" t="s">
        <v>1330</v>
      </c>
      <c r="Z348" s="68"/>
      <c r="AB348">
        <v>0</v>
      </c>
    </row>
    <row r="349" spans="10:28" hidden="1" outlineLevel="1">
      <c r="J349" s="67"/>
      <c r="K349" s="2" t="s">
        <v>76</v>
      </c>
      <c r="L349" s="4">
        <v>200</v>
      </c>
      <c r="M349" s="2"/>
      <c r="N349" s="2"/>
      <c r="O349" s="2"/>
      <c r="P349" s="2"/>
      <c r="W349" s="2" t="s">
        <v>563</v>
      </c>
      <c r="X349" s="353">
        <v>-3151.2986842254559</v>
      </c>
      <c r="Y349" s="142">
        <v>-440.0562607197835</v>
      </c>
      <c r="Z349" s="350">
        <v>-9378.1173248311206</v>
      </c>
    </row>
    <row r="350" spans="10:28" hidden="1" outlineLevel="1">
      <c r="J350" s="67"/>
      <c r="K350" s="2" t="s">
        <v>76</v>
      </c>
      <c r="L350" s="4">
        <v>100</v>
      </c>
      <c r="M350" s="2"/>
      <c r="N350" s="2"/>
      <c r="O350" s="2"/>
      <c r="P350" s="2"/>
      <c r="T350" s="2">
        <v>900</v>
      </c>
      <c r="W350" s="2" t="s">
        <v>562</v>
      </c>
      <c r="X350" s="142">
        <v>2946.9013157745439</v>
      </c>
      <c r="Z350" s="350">
        <v>236649.85454545487</v>
      </c>
    </row>
    <row r="351" spans="10:28" hidden="1" outlineLevel="1">
      <c r="J351" s="67"/>
      <c r="K351" s="2" t="s">
        <v>76</v>
      </c>
      <c r="L351" s="4">
        <v>50</v>
      </c>
      <c r="M351" s="2">
        <v>30</v>
      </c>
      <c r="N351" s="2"/>
      <c r="O351" s="2"/>
      <c r="P351" s="2"/>
      <c r="Q351" s="4">
        <v>30</v>
      </c>
      <c r="T351" s="2">
        <v>157.47999999999999</v>
      </c>
      <c r="X351" s="2"/>
      <c r="Z351" s="68"/>
    </row>
    <row r="352" spans="10:28" hidden="1" outlineLevel="1">
      <c r="J352" s="67"/>
      <c r="K352" s="2" t="s">
        <v>76</v>
      </c>
      <c r="L352" s="4">
        <v>20</v>
      </c>
      <c r="M352" s="2">
        <v>4</v>
      </c>
      <c r="N352" s="2"/>
      <c r="O352" s="2"/>
      <c r="P352" s="2"/>
      <c r="Q352" s="4">
        <v>4</v>
      </c>
      <c r="T352" s="2">
        <v>500</v>
      </c>
      <c r="X352" s="2"/>
      <c r="Z352" s="351">
        <v>-3151.2986842254559</v>
      </c>
    </row>
    <row r="353" spans="10:28" hidden="1" outlineLevel="1">
      <c r="J353" s="67"/>
      <c r="K353" s="2" t="s">
        <v>76</v>
      </c>
      <c r="L353" s="4">
        <v>10</v>
      </c>
      <c r="M353" s="2">
        <v>2</v>
      </c>
      <c r="N353" s="2"/>
      <c r="O353" s="2"/>
      <c r="P353" s="2"/>
      <c r="Q353" s="4">
        <v>2</v>
      </c>
      <c r="T353" s="2">
        <v>472.45</v>
      </c>
      <c r="W353" s="2" t="s">
        <v>75</v>
      </c>
      <c r="X353" s="2">
        <v>1600</v>
      </c>
      <c r="Z353" s="351">
        <v>79607.999999999985</v>
      </c>
    </row>
    <row r="354" spans="10:28" hidden="1" outlineLevel="1">
      <c r="J354" s="67"/>
      <c r="K354" s="4" t="s">
        <v>75</v>
      </c>
      <c r="M354" s="2">
        <v>1600</v>
      </c>
      <c r="N354" s="2">
        <v>0</v>
      </c>
      <c r="O354" s="2">
        <v>0</v>
      </c>
      <c r="P354" s="2">
        <v>0</v>
      </c>
      <c r="Q354" s="4">
        <v>1600</v>
      </c>
      <c r="T354" s="2">
        <v>1000</v>
      </c>
      <c r="W354" s="2" t="s">
        <v>77</v>
      </c>
      <c r="X354" s="14">
        <v>144.73684210526318</v>
      </c>
      <c r="Z354" s="68"/>
      <c r="AA354" s="121" t="s">
        <v>11</v>
      </c>
      <c r="AB354" s="240">
        <v>0</v>
      </c>
    </row>
    <row r="355" spans="10:28" hidden="1" outlineLevel="1">
      <c r="J355" s="67"/>
      <c r="M355" s="2"/>
      <c r="N355" s="2"/>
      <c r="O355" s="2"/>
      <c r="P355" s="2"/>
      <c r="T355" s="2">
        <v>266.93</v>
      </c>
      <c r="W355" s="2" t="s">
        <v>562</v>
      </c>
      <c r="X355" s="14">
        <v>1744.7368421052631</v>
      </c>
      <c r="Z355" s="68"/>
      <c r="AA355" s="299" t="s">
        <v>587</v>
      </c>
      <c r="AB355" s="4">
        <v>2400</v>
      </c>
    </row>
    <row r="356" spans="10:28" hidden="1" outlineLevel="1">
      <c r="J356" s="67"/>
      <c r="K356" s="2" t="s">
        <v>76</v>
      </c>
      <c r="L356" s="4">
        <v>500</v>
      </c>
      <c r="M356" s="2"/>
      <c r="N356" s="2"/>
      <c r="O356" s="2"/>
      <c r="P356" s="2"/>
      <c r="Q356" s="4">
        <v>0</v>
      </c>
      <c r="S356" s="2" t="s">
        <v>571</v>
      </c>
      <c r="T356" s="4">
        <v>3296.86</v>
      </c>
      <c r="U356" s="4" t="s">
        <v>17</v>
      </c>
      <c r="X356" s="2"/>
      <c r="Z356" s="68"/>
      <c r="AA356" s="92"/>
      <c r="AB356" s="297">
        <v>4000</v>
      </c>
    </row>
    <row r="357" spans="10:28" hidden="1" outlineLevel="1">
      <c r="J357" s="67"/>
      <c r="K357" s="2" t="s">
        <v>76</v>
      </c>
      <c r="L357" s="4">
        <v>500</v>
      </c>
      <c r="M357" s="2"/>
      <c r="N357" s="2">
        <v>1</v>
      </c>
      <c r="O357" s="2"/>
      <c r="P357" s="2">
        <v>5</v>
      </c>
      <c r="Q357" s="4">
        <v>6</v>
      </c>
      <c r="T357" s="4">
        <v>83193.823710323239</v>
      </c>
      <c r="U357" s="4" t="s">
        <v>135</v>
      </c>
      <c r="X357" s="2"/>
      <c r="Z357" s="68"/>
    </row>
    <row r="358" spans="10:28" hidden="1" outlineLevel="1">
      <c r="J358" s="67"/>
      <c r="K358" s="2" t="s">
        <v>76</v>
      </c>
      <c r="L358" s="4">
        <v>200</v>
      </c>
      <c r="M358" s="2"/>
      <c r="N358" s="2">
        <v>1</v>
      </c>
      <c r="O358" s="2"/>
      <c r="P358" s="2">
        <v>2</v>
      </c>
      <c r="Q358" s="4">
        <v>3</v>
      </c>
      <c r="W358" s="2" t="s">
        <v>584</v>
      </c>
      <c r="X358" s="203">
        <v>-1202.1644736692808</v>
      </c>
      <c r="Z358" s="68"/>
    </row>
    <row r="359" spans="10:28" hidden="1" outlineLevel="1">
      <c r="J359" s="67"/>
      <c r="K359" s="2" t="s">
        <v>76</v>
      </c>
      <c r="L359" s="4">
        <v>100</v>
      </c>
      <c r="M359" s="2"/>
      <c r="N359" s="2"/>
      <c r="O359" s="2"/>
      <c r="P359" s="2"/>
      <c r="Q359" s="4">
        <v>0</v>
      </c>
      <c r="Z359" s="68"/>
    </row>
    <row r="360" spans="10:28" hidden="1" outlineLevel="1">
      <c r="J360" s="67"/>
      <c r="K360" s="2" t="s">
        <v>76</v>
      </c>
      <c r="L360" s="4">
        <v>50</v>
      </c>
      <c r="M360" s="2"/>
      <c r="N360" s="2"/>
      <c r="O360" s="2"/>
      <c r="P360" s="2"/>
      <c r="Q360" s="4">
        <v>0</v>
      </c>
      <c r="Y360" s="2"/>
      <c r="Z360" s="68"/>
    </row>
    <row r="361" spans="10:28" hidden="1" outlineLevel="1">
      <c r="J361" s="67"/>
      <c r="K361" s="2" t="s">
        <v>76</v>
      </c>
      <c r="L361" s="4">
        <v>20</v>
      </c>
      <c r="M361" s="2"/>
      <c r="N361" s="2"/>
      <c r="O361" s="2"/>
      <c r="P361" s="2">
        <v>1</v>
      </c>
      <c r="Q361" s="4">
        <v>1</v>
      </c>
      <c r="X361" s="2"/>
      <c r="Y361" s="2"/>
      <c r="Z361" s="125"/>
    </row>
    <row r="362" spans="10:28" hidden="1" outlineLevel="1">
      <c r="J362" s="67"/>
      <c r="K362" s="2" t="s">
        <v>76</v>
      </c>
      <c r="L362" s="4">
        <v>10</v>
      </c>
      <c r="M362" s="2"/>
      <c r="N362" s="2"/>
      <c r="O362" s="2"/>
      <c r="P362" s="2">
        <v>1</v>
      </c>
      <c r="Q362" s="4">
        <v>0</v>
      </c>
      <c r="X362" s="4" t="s">
        <v>75</v>
      </c>
      <c r="Y362" s="4" t="s">
        <v>77</v>
      </c>
      <c r="Z362" s="126" t="s">
        <v>590</v>
      </c>
    </row>
    <row r="363" spans="10:28" hidden="1" outlineLevel="1">
      <c r="J363" s="67"/>
      <c r="K363" s="2" t="s">
        <v>76</v>
      </c>
      <c r="L363" s="4">
        <v>5</v>
      </c>
      <c r="M363" s="2"/>
      <c r="N363" s="2"/>
      <c r="O363" s="2"/>
      <c r="P363" s="2"/>
      <c r="Q363" s="4">
        <v>0</v>
      </c>
      <c r="V363" s="2" t="s">
        <v>588</v>
      </c>
      <c r="W363" s="2" t="s">
        <v>9</v>
      </c>
      <c r="X363" s="142">
        <v>1600</v>
      </c>
      <c r="Y363" s="142">
        <v>40374.816624459992</v>
      </c>
      <c r="Z363" s="235">
        <v>1600</v>
      </c>
    </row>
    <row r="364" spans="10:28" hidden="1" outlineLevel="1">
      <c r="J364" s="67"/>
      <c r="K364" s="2" t="s">
        <v>76</v>
      </c>
      <c r="L364" s="4">
        <v>2</v>
      </c>
      <c r="M364" s="2"/>
      <c r="N364" s="2"/>
      <c r="O364" s="2"/>
      <c r="P364" s="2"/>
      <c r="Q364" s="4">
        <v>0</v>
      </c>
      <c r="V364" s="2" t="s">
        <v>588</v>
      </c>
      <c r="W364" s="2" t="s">
        <v>135</v>
      </c>
      <c r="X364" s="142">
        <v>143.85204653737995</v>
      </c>
      <c r="Y364" s="142">
        <v>3630</v>
      </c>
      <c r="Z364" s="235">
        <v>143.85204653737995</v>
      </c>
    </row>
    <row r="365" spans="10:28" hidden="1" outlineLevel="1">
      <c r="J365" s="67"/>
      <c r="K365" s="4" t="s">
        <v>77</v>
      </c>
      <c r="M365" s="2">
        <v>0</v>
      </c>
      <c r="N365" s="2">
        <v>700</v>
      </c>
      <c r="O365" s="2">
        <v>0</v>
      </c>
      <c r="P365" s="2">
        <v>2930</v>
      </c>
      <c r="Q365" s="4">
        <v>3630</v>
      </c>
      <c r="V365" s="2" t="s">
        <v>589</v>
      </c>
      <c r="W365" s="2" t="s">
        <v>135</v>
      </c>
      <c r="X365" s="142">
        <v>3151.2986842254559</v>
      </c>
      <c r="Y365" s="142">
        <v>79607.999999999985</v>
      </c>
      <c r="Z365" s="235">
        <v>3154.758600756953</v>
      </c>
    </row>
    <row r="366" spans="10:28" hidden="1" outlineLevel="1">
      <c r="J366" s="67"/>
      <c r="Q366" s="311">
        <v>143.85204653737995</v>
      </c>
      <c r="X366" s="142">
        <v>4895.1507307628362</v>
      </c>
      <c r="Y366" s="142">
        <v>123612.81662445999</v>
      </c>
      <c r="Z366" s="235">
        <v>4898.6106472943329</v>
      </c>
    </row>
    <row r="367" spans="10:28" hidden="1" outlineLevel="1">
      <c r="J367" s="67"/>
      <c r="N367" t="s">
        <v>563</v>
      </c>
      <c r="P367" s="4" t="s">
        <v>1330</v>
      </c>
      <c r="Q367" s="352">
        <v>79607.999999999985</v>
      </c>
      <c r="R367" s="296" t="s">
        <v>729</v>
      </c>
      <c r="X367" s="142"/>
      <c r="Y367" s="142">
        <v>4898.6106472943329</v>
      </c>
      <c r="Z367" s="302"/>
    </row>
    <row r="368" spans="10:28" ht="15" hidden="1" outlineLevel="1" thickBot="1">
      <c r="J368" s="67"/>
      <c r="Q368" s="311">
        <v>3154.758600756953</v>
      </c>
      <c r="Y368" s="142"/>
      <c r="Z368" s="302"/>
    </row>
    <row r="369" spans="10:28" ht="15" hidden="1" outlineLevel="1" thickBot="1">
      <c r="J369" s="67"/>
      <c r="K369" s="2" t="s">
        <v>606</v>
      </c>
      <c r="N369" s="9" t="s">
        <v>595</v>
      </c>
      <c r="Q369" s="348">
        <v>83237.999999999985</v>
      </c>
      <c r="S369" s="349">
        <v>44.176289676746819</v>
      </c>
      <c r="V369" s="2" t="s">
        <v>608</v>
      </c>
      <c r="W369" s="27">
        <v>44004.816624459992</v>
      </c>
      <c r="X369" s="6">
        <v>1743.8520465373799</v>
      </c>
      <c r="Y369" s="142">
        <v>-155.38398745814516</v>
      </c>
      <c r="Z369" s="302"/>
    </row>
    <row r="370" spans="10:28" hidden="1" outlineLevel="1">
      <c r="J370" s="67"/>
      <c r="K370" s="2" t="s">
        <v>607</v>
      </c>
      <c r="M370" s="2"/>
      <c r="Q370" s="311">
        <v>3298.6106472943329</v>
      </c>
      <c r="S370" s="289">
        <v>1.7506472943328266</v>
      </c>
      <c r="V370" s="2" t="s">
        <v>609</v>
      </c>
      <c r="W370" s="27">
        <v>79607.999999999985</v>
      </c>
      <c r="X370" s="6">
        <v>3154.758600756953</v>
      </c>
      <c r="Y370" s="142">
        <v>439.00632824823606</v>
      </c>
      <c r="Z370" s="302"/>
      <c r="AA370" s="2"/>
    </row>
    <row r="371" spans="10:28" hidden="1" outlineLevel="1">
      <c r="J371" s="67"/>
      <c r="N371" s="9" t="s">
        <v>586</v>
      </c>
      <c r="O371" s="9"/>
      <c r="Q371" s="28">
        <v>4898.6106472943329</v>
      </c>
      <c r="S371"/>
      <c r="T371"/>
      <c r="V371" s="2" t="s">
        <v>14</v>
      </c>
      <c r="W371" s="233">
        <v>123612.81662445999</v>
      </c>
      <c r="X371" s="6">
        <v>4898.6106472943329</v>
      </c>
      <c r="Y371" s="161">
        <v>283.62234079009068</v>
      </c>
      <c r="Z371" s="302"/>
      <c r="AA371" s="2"/>
      <c r="AB371" s="28">
        <v>283.62234079009068</v>
      </c>
    </row>
    <row r="372" spans="10:28" hidden="1" outlineLevel="1">
      <c r="J372" s="67"/>
      <c r="Q372" s="311">
        <v>4898.6106472943329</v>
      </c>
      <c r="S372"/>
      <c r="T372"/>
      <c r="Z372" s="302"/>
      <c r="AB372" s="82">
        <v>7157.0000000000064</v>
      </c>
    </row>
    <row r="373" spans="10:28" hidden="1" outlineLevel="1">
      <c r="J373" s="92"/>
      <c r="K373" s="87"/>
      <c r="L373" s="87"/>
      <c r="M373" s="87"/>
      <c r="N373" s="87"/>
      <c r="O373" s="87"/>
      <c r="P373" s="87"/>
      <c r="Q373" s="87"/>
      <c r="R373" s="87"/>
      <c r="S373" s="297"/>
      <c r="T373" s="297"/>
      <c r="U373" s="297"/>
      <c r="V373" s="297"/>
      <c r="W373" s="297"/>
      <c r="X373" s="87"/>
      <c r="Y373" s="87"/>
      <c r="Z373" s="88"/>
    </row>
    <row r="374" spans="10:28" hidden="1" outlineLevel="1"/>
    <row r="375" spans="10:28" hidden="1" outlineLevel="1"/>
    <row r="376" spans="10:28" hidden="1" outlineLevel="1" collapsed="1">
      <c r="J376" s="332" t="s">
        <v>761</v>
      </c>
      <c r="K376" s="188"/>
      <c r="L376" s="188"/>
      <c r="M376" s="188"/>
      <c r="N376" s="188"/>
      <c r="O376" s="188"/>
      <c r="P376" s="188"/>
      <c r="Q376" s="188"/>
      <c r="R376" s="188" t="s">
        <v>578</v>
      </c>
      <c r="S376" s="293"/>
      <c r="T376" s="293"/>
      <c r="U376" s="293"/>
      <c r="V376" s="293"/>
      <c r="W376" s="293"/>
      <c r="X376" s="188" t="s">
        <v>75</v>
      </c>
      <c r="Y376" s="188"/>
      <c r="Z376" s="189"/>
    </row>
    <row r="377" spans="10:28" hidden="1" outlineLevel="1">
      <c r="J377" s="67"/>
      <c r="K377" t="s">
        <v>565</v>
      </c>
      <c r="L377" s="2"/>
      <c r="M377" s="2"/>
      <c r="N377" s="2"/>
      <c r="O377" s="2"/>
      <c r="P377" s="2"/>
      <c r="S377" s="2" t="s">
        <v>762</v>
      </c>
      <c r="T377" s="4">
        <v>10998.200000000003</v>
      </c>
      <c r="U377" s="215">
        <v>4130.0000000000027</v>
      </c>
      <c r="W377" s="2" t="s">
        <v>565</v>
      </c>
      <c r="X377" s="215">
        <v>6868.2</v>
      </c>
      <c r="Y377" s="4" t="s">
        <v>1331</v>
      </c>
      <c r="Z377" s="68"/>
      <c r="AB377">
        <v>0</v>
      </c>
    </row>
    <row r="378" spans="10:28" hidden="1" outlineLevel="1">
      <c r="J378" s="67"/>
      <c r="K378" s="2" t="s">
        <v>76</v>
      </c>
      <c r="L378" s="4">
        <v>200</v>
      </c>
      <c r="M378" s="2"/>
      <c r="N378" s="2"/>
      <c r="O378" s="2"/>
      <c r="P378" s="2"/>
      <c r="W378" s="2" t="s">
        <v>563</v>
      </c>
      <c r="X378" s="353">
        <v>-4227.3977737780688</v>
      </c>
      <c r="Y378" s="142">
        <v>-1076.0990895526129</v>
      </c>
      <c r="Z378" s="350">
        <v>-9378.1173248311206</v>
      </c>
    </row>
    <row r="379" spans="10:28" hidden="1" outlineLevel="1">
      <c r="J379" s="67"/>
      <c r="K379" s="2" t="s">
        <v>76</v>
      </c>
      <c r="L379" s="4">
        <v>100</v>
      </c>
      <c r="M379" s="2"/>
      <c r="N379" s="2"/>
      <c r="O379" s="2"/>
      <c r="P379" s="2"/>
      <c r="W379" s="2" t="s">
        <v>562</v>
      </c>
      <c r="X379" s="142">
        <v>2640.8022262219311</v>
      </c>
      <c r="Z379" s="350">
        <v>236649.85454545487</v>
      </c>
    </row>
    <row r="380" spans="10:28" hidden="1" outlineLevel="1">
      <c r="J380" s="67"/>
      <c r="K380" s="2" t="s">
        <v>76</v>
      </c>
      <c r="L380" s="4">
        <v>50</v>
      </c>
      <c r="M380" s="2">
        <v>30</v>
      </c>
      <c r="N380" s="2"/>
      <c r="O380" s="2"/>
      <c r="P380" s="2"/>
      <c r="Q380" s="4">
        <v>30</v>
      </c>
      <c r="X380" s="2"/>
      <c r="Z380" s="68"/>
    </row>
    <row r="381" spans="10:28" hidden="1" outlineLevel="1">
      <c r="J381" s="67"/>
      <c r="K381" s="2" t="s">
        <v>76</v>
      </c>
      <c r="L381" s="4">
        <v>20</v>
      </c>
      <c r="M381" s="2">
        <v>4</v>
      </c>
      <c r="N381" s="2"/>
      <c r="O381" s="2"/>
      <c r="P381" s="2"/>
      <c r="Q381" s="4">
        <v>4</v>
      </c>
      <c r="T381" s="407">
        <v>9398.2000000000025</v>
      </c>
      <c r="X381" s="2"/>
      <c r="Z381" s="351">
        <v>-4227.3977737780688</v>
      </c>
    </row>
    <row r="382" spans="10:28" hidden="1" outlineLevel="1">
      <c r="J382" s="67"/>
      <c r="K382" s="2" t="s">
        <v>76</v>
      </c>
      <c r="L382" s="4">
        <v>10</v>
      </c>
      <c r="M382" s="2">
        <v>2</v>
      </c>
      <c r="N382" s="2"/>
      <c r="O382" s="2"/>
      <c r="P382" s="2"/>
      <c r="Q382" s="4">
        <v>2</v>
      </c>
      <c r="W382" s="2" t="s">
        <v>75</v>
      </c>
      <c r="X382" s="2">
        <v>1600</v>
      </c>
      <c r="Z382" s="351">
        <v>106757.00000000007</v>
      </c>
    </row>
    <row r="383" spans="10:28" hidden="1" outlineLevel="1">
      <c r="J383" s="67"/>
      <c r="K383" s="4" t="s">
        <v>75</v>
      </c>
      <c r="M383" s="2">
        <v>1600</v>
      </c>
      <c r="N383" s="2">
        <v>0</v>
      </c>
      <c r="O383" s="2">
        <v>0</v>
      </c>
      <c r="P383" s="2">
        <v>0</v>
      </c>
      <c r="Q383" s="4">
        <v>1600</v>
      </c>
      <c r="W383" s="2" t="s">
        <v>77</v>
      </c>
      <c r="X383" s="14">
        <v>530.10366826156303</v>
      </c>
      <c r="Z383" s="68"/>
      <c r="AA383" s="121" t="s">
        <v>11</v>
      </c>
      <c r="AB383" s="240">
        <v>0</v>
      </c>
    </row>
    <row r="384" spans="10:28" hidden="1" outlineLevel="1">
      <c r="J384" s="67"/>
      <c r="M384" s="2"/>
      <c r="N384" s="2"/>
      <c r="O384" s="2"/>
      <c r="P384" s="2"/>
      <c r="W384" s="2" t="s">
        <v>562</v>
      </c>
      <c r="X384" s="14">
        <v>2130.1036682615631</v>
      </c>
      <c r="Z384" s="68"/>
      <c r="AA384" s="299" t="s">
        <v>587</v>
      </c>
      <c r="AB384" s="4">
        <v>2400</v>
      </c>
    </row>
    <row r="385" spans="10:28" hidden="1" outlineLevel="1">
      <c r="J385" s="67"/>
      <c r="K385" s="2" t="s">
        <v>76</v>
      </c>
      <c r="L385" s="4">
        <v>500</v>
      </c>
      <c r="M385" s="2"/>
      <c r="N385" s="2"/>
      <c r="O385" s="2"/>
      <c r="P385" s="2"/>
      <c r="Q385" s="4">
        <v>0</v>
      </c>
      <c r="S385" s="2" t="s">
        <v>571</v>
      </c>
      <c r="T385" s="4">
        <v>9398.2000000000025</v>
      </c>
      <c r="U385" s="4" t="s">
        <v>17</v>
      </c>
      <c r="X385" s="2"/>
      <c r="Z385" s="68"/>
      <c r="AA385" s="92"/>
      <c r="AB385" s="297">
        <v>4000</v>
      </c>
    </row>
    <row r="386" spans="10:28" hidden="1" outlineLevel="1">
      <c r="J386" s="67"/>
      <c r="K386" s="2" t="s">
        <v>76</v>
      </c>
      <c r="L386" s="4">
        <v>500</v>
      </c>
      <c r="M386" s="2">
        <v>20</v>
      </c>
      <c r="N386" s="2"/>
      <c r="O386" s="2"/>
      <c r="P386" s="2">
        <v>4</v>
      </c>
      <c r="Q386" s="4">
        <v>24</v>
      </c>
      <c r="T386" s="4">
        <v>237156.62600000002</v>
      </c>
      <c r="U386" s="4" t="s">
        <v>135</v>
      </c>
      <c r="X386" s="2"/>
      <c r="Z386" s="68"/>
    </row>
    <row r="387" spans="10:28" hidden="1" outlineLevel="1">
      <c r="J387" s="67"/>
      <c r="K387" s="2" t="s">
        <v>76</v>
      </c>
      <c r="L387" s="4">
        <v>200</v>
      </c>
      <c r="M387" s="2"/>
      <c r="N387" s="2"/>
      <c r="O387" s="2"/>
      <c r="P387" s="2"/>
      <c r="Q387" s="4">
        <v>0</v>
      </c>
      <c r="W387" s="2" t="s">
        <v>584</v>
      </c>
      <c r="X387" s="203">
        <v>-510.69855796036791</v>
      </c>
      <c r="Z387" s="68"/>
    </row>
    <row r="388" spans="10:28" hidden="1" outlineLevel="1">
      <c r="J388" s="67"/>
      <c r="K388" s="2" t="s">
        <v>76</v>
      </c>
      <c r="L388" s="4">
        <v>100</v>
      </c>
      <c r="M388" s="2"/>
      <c r="N388" s="2"/>
      <c r="O388" s="2"/>
      <c r="P388" s="2">
        <v>12</v>
      </c>
      <c r="Q388" s="4">
        <v>12</v>
      </c>
      <c r="Z388" s="68"/>
    </row>
    <row r="389" spans="10:28" hidden="1" outlineLevel="1">
      <c r="J389" s="67"/>
      <c r="K389" s="2" t="s">
        <v>76</v>
      </c>
      <c r="L389" s="4">
        <v>50</v>
      </c>
      <c r="M389" s="2"/>
      <c r="N389" s="2"/>
      <c r="O389" s="2"/>
      <c r="P389" s="2">
        <v>1</v>
      </c>
      <c r="Q389" s="4">
        <v>1</v>
      </c>
      <c r="Y389" s="2"/>
      <c r="Z389" s="68"/>
    </row>
    <row r="390" spans="10:28" hidden="1" outlineLevel="1">
      <c r="J390" s="67"/>
      <c r="K390" s="2" t="s">
        <v>76</v>
      </c>
      <c r="L390" s="4">
        <v>20</v>
      </c>
      <c r="M390" s="2"/>
      <c r="N390" s="2"/>
      <c r="O390" s="2"/>
      <c r="P390" s="2">
        <v>1</v>
      </c>
      <c r="Q390" s="4">
        <v>1</v>
      </c>
      <c r="X390" s="2"/>
      <c r="Y390" s="2"/>
      <c r="Z390" s="125"/>
    </row>
    <row r="391" spans="10:28" hidden="1" outlineLevel="1">
      <c r="J391" s="67"/>
      <c r="K391" s="2" t="s">
        <v>76</v>
      </c>
      <c r="L391" s="4">
        <v>10</v>
      </c>
      <c r="M391" s="2"/>
      <c r="N391" s="2"/>
      <c r="O391" s="2"/>
      <c r="P391" s="2">
        <v>2</v>
      </c>
      <c r="Q391" s="4">
        <v>0</v>
      </c>
      <c r="X391" s="4" t="s">
        <v>75</v>
      </c>
      <c r="Y391" s="4" t="s">
        <v>77</v>
      </c>
      <c r="Z391" s="126" t="s">
        <v>590</v>
      </c>
    </row>
    <row r="392" spans="10:28" hidden="1" outlineLevel="1">
      <c r="J392" s="67"/>
      <c r="K392" s="2" t="s">
        <v>76</v>
      </c>
      <c r="L392" s="4">
        <v>5</v>
      </c>
      <c r="M392" s="2"/>
      <c r="N392" s="2"/>
      <c r="O392" s="2"/>
      <c r="P392" s="2">
        <v>1</v>
      </c>
      <c r="Q392" s="4">
        <v>1</v>
      </c>
      <c r="V392" s="2" t="s">
        <v>588</v>
      </c>
      <c r="W392" s="2" t="s">
        <v>9</v>
      </c>
      <c r="X392" s="142">
        <v>1600</v>
      </c>
      <c r="Y392" s="142">
        <v>40374.816624459992</v>
      </c>
      <c r="Z392" s="235">
        <v>1600</v>
      </c>
    </row>
    <row r="393" spans="10:28" hidden="1" outlineLevel="1">
      <c r="J393" s="67"/>
      <c r="K393" s="2" t="s">
        <v>76</v>
      </c>
      <c r="L393" s="4">
        <v>2</v>
      </c>
      <c r="M393" s="2"/>
      <c r="N393" s="2"/>
      <c r="O393" s="2"/>
      <c r="P393" s="2"/>
      <c r="Q393" s="4">
        <v>0</v>
      </c>
      <c r="V393" s="2" t="s">
        <v>588</v>
      </c>
      <c r="W393" s="2" t="s">
        <v>135</v>
      </c>
      <c r="X393" s="142">
        <v>526.86307402602381</v>
      </c>
      <c r="Y393" s="142">
        <v>13295</v>
      </c>
      <c r="Z393" s="235">
        <v>526.86307402602381</v>
      </c>
    </row>
    <row r="394" spans="10:28" hidden="1" outlineLevel="1">
      <c r="J394" s="67"/>
      <c r="K394" s="4" t="s">
        <v>77</v>
      </c>
      <c r="M394" s="2">
        <v>10000</v>
      </c>
      <c r="N394" s="2">
        <v>0</v>
      </c>
      <c r="O394" s="2">
        <v>0</v>
      </c>
      <c r="P394" s="2">
        <v>3295</v>
      </c>
      <c r="Q394" s="4">
        <v>13295</v>
      </c>
      <c r="V394" s="2" t="s">
        <v>589</v>
      </c>
      <c r="W394" s="2" t="s">
        <v>135</v>
      </c>
      <c r="X394" s="142">
        <v>4227.3977737780688</v>
      </c>
      <c r="Y394" s="142">
        <v>106757.00000000007</v>
      </c>
      <c r="Z394" s="235">
        <v>4230.6371714025017</v>
      </c>
    </row>
    <row r="395" spans="10:28" hidden="1" outlineLevel="1">
      <c r="J395" s="67"/>
      <c r="Q395" s="311">
        <v>526.86307402602381</v>
      </c>
      <c r="X395" s="142">
        <v>6354.2608478040929</v>
      </c>
      <c r="Y395" s="142">
        <v>160426.81662446007</v>
      </c>
      <c r="Z395" s="235">
        <v>6357.5002454285259</v>
      </c>
    </row>
    <row r="396" spans="10:28" hidden="1" outlineLevel="1">
      <c r="J396" s="67"/>
      <c r="N396" t="s">
        <v>563</v>
      </c>
      <c r="P396" s="4" t="s">
        <v>1331</v>
      </c>
      <c r="Q396" s="352">
        <v>106757.00000000007</v>
      </c>
      <c r="R396" s="296" t="s">
        <v>761</v>
      </c>
      <c r="X396" s="142"/>
      <c r="Y396" s="142">
        <v>6357.5002454285259</v>
      </c>
      <c r="Z396" s="302"/>
    </row>
    <row r="397" spans="10:28" ht="15" hidden="1" outlineLevel="1" thickBot="1">
      <c r="J397" s="67"/>
      <c r="Q397" s="311">
        <v>4230.6371714025017</v>
      </c>
      <c r="Y397" s="142"/>
      <c r="Z397" s="302"/>
    </row>
    <row r="398" spans="10:28" ht="15" hidden="1" outlineLevel="1" thickBot="1">
      <c r="J398" s="67"/>
      <c r="K398" s="2" t="s">
        <v>606</v>
      </c>
      <c r="N398" s="9" t="s">
        <v>595</v>
      </c>
      <c r="Q398" s="348">
        <v>120052.00000000007</v>
      </c>
      <c r="S398" s="349">
        <v>-117104.62599999995</v>
      </c>
      <c r="V398" s="2" t="s">
        <v>608</v>
      </c>
      <c r="W398" s="27">
        <v>53669.816624459992</v>
      </c>
      <c r="X398" s="6">
        <v>2126.8630740260237</v>
      </c>
      <c r="Y398" s="142">
        <v>383.01102748864378</v>
      </c>
      <c r="Z398" s="302"/>
    </row>
    <row r="399" spans="10:28" hidden="1" outlineLevel="1">
      <c r="J399" s="67"/>
      <c r="K399" s="2" t="s">
        <v>607</v>
      </c>
      <c r="M399" s="2"/>
      <c r="Q399" s="311">
        <v>4757.500245428525</v>
      </c>
      <c r="S399" s="289">
        <v>-4640.6997545714776</v>
      </c>
      <c r="V399" s="2" t="s">
        <v>609</v>
      </c>
      <c r="W399" s="27">
        <v>106757.00000000007</v>
      </c>
      <c r="X399" s="6">
        <v>4230.6371714025017</v>
      </c>
      <c r="Y399" s="142">
        <v>1075.8785706455487</v>
      </c>
      <c r="Z399" s="302"/>
      <c r="AA399" s="2"/>
    </row>
    <row r="400" spans="10:28" hidden="1" outlineLevel="1">
      <c r="J400" s="67"/>
      <c r="N400" s="9" t="s">
        <v>586</v>
      </c>
      <c r="O400" s="9"/>
      <c r="Q400" s="28">
        <v>6357.500245428525</v>
      </c>
      <c r="S400"/>
      <c r="T400"/>
      <c r="V400" s="2" t="s">
        <v>14</v>
      </c>
      <c r="W400" s="233">
        <v>160426.81662446007</v>
      </c>
      <c r="X400" s="6">
        <v>6357.5002454285259</v>
      </c>
      <c r="Y400" s="161">
        <v>1458.889598134193</v>
      </c>
      <c r="Z400" s="302"/>
      <c r="AA400" s="2"/>
      <c r="AB400" s="28">
        <v>1458.8895981341921</v>
      </c>
    </row>
    <row r="401" spans="10:28" hidden="1" outlineLevel="1">
      <c r="J401" s="67"/>
      <c r="Q401" s="311">
        <v>6357.5002454285259</v>
      </c>
      <c r="S401"/>
      <c r="T401"/>
      <c r="Z401" s="302"/>
      <c r="AB401" s="82">
        <v>36814.000000000087</v>
      </c>
    </row>
    <row r="402" spans="10:28" hidden="1" outlineLevel="1">
      <c r="J402" s="92"/>
      <c r="K402" s="87"/>
      <c r="L402" s="87"/>
      <c r="M402" s="87"/>
      <c r="N402" s="87"/>
      <c r="O402" s="87"/>
      <c r="P402" s="87"/>
      <c r="Q402" s="87"/>
      <c r="R402" s="87"/>
      <c r="S402" s="297"/>
      <c r="T402" s="297"/>
      <c r="U402" s="297"/>
      <c r="V402" s="297"/>
      <c r="W402" s="297"/>
      <c r="X402" s="87"/>
      <c r="Y402" s="87"/>
      <c r="Z402" s="88"/>
    </row>
    <row r="403" spans="10:28" hidden="1" outlineLevel="1"/>
    <row r="404" spans="10:28" hidden="1" outlineLevel="1"/>
    <row r="405" spans="10:28" hidden="1" outlineLevel="1" collapsed="1">
      <c r="J405" s="332" t="s">
        <v>767</v>
      </c>
      <c r="K405" s="188"/>
      <c r="L405" s="188"/>
      <c r="M405" s="188"/>
      <c r="N405" s="188"/>
      <c r="O405" s="188"/>
      <c r="P405" s="188"/>
      <c r="Q405" s="188"/>
      <c r="R405" s="188" t="s">
        <v>578</v>
      </c>
      <c r="S405" s="293"/>
      <c r="T405" s="293"/>
      <c r="U405" s="293"/>
      <c r="V405" s="293"/>
      <c r="W405" s="293"/>
      <c r="X405" s="188" t="s">
        <v>75</v>
      </c>
      <c r="Y405" s="188"/>
      <c r="Z405" s="189"/>
    </row>
    <row r="406" spans="10:28" hidden="1" outlineLevel="1">
      <c r="J406" s="67"/>
      <c r="K406" t="s">
        <v>565</v>
      </c>
      <c r="L406" s="2"/>
      <c r="M406" s="2"/>
      <c r="N406" s="2"/>
      <c r="O406" s="2"/>
      <c r="P406" s="2"/>
      <c r="S406" s="2" t="s">
        <v>762</v>
      </c>
      <c r="T406" s="161">
        <v>11298.200000000003</v>
      </c>
      <c r="U406" s="215">
        <v>2430.0000000000018</v>
      </c>
      <c r="W406" s="2" t="s">
        <v>565</v>
      </c>
      <c r="X406" s="215">
        <v>8868.2000000000007</v>
      </c>
      <c r="Y406" s="4" t="s">
        <v>1331</v>
      </c>
      <c r="Z406" s="68"/>
      <c r="AB406">
        <v>0</v>
      </c>
    </row>
    <row r="407" spans="10:28" hidden="1" outlineLevel="1">
      <c r="J407" s="67"/>
      <c r="K407" s="2" t="s">
        <v>76</v>
      </c>
      <c r="L407" s="4">
        <v>200</v>
      </c>
      <c r="M407" s="2"/>
      <c r="N407" s="2"/>
      <c r="O407" s="2"/>
      <c r="P407" s="2"/>
      <c r="W407" s="2" t="s">
        <v>563</v>
      </c>
      <c r="X407" s="353">
        <v>-5843.0838325294399</v>
      </c>
      <c r="Y407" s="142">
        <v>-1615.6860587513711</v>
      </c>
      <c r="Z407" s="350">
        <v>-9378.1173248311206</v>
      </c>
    </row>
    <row r="408" spans="10:28" hidden="1" outlineLevel="1">
      <c r="J408" s="67"/>
      <c r="K408" s="2" t="s">
        <v>76</v>
      </c>
      <c r="L408" s="4">
        <v>100</v>
      </c>
      <c r="M408" s="2"/>
      <c r="N408" s="2">
        <v>8</v>
      </c>
      <c r="O408" s="2"/>
      <c r="P408" s="2"/>
      <c r="W408" s="2" t="s">
        <v>562</v>
      </c>
      <c r="X408" s="142">
        <v>3025.1161674705609</v>
      </c>
      <c r="Z408" s="350">
        <v>236649.85454545487</v>
      </c>
    </row>
    <row r="409" spans="10:28" hidden="1" outlineLevel="1">
      <c r="J409" s="67"/>
      <c r="K409" s="2" t="s">
        <v>76</v>
      </c>
      <c r="L409" s="4">
        <v>50</v>
      </c>
      <c r="M409" s="2">
        <v>20</v>
      </c>
      <c r="N409" s="2"/>
      <c r="O409" s="2"/>
      <c r="P409" s="2"/>
      <c r="Q409" s="4">
        <v>20</v>
      </c>
      <c r="X409" s="2"/>
      <c r="Z409" s="68"/>
    </row>
    <row r="410" spans="10:28" hidden="1" outlineLevel="1">
      <c r="J410" s="67"/>
      <c r="K410" s="2" t="s">
        <v>76</v>
      </c>
      <c r="L410" s="4">
        <v>20</v>
      </c>
      <c r="M410" s="2">
        <v>4</v>
      </c>
      <c r="N410" s="2"/>
      <c r="O410" s="2"/>
      <c r="P410" s="2"/>
      <c r="Q410" s="4">
        <v>4</v>
      </c>
      <c r="S410" s="350">
        <v>9398.2000000000025</v>
      </c>
      <c r="T410" s="353">
        <v>9398.2000000000025</v>
      </c>
      <c r="X410" s="2"/>
      <c r="Z410" s="351">
        <v>-5843.0838325294399</v>
      </c>
    </row>
    <row r="411" spans="10:28" hidden="1" outlineLevel="1">
      <c r="J411" s="67"/>
      <c r="K411" s="2" t="s">
        <v>76</v>
      </c>
      <c r="L411" s="4">
        <v>10</v>
      </c>
      <c r="M411" s="2">
        <v>2</v>
      </c>
      <c r="N411" s="2"/>
      <c r="O411" s="2"/>
      <c r="P411" s="2"/>
      <c r="Q411" s="4">
        <v>2</v>
      </c>
      <c r="W411" s="2" t="s">
        <v>75</v>
      </c>
      <c r="X411" s="2">
        <v>1900</v>
      </c>
      <c r="Z411" s="351">
        <v>147496.00000000012</v>
      </c>
    </row>
    <row r="412" spans="10:28" hidden="1" outlineLevel="1">
      <c r="J412" s="67"/>
      <c r="K412" s="4" t="s">
        <v>75</v>
      </c>
      <c r="M412" s="2">
        <v>1100</v>
      </c>
      <c r="N412" s="2">
        <v>800</v>
      </c>
      <c r="O412" s="2">
        <v>0</v>
      </c>
      <c r="P412" s="2">
        <v>0</v>
      </c>
      <c r="Q412" s="4">
        <v>1900</v>
      </c>
      <c r="W412" s="2" t="s">
        <v>77</v>
      </c>
      <c r="X412" s="14">
        <v>325.75757575757581</v>
      </c>
      <c r="Z412" s="68"/>
      <c r="AA412" s="121" t="s">
        <v>11</v>
      </c>
      <c r="AB412" s="240">
        <v>-300</v>
      </c>
    </row>
    <row r="413" spans="10:28" hidden="1" outlineLevel="1">
      <c r="J413" s="67"/>
      <c r="M413" s="2"/>
      <c r="N413" s="2"/>
      <c r="O413" s="2"/>
      <c r="P413" s="2"/>
      <c r="W413" s="2" t="s">
        <v>562</v>
      </c>
      <c r="X413" s="14">
        <v>2225.757575757576</v>
      </c>
      <c r="Z413" s="68"/>
      <c r="AA413" s="299" t="s">
        <v>587</v>
      </c>
      <c r="AB413" s="4">
        <v>2100</v>
      </c>
    </row>
    <row r="414" spans="10:28" hidden="1" outlineLevel="1">
      <c r="J414" s="67"/>
      <c r="K414" s="2" t="s">
        <v>76</v>
      </c>
      <c r="L414" s="4">
        <v>500</v>
      </c>
      <c r="M414" s="2"/>
      <c r="N414" s="2"/>
      <c r="O414" s="2"/>
      <c r="P414" s="2"/>
      <c r="Q414" s="4">
        <v>0</v>
      </c>
      <c r="S414" s="2" t="s">
        <v>571</v>
      </c>
      <c r="T414" s="4">
        <v>9398.2000000000025</v>
      </c>
      <c r="U414" s="4" t="s">
        <v>17</v>
      </c>
      <c r="X414" s="2"/>
      <c r="Z414" s="68"/>
      <c r="AA414" s="92"/>
      <c r="AB414" s="297">
        <v>4000</v>
      </c>
    </row>
    <row r="415" spans="10:28" hidden="1" outlineLevel="1">
      <c r="J415" s="67"/>
      <c r="K415" s="2" t="s">
        <v>76</v>
      </c>
      <c r="L415" s="4">
        <v>500</v>
      </c>
      <c r="M415" s="2">
        <v>10</v>
      </c>
      <c r="N415" s="2"/>
      <c r="O415" s="2"/>
      <c r="P415" s="2">
        <v>6</v>
      </c>
      <c r="Q415" s="4">
        <v>16</v>
      </c>
      <c r="T415" s="4">
        <v>237156.62600000002</v>
      </c>
      <c r="U415" s="4" t="s">
        <v>135</v>
      </c>
      <c r="X415" s="2"/>
      <c r="Z415" s="68"/>
    </row>
    <row r="416" spans="10:28" hidden="1" outlineLevel="1">
      <c r="J416" s="67"/>
      <c r="K416" s="2" t="s">
        <v>76</v>
      </c>
      <c r="L416" s="4">
        <v>200</v>
      </c>
      <c r="M416" s="2"/>
      <c r="N416" s="2"/>
      <c r="O416" s="2"/>
      <c r="P416" s="2"/>
      <c r="Q416" s="4">
        <v>0</v>
      </c>
      <c r="W416" s="2" t="s">
        <v>584</v>
      </c>
      <c r="X416" s="203">
        <v>-799.35859171298489</v>
      </c>
      <c r="Z416" s="68"/>
    </row>
    <row r="417" spans="10:28" hidden="1" outlineLevel="1">
      <c r="J417" s="67"/>
      <c r="K417" s="2" t="s">
        <v>76</v>
      </c>
      <c r="L417" s="4">
        <v>100</v>
      </c>
      <c r="M417" s="2"/>
      <c r="N417" s="2"/>
      <c r="O417" s="2"/>
      <c r="P417" s="2"/>
      <c r="Q417" s="4">
        <v>0</v>
      </c>
      <c r="Z417" s="68"/>
    </row>
    <row r="418" spans="10:28" hidden="1" outlineLevel="1">
      <c r="J418" s="67"/>
      <c r="K418" s="2" t="s">
        <v>76</v>
      </c>
      <c r="L418" s="4">
        <v>50</v>
      </c>
      <c r="M418" s="2"/>
      <c r="N418" s="2"/>
      <c r="O418" s="2"/>
      <c r="P418" s="2">
        <v>2</v>
      </c>
      <c r="Q418" s="4">
        <v>2</v>
      </c>
      <c r="Y418" s="2"/>
      <c r="Z418" s="68"/>
    </row>
    <row r="419" spans="10:28" hidden="1" outlineLevel="1">
      <c r="J419" s="67"/>
      <c r="K419" s="2" t="s">
        <v>76</v>
      </c>
      <c r="L419" s="4">
        <v>20</v>
      </c>
      <c r="M419" s="2"/>
      <c r="N419" s="2"/>
      <c r="O419" s="2"/>
      <c r="P419" s="2">
        <v>1</v>
      </c>
      <c r="Q419" s="4">
        <v>1</v>
      </c>
      <c r="X419" s="2"/>
      <c r="Y419" s="2"/>
      <c r="Z419" s="125"/>
    </row>
    <row r="420" spans="10:28" hidden="1" outlineLevel="1">
      <c r="J420" s="67"/>
      <c r="K420" s="2" t="s">
        <v>76</v>
      </c>
      <c r="L420" s="4">
        <v>10</v>
      </c>
      <c r="M420" s="2"/>
      <c r="N420" s="2"/>
      <c r="O420" s="2"/>
      <c r="P420" s="2">
        <v>5</v>
      </c>
      <c r="Q420" s="4">
        <v>0</v>
      </c>
      <c r="X420" s="4" t="s">
        <v>75</v>
      </c>
      <c r="Y420" s="4" t="s">
        <v>77</v>
      </c>
      <c r="Z420" s="126" t="s">
        <v>590</v>
      </c>
    </row>
    <row r="421" spans="10:28" hidden="1" outlineLevel="1">
      <c r="J421" s="67"/>
      <c r="K421" s="2" t="s">
        <v>76</v>
      </c>
      <c r="L421" s="4">
        <v>5</v>
      </c>
      <c r="M421" s="2"/>
      <c r="N421" s="2"/>
      <c r="O421" s="2"/>
      <c r="P421" s="2"/>
      <c r="Q421" s="4">
        <v>0</v>
      </c>
      <c r="V421" s="2" t="s">
        <v>588</v>
      </c>
      <c r="W421" s="2" t="s">
        <v>9</v>
      </c>
      <c r="X421" s="142">
        <v>1900</v>
      </c>
      <c r="Y421" s="142">
        <v>47945.094741546243</v>
      </c>
      <c r="Z421" s="235">
        <v>1900</v>
      </c>
    </row>
    <row r="422" spans="10:28" hidden="1" outlineLevel="1">
      <c r="J422" s="67"/>
      <c r="K422" s="2" t="s">
        <v>76</v>
      </c>
      <c r="L422" s="4">
        <v>2</v>
      </c>
      <c r="M422" s="2"/>
      <c r="N422" s="2"/>
      <c r="O422" s="2"/>
      <c r="P422" s="2"/>
      <c r="Q422" s="4">
        <v>0</v>
      </c>
      <c r="V422" s="2" t="s">
        <v>588</v>
      </c>
      <c r="W422" s="2" t="s">
        <v>135</v>
      </c>
      <c r="X422" s="142">
        <v>323.76617636649974</v>
      </c>
      <c r="Y422" s="142">
        <v>8170</v>
      </c>
      <c r="Z422" s="235">
        <v>323.76617636649974</v>
      </c>
    </row>
    <row r="423" spans="10:28" hidden="1" outlineLevel="1">
      <c r="J423" s="67"/>
      <c r="K423" s="4" t="s">
        <v>77</v>
      </c>
      <c r="M423" s="2">
        <v>5000</v>
      </c>
      <c r="N423" s="2">
        <v>0</v>
      </c>
      <c r="O423" s="2">
        <v>0</v>
      </c>
      <c r="P423" s="2">
        <v>3170</v>
      </c>
      <c r="Q423" s="4">
        <v>8170</v>
      </c>
      <c r="V423" s="2" t="s">
        <v>589</v>
      </c>
      <c r="W423" s="2" t="s">
        <v>135</v>
      </c>
      <c r="X423" s="142">
        <v>5843.0838325294399</v>
      </c>
      <c r="Y423" s="142">
        <v>147496.00000000012</v>
      </c>
      <c r="Z423" s="235">
        <v>5845.0692716466692</v>
      </c>
    </row>
    <row r="424" spans="10:28" hidden="1" outlineLevel="1">
      <c r="J424" s="67"/>
      <c r="Q424" s="311">
        <v>323.76617636649974</v>
      </c>
      <c r="V424" s="2" t="s">
        <v>780</v>
      </c>
      <c r="X424" s="142">
        <v>8066.850008895939</v>
      </c>
      <c r="Y424" s="142">
        <v>203611.09474154637</v>
      </c>
      <c r="Z424" s="235">
        <v>8068.8354480131693</v>
      </c>
    </row>
    <row r="425" spans="10:28" hidden="1" outlineLevel="1">
      <c r="J425" s="67"/>
      <c r="N425" t="s">
        <v>563</v>
      </c>
      <c r="P425" s="4" t="s">
        <v>1331</v>
      </c>
      <c r="Q425" s="352">
        <v>147496.00000000012</v>
      </c>
      <c r="R425" s="296" t="s">
        <v>767</v>
      </c>
      <c r="X425" s="142"/>
      <c r="Y425" s="142">
        <v>8068.8354480131693</v>
      </c>
      <c r="Z425" s="302"/>
    </row>
    <row r="426" spans="10:28" ht="15" hidden="1" outlineLevel="1" thickBot="1">
      <c r="J426" s="67"/>
      <c r="Q426" s="417">
        <v>5845.0692716466692</v>
      </c>
      <c r="Y426" s="142"/>
      <c r="Z426" s="302"/>
    </row>
    <row r="427" spans="10:28" ht="15" hidden="1" outlineLevel="1" thickBot="1">
      <c r="J427" s="67"/>
      <c r="K427" s="2" t="s">
        <v>606</v>
      </c>
      <c r="N427" s="9" t="s">
        <v>778</v>
      </c>
      <c r="Q427" s="322">
        <v>155666.00000000012</v>
      </c>
      <c r="S427" s="349">
        <v>-81490.625999999902</v>
      </c>
      <c r="V427" s="2" t="s">
        <v>608</v>
      </c>
      <c r="W427" s="27">
        <v>56115.094741546243</v>
      </c>
      <c r="X427" s="6">
        <v>2223.7661763664996</v>
      </c>
      <c r="Y427" s="142">
        <v>96.903102340475925</v>
      </c>
      <c r="Z427" s="302"/>
    </row>
    <row r="428" spans="10:28" hidden="1" outlineLevel="1">
      <c r="J428" s="67"/>
      <c r="K428" s="2" t="s">
        <v>607</v>
      </c>
      <c r="M428" s="2"/>
      <c r="Q428" s="417">
        <v>6168.8354480131684</v>
      </c>
      <c r="S428" s="289">
        <v>-3229.3645519868346</v>
      </c>
      <c r="V428" s="2" t="s">
        <v>609</v>
      </c>
      <c r="W428" s="27">
        <v>147496.00000000012</v>
      </c>
      <c r="X428" s="6">
        <v>5845.0692716466692</v>
      </c>
      <c r="Y428" s="142">
        <v>1614.4321002441675</v>
      </c>
      <c r="Z428" s="302"/>
      <c r="AA428" s="2"/>
    </row>
    <row r="429" spans="10:28" hidden="1" outlineLevel="1">
      <c r="J429" s="67"/>
      <c r="N429" s="9" t="s">
        <v>779</v>
      </c>
      <c r="O429" s="9"/>
      <c r="Q429" s="28">
        <v>8068.8354480131684</v>
      </c>
      <c r="S429"/>
      <c r="T429"/>
      <c r="V429" s="2" t="s">
        <v>14</v>
      </c>
      <c r="W429" s="233">
        <v>203611.09474154637</v>
      </c>
      <c r="X429" s="6">
        <v>8068.8354480131693</v>
      </c>
      <c r="Y429" s="161">
        <v>1711.3352025846434</v>
      </c>
      <c r="Z429" s="302"/>
      <c r="AA429" s="2"/>
      <c r="AB429" s="28">
        <v>1711.3352025846434</v>
      </c>
    </row>
    <row r="430" spans="10:28" hidden="1" outlineLevel="1">
      <c r="J430" s="67"/>
      <c r="Q430" s="417">
        <v>8068.8354480131693</v>
      </c>
      <c r="S430"/>
      <c r="T430"/>
      <c r="Z430" s="302"/>
      <c r="AB430" s="82">
        <v>43184.278117086295</v>
      </c>
    </row>
    <row r="431" spans="10:28" hidden="1" outlineLevel="1">
      <c r="J431" s="92"/>
      <c r="K431" s="87"/>
      <c r="L431" s="87"/>
      <c r="M431" s="87"/>
      <c r="N431" s="87"/>
      <c r="O431" s="87"/>
      <c r="P431" s="87"/>
      <c r="Q431" s="87"/>
      <c r="R431" s="87"/>
      <c r="S431" s="297"/>
      <c r="T431" s="297"/>
      <c r="U431" s="297"/>
      <c r="V431" s="297"/>
      <c r="W431" s="297"/>
      <c r="X431" s="87"/>
      <c r="Y431" s="87"/>
      <c r="Z431" s="88"/>
    </row>
    <row r="432" spans="10:28" hidden="1" outlineLevel="1"/>
    <row r="433" spans="10:28" hidden="1" outlineLevel="1"/>
    <row r="434" spans="10:28" hidden="1" outlineLevel="1" collapsed="1">
      <c r="J434" s="332" t="s">
        <v>783</v>
      </c>
      <c r="K434" s="188"/>
      <c r="L434" s="188"/>
      <c r="M434" s="188"/>
      <c r="N434" s="188"/>
      <c r="O434" s="188"/>
      <c r="P434" s="188"/>
      <c r="Q434" s="188"/>
      <c r="R434" s="188" t="s">
        <v>578</v>
      </c>
      <c r="S434" s="293"/>
      <c r="T434" s="293"/>
      <c r="U434" s="293"/>
      <c r="V434" s="293"/>
      <c r="W434" s="293"/>
      <c r="X434" s="188" t="s">
        <v>75</v>
      </c>
      <c r="Y434" s="188"/>
      <c r="Z434" s="189"/>
    </row>
    <row r="435" spans="10:28" hidden="1" outlineLevel="1">
      <c r="J435" s="67"/>
      <c r="K435" t="s">
        <v>565</v>
      </c>
      <c r="L435" s="2"/>
      <c r="M435" s="2"/>
      <c r="N435" s="2"/>
      <c r="O435" s="2"/>
      <c r="P435" s="2"/>
      <c r="S435" s="2" t="s">
        <v>762</v>
      </c>
      <c r="T435" s="161">
        <v>7876.1200000000008</v>
      </c>
      <c r="U435" s="215">
        <v>-992.07999999999993</v>
      </c>
      <c r="W435" s="2" t="s">
        <v>565</v>
      </c>
      <c r="X435" s="215">
        <v>8868.2000000000007</v>
      </c>
      <c r="Y435" s="4" t="s">
        <v>1331</v>
      </c>
      <c r="Z435" s="68"/>
      <c r="AB435">
        <v>0</v>
      </c>
    </row>
    <row r="436" spans="10:28" hidden="1" outlineLevel="1">
      <c r="J436" s="67"/>
      <c r="K436" s="2" t="s">
        <v>76</v>
      </c>
      <c r="L436" s="4">
        <v>200</v>
      </c>
      <c r="M436" s="2"/>
      <c r="N436" s="2"/>
      <c r="O436" s="2"/>
      <c r="P436" s="2"/>
      <c r="W436" s="2" t="s">
        <v>563</v>
      </c>
      <c r="X436" s="353">
        <v>-5800.6955664015004</v>
      </c>
      <c r="Y436" s="142">
        <v>42.38826612793946</v>
      </c>
      <c r="Z436" s="350">
        <v>-9378.1173248311206</v>
      </c>
    </row>
    <row r="437" spans="10:28" hidden="1" outlineLevel="1">
      <c r="J437" s="67"/>
      <c r="K437" s="2" t="s">
        <v>76</v>
      </c>
      <c r="L437" s="4">
        <v>100</v>
      </c>
      <c r="M437" s="2"/>
      <c r="N437" s="2">
        <v>8</v>
      </c>
      <c r="O437" s="2"/>
      <c r="P437" s="2"/>
      <c r="W437" s="2" t="s">
        <v>562</v>
      </c>
      <c r="X437" s="142">
        <v>3067.5044335985003</v>
      </c>
      <c r="Z437" s="350">
        <v>236649.85454545487</v>
      </c>
    </row>
    <row r="438" spans="10:28" hidden="1" outlineLevel="1">
      <c r="J438" s="67"/>
      <c r="K438" s="2" t="s">
        <v>76</v>
      </c>
      <c r="L438" s="4">
        <v>50</v>
      </c>
      <c r="M438" s="2">
        <v>20</v>
      </c>
      <c r="N438" s="2"/>
      <c r="O438" s="2"/>
      <c r="P438" s="2"/>
      <c r="Q438" s="4">
        <v>20</v>
      </c>
      <c r="X438" s="2"/>
      <c r="Z438" s="68"/>
    </row>
    <row r="439" spans="10:28" hidden="1" outlineLevel="1">
      <c r="J439" s="67"/>
      <c r="K439" s="2" t="s">
        <v>76</v>
      </c>
      <c r="L439" s="4">
        <v>20</v>
      </c>
      <c r="M439" s="2">
        <v>4</v>
      </c>
      <c r="N439" s="2"/>
      <c r="O439" s="2"/>
      <c r="P439" s="2"/>
      <c r="Q439" s="4">
        <v>4</v>
      </c>
      <c r="S439" s="350">
        <v>9398.2000000000025</v>
      </c>
      <c r="T439" s="353">
        <v>5976.1200000000008</v>
      </c>
      <c r="X439" s="2"/>
      <c r="Z439" s="351">
        <v>-5800.6955664015004</v>
      </c>
    </row>
    <row r="440" spans="10:28" hidden="1" outlineLevel="1">
      <c r="J440" s="67"/>
      <c r="K440" s="2" t="s">
        <v>76</v>
      </c>
      <c r="L440" s="4">
        <v>10</v>
      </c>
      <c r="M440" s="2">
        <v>2</v>
      </c>
      <c r="N440" s="2"/>
      <c r="O440" s="2"/>
      <c r="P440" s="2"/>
      <c r="Q440" s="4">
        <v>2</v>
      </c>
      <c r="W440" s="2" t="s">
        <v>75</v>
      </c>
      <c r="X440" s="2">
        <v>1900</v>
      </c>
      <c r="Z440" s="351">
        <v>146426.00000000012</v>
      </c>
    </row>
    <row r="441" spans="10:28" hidden="1" outlineLevel="1">
      <c r="J441" s="67"/>
      <c r="K441" s="4" t="s">
        <v>75</v>
      </c>
      <c r="M441" s="2">
        <v>1100</v>
      </c>
      <c r="N441" s="2">
        <v>800</v>
      </c>
      <c r="O441" s="2">
        <v>0</v>
      </c>
      <c r="P441" s="2">
        <v>0</v>
      </c>
      <c r="Q441" s="4">
        <v>1900</v>
      </c>
      <c r="W441" s="2" t="s">
        <v>77</v>
      </c>
      <c r="X441" s="14">
        <v>185.80542264752793</v>
      </c>
      <c r="Z441" s="68"/>
      <c r="AA441" s="121" t="s">
        <v>11</v>
      </c>
      <c r="AB441" s="240">
        <v>0</v>
      </c>
    </row>
    <row r="442" spans="10:28" hidden="1" outlineLevel="1">
      <c r="J442" s="67"/>
      <c r="M442" s="2"/>
      <c r="N442" s="2"/>
      <c r="O442" s="2"/>
      <c r="P442" s="2"/>
      <c r="W442" s="2" t="s">
        <v>562</v>
      </c>
      <c r="X442" s="14">
        <v>2085.8054226475278</v>
      </c>
      <c r="Z442" s="68"/>
      <c r="AA442" s="299" t="s">
        <v>587</v>
      </c>
      <c r="AB442" s="4">
        <v>2100</v>
      </c>
    </row>
    <row r="443" spans="10:28" hidden="1" outlineLevel="1">
      <c r="J443" s="67"/>
      <c r="K443" s="2" t="s">
        <v>76</v>
      </c>
      <c r="L443" s="4">
        <v>500</v>
      </c>
      <c r="M443" s="2"/>
      <c r="N443" s="2"/>
      <c r="O443" s="2"/>
      <c r="P443" s="2"/>
      <c r="Q443" s="4">
        <v>0</v>
      </c>
      <c r="S443" s="2" t="s">
        <v>571</v>
      </c>
      <c r="T443" s="4">
        <v>5976.1200000000008</v>
      </c>
      <c r="U443" s="4" t="s">
        <v>17</v>
      </c>
      <c r="X443" s="2"/>
      <c r="Z443" s="68"/>
      <c r="AA443" s="92"/>
      <c r="AB443" s="297">
        <v>4000</v>
      </c>
    </row>
    <row r="444" spans="10:28" hidden="1" outlineLevel="1">
      <c r="J444" s="67"/>
      <c r="K444" s="2" t="s">
        <v>76</v>
      </c>
      <c r="L444" s="4">
        <v>500</v>
      </c>
      <c r="M444" s="2">
        <v>7</v>
      </c>
      <c r="N444" s="2"/>
      <c r="O444" s="2"/>
      <c r="P444" s="2">
        <v>2</v>
      </c>
      <c r="Q444" s="4">
        <v>9</v>
      </c>
      <c r="T444" s="4">
        <v>150802.96820360492</v>
      </c>
      <c r="U444" s="4" t="s">
        <v>135</v>
      </c>
      <c r="X444" s="2"/>
      <c r="Z444" s="68"/>
    </row>
    <row r="445" spans="10:28" hidden="1" outlineLevel="1">
      <c r="J445" s="67"/>
      <c r="K445" s="2" t="s">
        <v>76</v>
      </c>
      <c r="L445" s="4">
        <v>200</v>
      </c>
      <c r="M445" s="2"/>
      <c r="N445" s="2"/>
      <c r="O445" s="2"/>
      <c r="P445" s="2"/>
      <c r="Q445" s="4">
        <v>0</v>
      </c>
      <c r="W445" s="2" t="s">
        <v>584</v>
      </c>
      <c r="X445" s="203">
        <v>-981.69901095097248</v>
      </c>
      <c r="Z445" s="68"/>
    </row>
    <row r="446" spans="10:28" hidden="1" outlineLevel="1">
      <c r="J446" s="67"/>
      <c r="K446" s="2" t="s">
        <v>76</v>
      </c>
      <c r="L446" s="4">
        <v>100</v>
      </c>
      <c r="M446" s="2"/>
      <c r="N446" s="2"/>
      <c r="O446" s="2"/>
      <c r="P446" s="2">
        <v>1</v>
      </c>
      <c r="Q446" s="4">
        <v>1</v>
      </c>
      <c r="Z446" s="68"/>
    </row>
    <row r="447" spans="10:28" hidden="1" outlineLevel="1">
      <c r="J447" s="67"/>
      <c r="K447" s="2" t="s">
        <v>76</v>
      </c>
      <c r="L447" s="4">
        <v>50</v>
      </c>
      <c r="M447" s="2"/>
      <c r="N447" s="2"/>
      <c r="O447" s="2"/>
      <c r="P447" s="2">
        <v>1</v>
      </c>
      <c r="Q447" s="4">
        <v>1</v>
      </c>
      <c r="Y447" s="2"/>
      <c r="Z447" s="68"/>
      <c r="AB447" t="s">
        <v>784</v>
      </c>
    </row>
    <row r="448" spans="10:28" hidden="1" outlineLevel="1">
      <c r="J448" s="67"/>
      <c r="K448" s="2" t="s">
        <v>76</v>
      </c>
      <c r="L448" s="4">
        <v>20</v>
      </c>
      <c r="M448" s="2"/>
      <c r="N448" s="2"/>
      <c r="O448" s="2"/>
      <c r="P448" s="2"/>
      <c r="Q448" s="4">
        <v>0</v>
      </c>
      <c r="X448" s="2"/>
      <c r="Y448" s="2"/>
      <c r="Z448" s="125"/>
      <c r="AB448" t="s">
        <v>785</v>
      </c>
    </row>
    <row r="449" spans="10:28" hidden="1" outlineLevel="1">
      <c r="J449" s="67"/>
      <c r="K449" s="2" t="s">
        <v>76</v>
      </c>
      <c r="L449" s="4">
        <v>10</v>
      </c>
      <c r="M449" s="2"/>
      <c r="N449" s="2"/>
      <c r="O449" s="2"/>
      <c r="P449" s="2">
        <v>1</v>
      </c>
      <c r="Q449" s="4">
        <v>0</v>
      </c>
      <c r="X449" s="4" t="s">
        <v>75</v>
      </c>
      <c r="Y449" s="4" t="s">
        <v>77</v>
      </c>
      <c r="Z449" s="126" t="s">
        <v>590</v>
      </c>
    </row>
    <row r="450" spans="10:28" hidden="1" outlineLevel="1">
      <c r="J450" s="67"/>
      <c r="K450" s="2" t="s">
        <v>76</v>
      </c>
      <c r="L450" s="4">
        <v>5</v>
      </c>
      <c r="M450" s="2"/>
      <c r="N450" s="2"/>
      <c r="O450" s="2"/>
      <c r="P450" s="2"/>
      <c r="Q450" s="4">
        <v>0</v>
      </c>
      <c r="V450" s="2" t="s">
        <v>588</v>
      </c>
      <c r="W450" s="2" t="s">
        <v>9</v>
      </c>
      <c r="X450" s="142">
        <v>1900</v>
      </c>
      <c r="Y450" s="142">
        <v>47945.094741546243</v>
      </c>
      <c r="Z450" s="235">
        <v>1900</v>
      </c>
    </row>
    <row r="451" spans="10:28" hidden="1" outlineLevel="1">
      <c r="J451" s="67"/>
      <c r="K451" s="2" t="s">
        <v>76</v>
      </c>
      <c r="L451" s="4">
        <v>2</v>
      </c>
      <c r="M451" s="2"/>
      <c r="N451" s="2"/>
      <c r="O451" s="2"/>
      <c r="P451" s="2"/>
      <c r="Q451" s="4">
        <v>0</v>
      </c>
      <c r="V451" s="2" t="s">
        <v>588</v>
      </c>
      <c r="W451" s="2" t="s">
        <v>135</v>
      </c>
      <c r="X451" s="142">
        <v>184.66956938407452</v>
      </c>
      <c r="Y451" s="142">
        <v>4660</v>
      </c>
      <c r="Z451" s="235">
        <v>184.66956938407452</v>
      </c>
    </row>
    <row r="452" spans="10:28" hidden="1" outlineLevel="1">
      <c r="J452" s="67"/>
      <c r="K452" s="4" t="s">
        <v>77</v>
      </c>
      <c r="M452" s="2">
        <v>3500</v>
      </c>
      <c r="N452" s="2">
        <v>0</v>
      </c>
      <c r="O452" s="2">
        <v>0</v>
      </c>
      <c r="P452" s="2">
        <v>1160</v>
      </c>
      <c r="Q452" s="4">
        <v>4660</v>
      </c>
      <c r="V452" s="2" t="s">
        <v>589</v>
      </c>
      <c r="W452" s="2" t="s">
        <v>135</v>
      </c>
      <c r="X452" s="142">
        <v>5800.6955664015004</v>
      </c>
      <c r="Y452" s="142">
        <v>146426.00000000012</v>
      </c>
      <c r="Z452" s="235">
        <v>5802.6666022816562</v>
      </c>
    </row>
    <row r="453" spans="10:28" hidden="1" outlineLevel="1">
      <c r="J453" s="67"/>
      <c r="Q453" s="311">
        <v>184.66956938407452</v>
      </c>
      <c r="V453" s="2" t="s">
        <v>780</v>
      </c>
      <c r="X453" s="142">
        <v>7885.3651357855751</v>
      </c>
      <c r="Y453" s="142">
        <v>199031.09474154637</v>
      </c>
      <c r="Z453" s="235">
        <v>7887.3361716657309</v>
      </c>
    </row>
    <row r="454" spans="10:28" hidden="1" outlineLevel="1">
      <c r="J454" s="67"/>
      <c r="N454" t="s">
        <v>563</v>
      </c>
      <c r="P454" s="4" t="s">
        <v>1331</v>
      </c>
      <c r="Q454" s="352">
        <v>146426.00000000012</v>
      </c>
      <c r="R454" s="296" t="s">
        <v>783</v>
      </c>
      <c r="X454" s="142"/>
      <c r="Y454" s="142">
        <v>7887.3361716657309</v>
      </c>
      <c r="Z454" s="302"/>
    </row>
    <row r="455" spans="10:28" ht="15" hidden="1" outlineLevel="1" thickBot="1">
      <c r="J455" s="67"/>
      <c r="Q455" s="417">
        <v>5802.6666022816562</v>
      </c>
      <c r="Y455" s="142"/>
      <c r="Z455" s="302"/>
    </row>
    <row r="456" spans="10:28" ht="15" hidden="1" outlineLevel="1" thickBot="1">
      <c r="J456" s="67"/>
      <c r="K456" s="2" t="s">
        <v>606</v>
      </c>
      <c r="N456" s="9" t="s">
        <v>778</v>
      </c>
      <c r="Q456" s="322">
        <v>151086.00000000012</v>
      </c>
      <c r="S456" s="349">
        <v>283.03179639519658</v>
      </c>
      <c r="V456" s="2" t="s">
        <v>608</v>
      </c>
      <c r="W456" s="27">
        <v>52605.094741546243</v>
      </c>
      <c r="X456" s="6">
        <v>2084.6695693840747</v>
      </c>
      <c r="Y456" s="142">
        <v>-139.09660698242487</v>
      </c>
      <c r="Z456" s="302"/>
    </row>
    <row r="457" spans="10:28" hidden="1" outlineLevel="1">
      <c r="J457" s="67"/>
      <c r="K457" s="2" t="s">
        <v>607</v>
      </c>
      <c r="M457" s="2"/>
      <c r="Q457" s="417">
        <v>5987.3361716657309</v>
      </c>
      <c r="S457" s="289">
        <v>11.216171665730045</v>
      </c>
      <c r="V457" s="2" t="s">
        <v>609</v>
      </c>
      <c r="W457" s="27">
        <v>146426.00000000012</v>
      </c>
      <c r="X457" s="6">
        <v>5802.6666022816562</v>
      </c>
      <c r="Y457" s="142">
        <v>-42.402669365013026</v>
      </c>
      <c r="Z457" s="302"/>
      <c r="AA457" s="2"/>
    </row>
    <row r="458" spans="10:28" hidden="1" outlineLevel="1">
      <c r="J458" s="67"/>
      <c r="N458" s="9" t="s">
        <v>779</v>
      </c>
      <c r="O458" s="9"/>
      <c r="Q458" s="28">
        <v>7887.3361716657309</v>
      </c>
      <c r="S458"/>
      <c r="T458"/>
      <c r="V458" s="2" t="s">
        <v>14</v>
      </c>
      <c r="W458" s="233">
        <v>199031.09474154637</v>
      </c>
      <c r="X458" s="6">
        <v>7887.3361716657309</v>
      </c>
      <c r="Y458" s="161">
        <v>-181.49927634743835</v>
      </c>
      <c r="Z458" s="302"/>
      <c r="AA458" s="2"/>
      <c r="AB458" s="28">
        <v>-181.49927634743744</v>
      </c>
    </row>
    <row r="459" spans="10:28" hidden="1" outlineLevel="1">
      <c r="J459" s="67"/>
      <c r="Q459" s="417">
        <v>7887.3361716657309</v>
      </c>
      <c r="S459"/>
      <c r="T459"/>
      <c r="Z459" s="302"/>
      <c r="AB459" s="82">
        <v>-4579.9999999999845</v>
      </c>
    </row>
    <row r="460" spans="10:28" hidden="1" outlineLevel="1">
      <c r="J460" s="92"/>
      <c r="K460" s="87"/>
      <c r="L460" s="87"/>
      <c r="M460" s="87"/>
      <c r="N460" s="87"/>
      <c r="O460" s="87"/>
      <c r="P460" s="87"/>
      <c r="Q460" s="87"/>
      <c r="R460" s="87"/>
      <c r="S460" s="297"/>
      <c r="T460" s="297"/>
      <c r="U460" s="297"/>
      <c r="V460" s="297"/>
      <c r="W460" s="297"/>
      <c r="X460" s="87"/>
      <c r="Y460" s="87"/>
      <c r="Z460" s="88"/>
    </row>
    <row r="461" spans="10:28" hidden="1" outlineLevel="1"/>
    <row r="462" spans="10:28" hidden="1" outlineLevel="1"/>
    <row r="463" spans="10:28" hidden="1" outlineLevel="1" collapsed="1">
      <c r="J463" s="332" t="s">
        <v>787</v>
      </c>
      <c r="K463" s="188"/>
      <c r="L463" s="188"/>
      <c r="M463" s="188"/>
      <c r="N463" s="188"/>
      <c r="O463" s="188"/>
      <c r="P463" s="188"/>
      <c r="Q463" s="188"/>
      <c r="R463" s="188" t="s">
        <v>578</v>
      </c>
      <c r="S463" s="293"/>
      <c r="T463" s="293"/>
      <c r="U463" s="293"/>
      <c r="V463" s="293"/>
      <c r="W463" s="293"/>
      <c r="X463" s="188" t="s">
        <v>75</v>
      </c>
      <c r="Y463" s="188"/>
      <c r="Z463" s="189"/>
    </row>
    <row r="464" spans="10:28" hidden="1" outlineLevel="1">
      <c r="J464" s="67"/>
      <c r="K464" t="s">
        <v>565</v>
      </c>
      <c r="L464" s="2"/>
      <c r="M464" s="2"/>
      <c r="N464" s="2"/>
      <c r="O464" s="2"/>
      <c r="P464" s="2"/>
      <c r="S464" s="2" t="s">
        <v>762</v>
      </c>
      <c r="T464" s="161">
        <v>8676.1200000000008</v>
      </c>
      <c r="U464" s="215">
        <v>-192.07999999999993</v>
      </c>
      <c r="W464" s="2" t="s">
        <v>565</v>
      </c>
      <c r="X464" s="215">
        <v>8868.2000000000007</v>
      </c>
      <c r="Y464" s="4" t="s">
        <v>1331</v>
      </c>
      <c r="Z464" s="68"/>
      <c r="AB464">
        <v>0</v>
      </c>
    </row>
    <row r="465" spans="10:28" hidden="1" outlineLevel="1">
      <c r="J465" s="67"/>
      <c r="K465" s="2" t="s">
        <v>76</v>
      </c>
      <c r="L465" s="4">
        <v>200</v>
      </c>
      <c r="M465" s="2"/>
      <c r="N465" s="2"/>
      <c r="O465" s="2"/>
      <c r="P465" s="2"/>
      <c r="W465" s="2" t="s">
        <v>563</v>
      </c>
      <c r="X465" s="353">
        <v>-6647.796340181997</v>
      </c>
      <c r="Y465" s="142">
        <v>-847.10077378049664</v>
      </c>
      <c r="Z465" s="350">
        <v>-9378.1173248311206</v>
      </c>
    </row>
    <row r="466" spans="10:28" hidden="1" outlineLevel="1">
      <c r="J466" s="67"/>
      <c r="K466" s="2" t="s">
        <v>76</v>
      </c>
      <c r="L466" s="4">
        <v>100</v>
      </c>
      <c r="M466" s="2"/>
      <c r="N466" s="2">
        <v>8</v>
      </c>
      <c r="O466" s="2"/>
      <c r="P466" s="2"/>
      <c r="W466" s="2" t="s">
        <v>562</v>
      </c>
      <c r="X466" s="142">
        <v>2220.4036598180037</v>
      </c>
      <c r="Z466" s="350">
        <v>236649.85454545487</v>
      </c>
    </row>
    <row r="467" spans="10:28" hidden="1" outlineLevel="1">
      <c r="J467" s="67"/>
      <c r="K467" s="2" t="s">
        <v>76</v>
      </c>
      <c r="L467" s="4">
        <v>50</v>
      </c>
      <c r="M467" s="2">
        <v>20</v>
      </c>
      <c r="N467" s="2"/>
      <c r="O467" s="2"/>
      <c r="P467" s="2"/>
      <c r="Q467" s="4">
        <v>20</v>
      </c>
      <c r="X467" s="2"/>
      <c r="Z467" s="68"/>
    </row>
    <row r="468" spans="10:28" hidden="1" outlineLevel="1">
      <c r="J468" s="67"/>
      <c r="K468" s="2" t="s">
        <v>76</v>
      </c>
      <c r="L468" s="4">
        <v>20</v>
      </c>
      <c r="M468" s="2">
        <v>4</v>
      </c>
      <c r="N468" s="2"/>
      <c r="O468" s="2"/>
      <c r="P468" s="2"/>
      <c r="Q468" s="4">
        <v>4</v>
      </c>
      <c r="S468" s="350">
        <v>9398.2000000000025</v>
      </c>
      <c r="T468" s="353">
        <v>6776.1200000000008</v>
      </c>
      <c r="X468" s="2"/>
      <c r="Z468" s="351">
        <v>-6647.796340181997</v>
      </c>
    </row>
    <row r="469" spans="10:28" hidden="1" outlineLevel="1">
      <c r="J469" s="67"/>
      <c r="K469" s="2" t="s">
        <v>76</v>
      </c>
      <c r="L469" s="4">
        <v>10</v>
      </c>
      <c r="M469" s="2">
        <v>2</v>
      </c>
      <c r="N469" s="2"/>
      <c r="O469" s="2"/>
      <c r="P469" s="2"/>
      <c r="Q469" s="4">
        <v>2</v>
      </c>
      <c r="W469" s="2" t="s">
        <v>75</v>
      </c>
      <c r="X469" s="2">
        <v>1900</v>
      </c>
      <c r="Z469" s="351">
        <v>167807.00000000015</v>
      </c>
    </row>
    <row r="470" spans="10:28" hidden="1" outlineLevel="1">
      <c r="J470" s="67"/>
      <c r="K470" s="4" t="s">
        <v>75</v>
      </c>
      <c r="M470" s="2">
        <v>1100</v>
      </c>
      <c r="N470" s="2">
        <v>800</v>
      </c>
      <c r="O470" s="2">
        <v>0</v>
      </c>
      <c r="P470" s="2">
        <v>0</v>
      </c>
      <c r="Q470" s="4">
        <v>1900</v>
      </c>
      <c r="W470" s="2" t="s">
        <v>77</v>
      </c>
      <c r="X470" s="14">
        <v>84.130781499202556</v>
      </c>
      <c r="Z470" s="68"/>
      <c r="AA470" s="121" t="s">
        <v>11</v>
      </c>
      <c r="AB470" s="240">
        <v>0</v>
      </c>
    </row>
    <row r="471" spans="10:28" hidden="1" outlineLevel="1">
      <c r="J471" s="67"/>
      <c r="M471" s="2"/>
      <c r="N471" s="2"/>
      <c r="O471" s="2"/>
      <c r="P471" s="2"/>
      <c r="W471" s="2" t="s">
        <v>562</v>
      </c>
      <c r="X471" s="14">
        <v>1984.1307814992026</v>
      </c>
      <c r="Z471" s="68"/>
      <c r="AA471" s="299" t="s">
        <v>587</v>
      </c>
      <c r="AB471" s="4">
        <v>2100</v>
      </c>
    </row>
    <row r="472" spans="10:28" hidden="1" outlineLevel="1">
      <c r="J472" s="67"/>
      <c r="K472" s="2" t="s">
        <v>76</v>
      </c>
      <c r="L472" s="4">
        <v>500</v>
      </c>
      <c r="M472" s="2"/>
      <c r="N472" s="2"/>
      <c r="O472" s="2"/>
      <c r="P472" s="2"/>
      <c r="Q472" s="4">
        <v>0</v>
      </c>
      <c r="S472" s="2" t="s">
        <v>571</v>
      </c>
      <c r="T472" s="4">
        <v>6776.1200000000008</v>
      </c>
      <c r="U472" s="4" t="s">
        <v>17</v>
      </c>
      <c r="X472" s="2"/>
      <c r="Z472" s="68"/>
      <c r="AA472" s="92"/>
      <c r="AB472" s="297">
        <v>4000</v>
      </c>
    </row>
    <row r="473" spans="10:28" hidden="1" outlineLevel="1">
      <c r="J473" s="67"/>
      <c r="K473" s="2" t="s">
        <v>76</v>
      </c>
      <c r="L473" s="4">
        <v>500</v>
      </c>
      <c r="M473" s="2"/>
      <c r="N473" s="2"/>
      <c r="O473" s="2"/>
      <c r="P473" s="2">
        <v>2</v>
      </c>
      <c r="Q473" s="4">
        <v>2</v>
      </c>
      <c r="T473" s="4">
        <v>170990.37651583491</v>
      </c>
      <c r="U473" s="4" t="s">
        <v>135</v>
      </c>
      <c r="X473" s="2"/>
      <c r="Z473" s="68"/>
    </row>
    <row r="474" spans="10:28" hidden="1" outlineLevel="1">
      <c r="J474" s="67"/>
      <c r="K474" s="2" t="s">
        <v>76</v>
      </c>
      <c r="L474" s="4">
        <v>200</v>
      </c>
      <c r="M474" s="2"/>
      <c r="N474" s="2"/>
      <c r="O474" s="2"/>
      <c r="P474" s="2">
        <v>5</v>
      </c>
      <c r="Q474" s="4">
        <v>5</v>
      </c>
      <c r="W474" s="2" t="s">
        <v>584</v>
      </c>
      <c r="X474" s="203">
        <v>-236.27287831880108</v>
      </c>
      <c r="Z474" s="68"/>
    </row>
    <row r="475" spans="10:28" hidden="1" outlineLevel="1">
      <c r="J475" s="67"/>
      <c r="K475" s="2" t="s">
        <v>76</v>
      </c>
      <c r="L475" s="4">
        <v>100</v>
      </c>
      <c r="M475" s="2"/>
      <c r="N475" s="2"/>
      <c r="O475" s="2"/>
      <c r="P475" s="2"/>
      <c r="Q475" s="4">
        <v>0</v>
      </c>
      <c r="Z475" s="68"/>
    </row>
    <row r="476" spans="10:28" hidden="1" outlineLevel="1">
      <c r="J476" s="67"/>
      <c r="K476" s="2" t="s">
        <v>76</v>
      </c>
      <c r="L476" s="4">
        <v>50</v>
      </c>
      <c r="M476" s="2"/>
      <c r="N476" s="2"/>
      <c r="O476" s="2"/>
      <c r="P476" s="2">
        <v>2</v>
      </c>
      <c r="Q476" s="4">
        <v>2</v>
      </c>
      <c r="Y476" s="2"/>
      <c r="Z476" s="68"/>
      <c r="AB476" t="s">
        <v>784</v>
      </c>
    </row>
    <row r="477" spans="10:28" hidden="1" outlineLevel="1">
      <c r="J477" s="67"/>
      <c r="K477" s="2" t="s">
        <v>76</v>
      </c>
      <c r="L477" s="4">
        <v>20</v>
      </c>
      <c r="M477" s="2"/>
      <c r="N477" s="2"/>
      <c r="O477" s="2"/>
      <c r="P477" s="2"/>
      <c r="Q477" s="4">
        <v>0</v>
      </c>
      <c r="X477" s="2"/>
      <c r="Y477" s="2"/>
      <c r="Z477" s="125"/>
      <c r="AB477" t="s">
        <v>785</v>
      </c>
    </row>
    <row r="478" spans="10:28" hidden="1" outlineLevel="1">
      <c r="J478" s="67"/>
      <c r="K478" s="2" t="s">
        <v>76</v>
      </c>
      <c r="L478" s="4">
        <v>10</v>
      </c>
      <c r="M478" s="2"/>
      <c r="N478" s="2"/>
      <c r="O478" s="2"/>
      <c r="P478" s="2"/>
      <c r="Q478" s="4">
        <v>0</v>
      </c>
      <c r="X478" s="4" t="s">
        <v>75</v>
      </c>
      <c r="Y478" s="4" t="s">
        <v>77</v>
      </c>
      <c r="Z478" s="126" t="s">
        <v>590</v>
      </c>
    </row>
    <row r="479" spans="10:28" hidden="1" outlineLevel="1">
      <c r="J479" s="67"/>
      <c r="K479" s="2" t="s">
        <v>76</v>
      </c>
      <c r="L479" s="4">
        <v>5</v>
      </c>
      <c r="M479" s="2"/>
      <c r="N479" s="2"/>
      <c r="O479" s="2"/>
      <c r="P479" s="2">
        <v>2</v>
      </c>
      <c r="Q479" s="4">
        <v>2</v>
      </c>
      <c r="V479" s="2" t="s">
        <v>588</v>
      </c>
      <c r="W479" s="2" t="s">
        <v>9</v>
      </c>
      <c r="X479" s="142">
        <v>1900</v>
      </c>
      <c r="Y479" s="142">
        <v>47945.094741546243</v>
      </c>
      <c r="Z479" s="235">
        <v>1900</v>
      </c>
    </row>
    <row r="480" spans="10:28" hidden="1" outlineLevel="1">
      <c r="J480" s="67"/>
      <c r="K480" s="2" t="s">
        <v>76</v>
      </c>
      <c r="L480" s="4">
        <v>2</v>
      </c>
      <c r="M480" s="2"/>
      <c r="N480" s="2"/>
      <c r="O480" s="2"/>
      <c r="P480" s="2"/>
      <c r="Q480" s="4">
        <v>0</v>
      </c>
      <c r="V480" s="2" t="s">
        <v>588</v>
      </c>
      <c r="W480" s="2" t="s">
        <v>135</v>
      </c>
      <c r="X480" s="142">
        <v>83.616478841286963</v>
      </c>
      <c r="Y480" s="142">
        <v>2110</v>
      </c>
      <c r="Z480" s="235">
        <v>83.616478841286963</v>
      </c>
    </row>
    <row r="481" spans="10:28" hidden="1" outlineLevel="1">
      <c r="J481" s="67"/>
      <c r="K481" s="4" t="s">
        <v>77</v>
      </c>
      <c r="M481" s="2">
        <v>0</v>
      </c>
      <c r="N481" s="2">
        <v>0</v>
      </c>
      <c r="O481" s="2">
        <v>0</v>
      </c>
      <c r="P481" s="2">
        <v>2110</v>
      </c>
      <c r="Q481" s="4">
        <v>2110</v>
      </c>
      <c r="V481" s="2" t="s">
        <v>589</v>
      </c>
      <c r="W481" s="2" t="s">
        <v>135</v>
      </c>
      <c r="X481" s="142">
        <v>6647.796340181997</v>
      </c>
      <c r="Y481" s="142">
        <v>167807.00000000015</v>
      </c>
      <c r="Z481" s="235">
        <v>6649.9670449857122</v>
      </c>
    </row>
    <row r="482" spans="10:28" hidden="1" outlineLevel="1">
      <c r="J482" s="67"/>
      <c r="Q482" s="311">
        <v>83.616478841286963</v>
      </c>
      <c r="V482" s="2" t="s">
        <v>780</v>
      </c>
      <c r="X482" s="142">
        <v>8631.4128190232841</v>
      </c>
      <c r="Y482" s="142">
        <v>217862.09474154637</v>
      </c>
      <c r="Z482" s="235">
        <v>8633.5835238269992</v>
      </c>
    </row>
    <row r="483" spans="10:28" hidden="1" outlineLevel="1">
      <c r="J483" s="67"/>
      <c r="N483" t="s">
        <v>563</v>
      </c>
      <c r="P483" s="4" t="s">
        <v>1331</v>
      </c>
      <c r="Q483" s="352">
        <v>167807.00000000015</v>
      </c>
      <c r="R483" s="296" t="s">
        <v>787</v>
      </c>
      <c r="X483" s="142"/>
      <c r="Y483" s="142">
        <v>8633.5835238269992</v>
      </c>
      <c r="Z483" s="302"/>
    </row>
    <row r="484" spans="10:28" ht="15" hidden="1" outlineLevel="1" thickBot="1">
      <c r="J484" s="67"/>
      <c r="Q484" s="417">
        <v>6649.9670449857122</v>
      </c>
      <c r="Y484" s="142"/>
      <c r="Z484" s="302"/>
    </row>
    <row r="485" spans="10:28" ht="15" hidden="1" outlineLevel="1" thickBot="1">
      <c r="J485" s="67"/>
      <c r="K485" s="2" t="s">
        <v>606</v>
      </c>
      <c r="N485" s="9" t="s">
        <v>778</v>
      </c>
      <c r="Q485" s="322">
        <v>169917.00000000015</v>
      </c>
      <c r="S485" s="349">
        <v>-1073.3765158347669</v>
      </c>
      <c r="V485" s="2" t="s">
        <v>608</v>
      </c>
      <c r="W485" s="27">
        <v>50055.094741546243</v>
      </c>
      <c r="X485" s="6">
        <v>1983.6164788412871</v>
      </c>
      <c r="Y485" s="142">
        <v>-101.05309054278769</v>
      </c>
      <c r="Z485" s="302"/>
    </row>
    <row r="486" spans="10:28" hidden="1" outlineLevel="1">
      <c r="J486" s="67"/>
      <c r="K486" s="2" t="s">
        <v>607</v>
      </c>
      <c r="M486" s="2"/>
      <c r="Q486" s="417">
        <v>6733.5835238269992</v>
      </c>
      <c r="S486" s="289">
        <v>-42.536476173000999</v>
      </c>
      <c r="V486" s="2" t="s">
        <v>609</v>
      </c>
      <c r="W486" s="27">
        <v>167807.00000000015</v>
      </c>
      <c r="X486" s="6">
        <v>6649.9670449857122</v>
      </c>
      <c r="Y486" s="142">
        <v>847.30044270405597</v>
      </c>
      <c r="Z486" s="302"/>
      <c r="AA486" s="2"/>
    </row>
    <row r="487" spans="10:28" hidden="1" outlineLevel="1">
      <c r="J487" s="67"/>
      <c r="N487" s="9" t="s">
        <v>779</v>
      </c>
      <c r="O487" s="9"/>
      <c r="Q487" s="28">
        <v>8633.5835238269992</v>
      </c>
      <c r="S487"/>
      <c r="T487"/>
      <c r="V487" s="2" t="s">
        <v>14</v>
      </c>
      <c r="W487" s="233">
        <v>217862.09474154637</v>
      </c>
      <c r="X487" s="6">
        <v>8633.5835238269992</v>
      </c>
      <c r="Y487" s="161">
        <v>746.24735216126828</v>
      </c>
      <c r="Z487" s="302"/>
      <c r="AA487" s="2"/>
      <c r="AB487" s="28">
        <v>746.24735216126828</v>
      </c>
    </row>
    <row r="488" spans="10:28" hidden="1" outlineLevel="1">
      <c r="J488" s="67"/>
      <c r="Q488" s="417">
        <v>8633.5835238269992</v>
      </c>
      <c r="S488"/>
      <c r="T488"/>
      <c r="Z488" s="302"/>
      <c r="AB488" s="82">
        <v>18831.000000000015</v>
      </c>
    </row>
    <row r="489" spans="10:28" hidden="1" outlineLevel="1">
      <c r="J489" s="92"/>
      <c r="K489" s="87"/>
      <c r="L489" s="87"/>
      <c r="M489" s="87"/>
      <c r="N489" s="87"/>
      <c r="O489" s="87"/>
      <c r="P489" s="87"/>
      <c r="Q489" s="87"/>
      <c r="R489" s="87"/>
      <c r="S489" s="297"/>
      <c r="T489" s="297"/>
      <c r="U489" s="297"/>
      <c r="V489" s="297"/>
      <c r="W489" s="297"/>
      <c r="X489" s="87"/>
      <c r="Y489" s="87"/>
      <c r="Z489" s="88"/>
    </row>
    <row r="490" spans="10:28" hidden="1" outlineLevel="1"/>
    <row r="491" spans="10:28" hidden="1" outlineLevel="1"/>
    <row r="492" spans="10:28" hidden="1" outlineLevel="1" collapsed="1">
      <c r="J492" s="332" t="s">
        <v>804</v>
      </c>
      <c r="K492" s="188"/>
      <c r="L492" s="188"/>
      <c r="M492" s="188"/>
      <c r="N492" s="188"/>
      <c r="O492" s="188"/>
      <c r="P492" s="188"/>
      <c r="Q492" s="188"/>
      <c r="R492" s="188" t="s">
        <v>578</v>
      </c>
      <c r="S492" s="293"/>
      <c r="T492" s="293"/>
      <c r="U492" s="293"/>
      <c r="V492" s="293"/>
      <c r="W492" s="293"/>
      <c r="X492" s="188" t="s">
        <v>75</v>
      </c>
      <c r="Y492" s="188"/>
      <c r="Z492" s="189"/>
    </row>
    <row r="493" spans="10:28" hidden="1" outlineLevel="1">
      <c r="J493" s="67"/>
      <c r="K493" t="s">
        <v>565</v>
      </c>
      <c r="L493" s="2"/>
      <c r="M493" s="2"/>
      <c r="N493" s="2"/>
      <c r="O493" s="2"/>
      <c r="P493" s="2"/>
      <c r="S493" s="2" t="s">
        <v>762</v>
      </c>
      <c r="T493" s="161">
        <v>7866.1200000000008</v>
      </c>
      <c r="U493" s="215">
        <v>-2002.08</v>
      </c>
      <c r="W493" s="2" t="s">
        <v>565</v>
      </c>
      <c r="X493" s="215">
        <v>9868.2000000000007</v>
      </c>
      <c r="Y493" s="4" t="s">
        <v>1331</v>
      </c>
      <c r="Z493" s="68"/>
      <c r="AB493">
        <v>0</v>
      </c>
    </row>
    <row r="494" spans="10:28" hidden="1" outlineLevel="1">
      <c r="J494" s="67"/>
      <c r="K494" s="2" t="s">
        <v>76</v>
      </c>
      <c r="L494" s="4">
        <v>200</v>
      </c>
      <c r="M494" s="2"/>
      <c r="N494" s="2"/>
      <c r="O494" s="2"/>
      <c r="P494" s="2"/>
      <c r="W494" s="2" t="s">
        <v>563</v>
      </c>
      <c r="X494" s="353">
        <v>-7510.4569595113962</v>
      </c>
      <c r="Y494" s="142">
        <v>-862.6606193293992</v>
      </c>
      <c r="Z494" s="350">
        <v>-9378.1173248311206</v>
      </c>
    </row>
    <row r="495" spans="10:28" hidden="1" outlineLevel="1">
      <c r="J495" s="67"/>
      <c r="K495" s="2" t="s">
        <v>76</v>
      </c>
      <c r="L495" s="4">
        <v>100</v>
      </c>
      <c r="M495" s="2"/>
      <c r="N495" s="2"/>
      <c r="O495" s="2"/>
      <c r="P495" s="2"/>
      <c r="W495" s="2" t="s">
        <v>562</v>
      </c>
      <c r="X495" s="142">
        <v>2357.7430404886045</v>
      </c>
      <c r="Z495" s="350">
        <v>236649.85454545487</v>
      </c>
    </row>
    <row r="496" spans="10:28" hidden="1" outlineLevel="1">
      <c r="J496" s="67"/>
      <c r="K496" s="2" t="s">
        <v>76</v>
      </c>
      <c r="L496" s="4">
        <v>50</v>
      </c>
      <c r="M496" s="2">
        <v>20</v>
      </c>
      <c r="N496" s="2"/>
      <c r="O496" s="2"/>
      <c r="P496" s="2"/>
      <c r="Q496" s="4">
        <v>20</v>
      </c>
      <c r="X496" s="2"/>
      <c r="Z496" s="68"/>
    </row>
    <row r="497" spans="10:28" hidden="1" outlineLevel="1">
      <c r="J497" s="67"/>
      <c r="K497" s="2" t="s">
        <v>76</v>
      </c>
      <c r="L497" s="4">
        <v>20</v>
      </c>
      <c r="M497" s="2">
        <v>4</v>
      </c>
      <c r="N497" s="2"/>
      <c r="O497" s="2"/>
      <c r="P497" s="2"/>
      <c r="Q497" s="4">
        <v>4</v>
      </c>
      <c r="S497" s="350">
        <v>9398.2000000000025</v>
      </c>
      <c r="T497" s="353">
        <v>6776.1200000000008</v>
      </c>
      <c r="X497" s="2"/>
      <c r="Z497" s="351">
        <v>-7510.4569595113962</v>
      </c>
    </row>
    <row r="498" spans="10:28" hidden="1" outlineLevel="1">
      <c r="J498" s="67"/>
      <c r="K498" s="2" t="s">
        <v>76</v>
      </c>
      <c r="L498" s="4">
        <v>10</v>
      </c>
      <c r="M498" s="2">
        <v>1</v>
      </c>
      <c r="N498" s="2"/>
      <c r="O498" s="2"/>
      <c r="P498" s="2"/>
      <c r="Q498" s="4">
        <v>1</v>
      </c>
      <c r="W498" s="2" t="s">
        <v>75</v>
      </c>
      <c r="X498" s="2">
        <v>1090</v>
      </c>
      <c r="Z498" s="351">
        <v>189564.85454545476</v>
      </c>
    </row>
    <row r="499" spans="10:28" hidden="1" outlineLevel="1">
      <c r="J499" s="67"/>
      <c r="K499" s="4" t="s">
        <v>75</v>
      </c>
      <c r="M499" s="2">
        <v>1090</v>
      </c>
      <c r="N499" s="2">
        <v>0</v>
      </c>
      <c r="O499" s="2">
        <v>0</v>
      </c>
      <c r="P499" s="2">
        <v>0</v>
      </c>
      <c r="Q499" s="4">
        <v>1090</v>
      </c>
      <c r="W499" s="2" t="s">
        <v>77</v>
      </c>
      <c r="X499" s="14">
        <v>147.52791068580544</v>
      </c>
      <c r="Z499" s="68"/>
      <c r="AA499" s="121" t="s">
        <v>11</v>
      </c>
      <c r="AB499" s="240">
        <v>810</v>
      </c>
    </row>
    <row r="500" spans="10:28" hidden="1" outlineLevel="1">
      <c r="J500" s="67"/>
      <c r="M500" s="2"/>
      <c r="N500" s="2"/>
      <c r="O500" s="2"/>
      <c r="P500" s="2"/>
      <c r="W500" s="2" t="s">
        <v>562</v>
      </c>
      <c r="X500" s="14">
        <v>1237.5279106858054</v>
      </c>
      <c r="Z500" s="68"/>
      <c r="AA500" s="299" t="s">
        <v>587</v>
      </c>
      <c r="AB500" s="4">
        <v>2910</v>
      </c>
    </row>
    <row r="501" spans="10:28" hidden="1" outlineLevel="1">
      <c r="J501" s="67"/>
      <c r="K501" s="2" t="s">
        <v>76</v>
      </c>
      <c r="L501" s="4">
        <v>500</v>
      </c>
      <c r="M501" s="2"/>
      <c r="N501" s="2"/>
      <c r="O501" s="2"/>
      <c r="P501" s="2"/>
      <c r="Q501" s="4">
        <v>0</v>
      </c>
      <c r="S501" s="2" t="s">
        <v>571</v>
      </c>
      <c r="T501" s="4">
        <v>6776.1200000000008</v>
      </c>
      <c r="U501" s="4" t="s">
        <v>17</v>
      </c>
      <c r="X501" s="2"/>
      <c r="Z501" s="68"/>
      <c r="AA501" s="92"/>
      <c r="AB501" s="297">
        <v>4000</v>
      </c>
    </row>
    <row r="502" spans="10:28" hidden="1" outlineLevel="1">
      <c r="J502" s="67"/>
      <c r="K502" s="2" t="s">
        <v>76</v>
      </c>
      <c r="L502" s="4">
        <v>500</v>
      </c>
      <c r="M502" s="2">
        <v>6</v>
      </c>
      <c r="N502" s="2"/>
      <c r="O502" s="2"/>
      <c r="P502" s="2"/>
      <c r="Q502" s="4">
        <v>6</v>
      </c>
      <c r="T502" s="4">
        <v>170990.37651583491</v>
      </c>
      <c r="U502" s="4" t="s">
        <v>135</v>
      </c>
      <c r="X502" s="2"/>
      <c r="Z502" s="68"/>
    </row>
    <row r="503" spans="10:28" hidden="1" outlineLevel="1">
      <c r="J503" s="67"/>
      <c r="K503" s="2" t="s">
        <v>76</v>
      </c>
      <c r="L503" s="4">
        <v>200</v>
      </c>
      <c r="M503" s="2"/>
      <c r="N503" s="2"/>
      <c r="O503" s="2"/>
      <c r="P503" s="2">
        <v>1</v>
      </c>
      <c r="Q503" s="4">
        <v>1</v>
      </c>
      <c r="W503" s="2" t="s">
        <v>584</v>
      </c>
      <c r="X503" s="203">
        <v>-1120.2151298027991</v>
      </c>
      <c r="Z503" s="68"/>
    </row>
    <row r="504" spans="10:28" hidden="1" outlineLevel="1">
      <c r="J504" s="67"/>
      <c r="K504" s="2" t="s">
        <v>76</v>
      </c>
      <c r="L504" s="4">
        <v>100</v>
      </c>
      <c r="M504" s="2">
        <v>3</v>
      </c>
      <c r="N504" s="2"/>
      <c r="O504" s="2"/>
      <c r="P504" s="2">
        <v>1</v>
      </c>
      <c r="Q504" s="4">
        <v>4</v>
      </c>
      <c r="Z504" s="68"/>
    </row>
    <row r="505" spans="10:28" hidden="1" outlineLevel="1">
      <c r="J505" s="67"/>
      <c r="K505" s="2" t="s">
        <v>76</v>
      </c>
      <c r="L505" s="4">
        <v>50</v>
      </c>
      <c r="M505" s="2">
        <v>1</v>
      </c>
      <c r="N505" s="2"/>
      <c r="O505" s="2"/>
      <c r="P505" s="2"/>
      <c r="Q505" s="4">
        <v>1</v>
      </c>
      <c r="Y505" s="2"/>
      <c r="Z505" s="68"/>
      <c r="AB505" t="s">
        <v>784</v>
      </c>
    </row>
    <row r="506" spans="10:28" hidden="1" outlineLevel="1">
      <c r="J506" s="67"/>
      <c r="K506" s="2" t="s">
        <v>76</v>
      </c>
      <c r="L506" s="4">
        <v>20</v>
      </c>
      <c r="M506" s="2">
        <v>1</v>
      </c>
      <c r="N506" s="2"/>
      <c r="O506" s="2"/>
      <c r="P506" s="2"/>
      <c r="Q506" s="4">
        <v>1</v>
      </c>
      <c r="X506" s="2"/>
      <c r="Y506" s="2"/>
      <c r="Z506" s="125"/>
      <c r="AB506" t="s">
        <v>785</v>
      </c>
    </row>
    <row r="507" spans="10:28" hidden="1" outlineLevel="1">
      <c r="J507" s="67"/>
      <c r="K507" s="2" t="s">
        <v>76</v>
      </c>
      <c r="L507" s="4">
        <v>10</v>
      </c>
      <c r="M507" s="2"/>
      <c r="N507" s="2"/>
      <c r="O507" s="2"/>
      <c r="P507" s="2">
        <v>1</v>
      </c>
      <c r="Q507" s="4">
        <v>0</v>
      </c>
      <c r="X507" s="4" t="s">
        <v>75</v>
      </c>
      <c r="Y507" s="4" t="s">
        <v>77</v>
      </c>
      <c r="Z507" s="126" t="s">
        <v>590</v>
      </c>
    </row>
    <row r="508" spans="10:28" hidden="1" outlineLevel="1">
      <c r="J508" s="67"/>
      <c r="K508" s="2" t="s">
        <v>76</v>
      </c>
      <c r="L508" s="4">
        <v>5</v>
      </c>
      <c r="M508" s="2"/>
      <c r="N508" s="2"/>
      <c r="O508" s="2"/>
      <c r="P508" s="2">
        <v>4</v>
      </c>
      <c r="Q508" s="4">
        <v>4</v>
      </c>
      <c r="V508" s="2" t="s">
        <v>588</v>
      </c>
      <c r="W508" s="2" t="s">
        <v>9</v>
      </c>
      <c r="X508" s="142">
        <v>1090</v>
      </c>
      <c r="Y508" s="142">
        <v>27505.343825413369</v>
      </c>
      <c r="Z508" s="235">
        <v>1090</v>
      </c>
    </row>
    <row r="509" spans="10:28" hidden="1" outlineLevel="1">
      <c r="J509" s="67"/>
      <c r="K509" s="2" t="s">
        <v>76</v>
      </c>
      <c r="L509" s="4">
        <v>2</v>
      </c>
      <c r="M509" s="2"/>
      <c r="N509" s="2"/>
      <c r="O509" s="2"/>
      <c r="P509" s="2"/>
      <c r="Q509" s="4">
        <v>0</v>
      </c>
      <c r="V509" s="2" t="s">
        <v>588</v>
      </c>
      <c r="W509" s="2" t="s">
        <v>135</v>
      </c>
      <c r="X509" s="142">
        <v>146.62605294443685</v>
      </c>
      <c r="Y509" s="142">
        <v>3700</v>
      </c>
      <c r="Z509" s="235">
        <v>146.62605294443685</v>
      </c>
    </row>
    <row r="510" spans="10:28" hidden="1" outlineLevel="1">
      <c r="J510" s="67"/>
      <c r="K510" s="4" t="s">
        <v>77</v>
      </c>
      <c r="M510" s="2">
        <v>3370</v>
      </c>
      <c r="N510" s="2">
        <v>0</v>
      </c>
      <c r="O510" s="2">
        <v>0</v>
      </c>
      <c r="P510" s="2">
        <v>330</v>
      </c>
      <c r="Q510" s="4">
        <v>3700</v>
      </c>
      <c r="V510" s="2" t="s">
        <v>589</v>
      </c>
      <c r="W510" s="2" t="s">
        <v>135</v>
      </c>
      <c r="X510" s="142">
        <v>7510.4569595113962</v>
      </c>
      <c r="Y510" s="142">
        <v>189564.85454545476</v>
      </c>
      <c r="Z510" s="235">
        <v>7512.2017294557618</v>
      </c>
    </row>
    <row r="511" spans="10:28" hidden="1" outlineLevel="1">
      <c r="J511" s="67"/>
      <c r="Q511" s="311">
        <v>146.62605294443685</v>
      </c>
      <c r="V511" s="2" t="s">
        <v>780</v>
      </c>
      <c r="X511" s="142">
        <v>8747.0830124558324</v>
      </c>
      <c r="Y511" s="142">
        <v>220770.19837086814</v>
      </c>
      <c r="Z511" s="235">
        <v>8748.827782400198</v>
      </c>
    </row>
    <row r="512" spans="10:28" hidden="1" outlineLevel="1">
      <c r="J512" s="67"/>
      <c r="N512" t="s">
        <v>563</v>
      </c>
      <c r="P512" s="4" t="s">
        <v>1331</v>
      </c>
      <c r="Q512" s="352">
        <v>189564.85454545476</v>
      </c>
      <c r="R512" s="296" t="s">
        <v>804</v>
      </c>
      <c r="X512" s="142"/>
      <c r="Y512" s="142">
        <v>8748.8277824001998</v>
      </c>
      <c r="Z512" s="302"/>
    </row>
    <row r="513" spans="10:28" ht="15" hidden="1" outlineLevel="1" thickBot="1">
      <c r="J513" s="67"/>
      <c r="Q513" s="417">
        <v>7512.2017294557618</v>
      </c>
      <c r="Y513" s="142"/>
      <c r="Z513" s="302"/>
    </row>
    <row r="514" spans="10:28" ht="15" hidden="1" outlineLevel="1" thickBot="1">
      <c r="J514" s="67"/>
      <c r="K514" s="2" t="s">
        <v>606</v>
      </c>
      <c r="N514" s="9" t="s">
        <v>778</v>
      </c>
      <c r="Q514" s="322">
        <v>193264.85454545476</v>
      </c>
      <c r="S514" s="349">
        <v>22274.478029619844</v>
      </c>
      <c r="V514" s="2" t="s">
        <v>608</v>
      </c>
      <c r="W514" s="27">
        <v>31205.343825413369</v>
      </c>
      <c r="X514" s="6">
        <v>1236.6260529444369</v>
      </c>
      <c r="Y514" s="142">
        <v>-746.99042589685018</v>
      </c>
      <c r="Z514" s="302"/>
    </row>
    <row r="515" spans="10:28" hidden="1" outlineLevel="1">
      <c r="J515" s="67"/>
      <c r="K515" s="2" t="s">
        <v>607</v>
      </c>
      <c r="M515" s="2"/>
      <c r="Q515" s="417">
        <v>7658.8277824001989</v>
      </c>
      <c r="S515" s="289">
        <v>882.70778240019854</v>
      </c>
      <c r="V515" s="2" t="s">
        <v>609</v>
      </c>
      <c r="W515" s="27">
        <v>189564.85454545476</v>
      </c>
      <c r="X515" s="6">
        <v>7512.2017294557618</v>
      </c>
      <c r="Y515" s="142">
        <v>862.23468447004961</v>
      </c>
      <c r="Z515" s="302"/>
      <c r="AA515" s="2"/>
    </row>
    <row r="516" spans="10:28" hidden="1" outlineLevel="1">
      <c r="J516" s="67"/>
      <c r="N516" s="9" t="s">
        <v>779</v>
      </c>
      <c r="O516" s="9"/>
      <c r="Q516" s="28">
        <v>8748.8277824001998</v>
      </c>
      <c r="S516"/>
      <c r="T516"/>
      <c r="V516" s="2" t="s">
        <v>14</v>
      </c>
      <c r="W516" s="233">
        <v>220770.19837086814</v>
      </c>
      <c r="X516" s="6">
        <v>8748.827782400198</v>
      </c>
      <c r="Y516" s="161">
        <v>115.24425857319875</v>
      </c>
      <c r="Z516" s="302"/>
      <c r="AA516" s="2"/>
      <c r="AB516" s="28">
        <v>115.24425857320057</v>
      </c>
    </row>
    <row r="517" spans="10:28" hidden="1" outlineLevel="1">
      <c r="J517" s="67"/>
      <c r="Q517" s="417">
        <v>8748.827782400198</v>
      </c>
      <c r="S517"/>
      <c r="T517"/>
      <c r="Z517" s="302"/>
      <c r="AB517" s="82">
        <v>2908.1036293217653</v>
      </c>
    </row>
    <row r="518" spans="10:28" hidden="1" outlineLevel="1">
      <c r="J518" s="92"/>
      <c r="K518" s="87"/>
      <c r="L518" s="87"/>
      <c r="M518" s="87"/>
      <c r="N518" s="87"/>
      <c r="O518" s="87"/>
      <c r="P518" s="87"/>
      <c r="Q518" s="87"/>
      <c r="R518" s="87"/>
      <c r="S518" s="297"/>
      <c r="T518" s="297"/>
      <c r="U518" s="297"/>
      <c r="V518" s="297"/>
      <c r="W518" s="297"/>
      <c r="X518" s="87"/>
      <c r="Y518" s="87"/>
      <c r="Z518" s="88"/>
    </row>
    <row r="519" spans="10:28" hidden="1" outlineLevel="1"/>
    <row r="520" spans="10:28" hidden="1" outlineLevel="1"/>
    <row r="521" spans="10:28" hidden="1" outlineLevel="1">
      <c r="J521" s="332" t="s">
        <v>813</v>
      </c>
      <c r="K521" s="188"/>
      <c r="L521" s="188"/>
      <c r="M521" s="188"/>
      <c r="N521" s="188"/>
      <c r="O521" s="188"/>
      <c r="P521" s="188"/>
      <c r="Q521" s="188"/>
      <c r="R521" s="188" t="s">
        <v>578</v>
      </c>
      <c r="S521" s="293"/>
      <c r="T521" s="293"/>
      <c r="U521" s="293"/>
      <c r="V521" s="293"/>
      <c r="W521" s="293"/>
      <c r="X521" s="188" t="s">
        <v>75</v>
      </c>
      <c r="Y521" s="188"/>
      <c r="Z521" s="189"/>
    </row>
    <row r="522" spans="10:28" hidden="1" outlineLevel="1">
      <c r="J522" s="67"/>
      <c r="K522" t="s">
        <v>565</v>
      </c>
      <c r="L522" s="2"/>
      <c r="M522" s="2"/>
      <c r="N522" s="2"/>
      <c r="O522" s="2"/>
      <c r="P522" s="2"/>
      <c r="S522" s="2" t="s">
        <v>762</v>
      </c>
      <c r="T522" s="161">
        <v>7876.1200000000008</v>
      </c>
      <c r="U522" s="215">
        <v>-992.07999999999993</v>
      </c>
      <c r="W522" s="2" t="s">
        <v>565</v>
      </c>
      <c r="X522" s="215">
        <v>8868.2000000000007</v>
      </c>
      <c r="Y522" s="4" t="s">
        <v>1331</v>
      </c>
      <c r="Z522" s="68"/>
      <c r="AB522">
        <v>0</v>
      </c>
    </row>
    <row r="523" spans="10:28" hidden="1" outlineLevel="1">
      <c r="J523" s="67"/>
      <c r="K523" s="2" t="s">
        <v>76</v>
      </c>
      <c r="L523" s="4">
        <v>200</v>
      </c>
      <c r="M523" s="2"/>
      <c r="N523" s="2"/>
      <c r="O523" s="2"/>
      <c r="P523" s="2"/>
      <c r="W523" s="2" t="s">
        <v>563</v>
      </c>
      <c r="X523" s="353">
        <v>-6851.665890203767</v>
      </c>
      <c r="Y523" s="142">
        <v>658.79106930762919</v>
      </c>
      <c r="Z523" s="350">
        <v>-9378.1173248311206</v>
      </c>
    </row>
    <row r="524" spans="10:28" hidden="1" outlineLevel="1">
      <c r="J524" s="67"/>
      <c r="K524" s="2" t="s">
        <v>76</v>
      </c>
      <c r="L524" s="4">
        <v>100</v>
      </c>
      <c r="M524" s="2"/>
      <c r="N524" s="2"/>
      <c r="O524" s="2"/>
      <c r="P524" s="2"/>
      <c r="W524" s="2" t="s">
        <v>562</v>
      </c>
      <c r="X524" s="142">
        <v>2016.5341097962337</v>
      </c>
      <c r="Z524" s="350">
        <v>236649.85454545487</v>
      </c>
    </row>
    <row r="525" spans="10:28" hidden="1" outlineLevel="1">
      <c r="J525" s="67"/>
      <c r="K525" s="2" t="s">
        <v>76</v>
      </c>
      <c r="L525" s="4">
        <v>50</v>
      </c>
      <c r="M525" s="2"/>
      <c r="N525" s="2">
        <v>10</v>
      </c>
      <c r="O525" s="2"/>
      <c r="P525" s="2"/>
      <c r="Q525" s="4">
        <v>10</v>
      </c>
      <c r="X525" s="2"/>
      <c r="Z525" s="68"/>
    </row>
    <row r="526" spans="10:28" hidden="1" outlineLevel="1">
      <c r="J526" s="67"/>
      <c r="K526" s="2" t="s">
        <v>76</v>
      </c>
      <c r="L526" s="4">
        <v>20</v>
      </c>
      <c r="M526" s="2">
        <v>4</v>
      </c>
      <c r="N526" s="2"/>
      <c r="O526" s="2"/>
      <c r="P526" s="2"/>
      <c r="Q526" s="4">
        <v>4</v>
      </c>
      <c r="S526" s="350">
        <v>9398.2000000000025</v>
      </c>
      <c r="T526" s="353">
        <v>7276.1200000000008</v>
      </c>
      <c r="X526" s="2"/>
      <c r="Z526" s="351">
        <v>-6851.665890203767</v>
      </c>
    </row>
    <row r="527" spans="10:28" hidden="1" outlineLevel="1">
      <c r="J527" s="67"/>
      <c r="K527" s="2" t="s">
        <v>76</v>
      </c>
      <c r="L527" s="4">
        <v>10</v>
      </c>
      <c r="M527" s="2">
        <v>2</v>
      </c>
      <c r="N527" s="2"/>
      <c r="O527" s="2"/>
      <c r="P527" s="2"/>
      <c r="Q527" s="4">
        <v>2</v>
      </c>
      <c r="W527" s="2" t="s">
        <v>75</v>
      </c>
      <c r="X527" s="2">
        <v>600</v>
      </c>
      <c r="Z527" s="351">
        <v>172952.00000000026</v>
      </c>
    </row>
    <row r="528" spans="10:28" hidden="1" outlineLevel="1">
      <c r="J528" s="67"/>
      <c r="K528" s="4" t="s">
        <v>75</v>
      </c>
      <c r="M528" s="2">
        <v>100</v>
      </c>
      <c r="N528" s="2">
        <v>500</v>
      </c>
      <c r="O528" s="2">
        <v>0</v>
      </c>
      <c r="P528" s="2">
        <v>0</v>
      </c>
      <c r="Q528" s="4">
        <v>600</v>
      </c>
      <c r="W528" s="2" t="s">
        <v>77</v>
      </c>
      <c r="X528" s="14">
        <v>497.00956937799049</v>
      </c>
      <c r="Z528" s="68"/>
      <c r="AA528" s="121" t="s">
        <v>11</v>
      </c>
      <c r="AB528" s="240">
        <v>490</v>
      </c>
    </row>
    <row r="529" spans="10:28" hidden="1" outlineLevel="1">
      <c r="J529" s="67"/>
      <c r="M529" s="2"/>
      <c r="N529" s="2"/>
      <c r="O529" s="2"/>
      <c r="P529" s="2"/>
      <c r="W529" s="2" t="s">
        <v>562</v>
      </c>
      <c r="X529" s="14">
        <v>1097.0095693779904</v>
      </c>
      <c r="Z529" s="68"/>
      <c r="AA529" s="299" t="s">
        <v>587</v>
      </c>
      <c r="AB529" s="4">
        <v>3400</v>
      </c>
    </row>
    <row r="530" spans="10:28" hidden="1" outlineLevel="1">
      <c r="J530" s="67"/>
      <c r="K530" s="2" t="s">
        <v>76</v>
      </c>
      <c r="L530" s="4">
        <v>500</v>
      </c>
      <c r="M530" s="2"/>
      <c r="N530" s="2"/>
      <c r="O530" s="2"/>
      <c r="P530" s="2"/>
      <c r="Q530" s="4">
        <v>0</v>
      </c>
      <c r="S530" s="2" t="s">
        <v>571</v>
      </c>
      <c r="T530" s="4">
        <v>7276.1200000000008</v>
      </c>
      <c r="U530" s="4" t="s">
        <v>17</v>
      </c>
      <c r="X530" s="2"/>
      <c r="Z530" s="68"/>
      <c r="AA530" s="92"/>
      <c r="AB530" s="297">
        <v>4000</v>
      </c>
    </row>
    <row r="531" spans="10:28" hidden="1" outlineLevel="1">
      <c r="J531" s="67"/>
      <c r="K531" s="2" t="s">
        <v>76</v>
      </c>
      <c r="L531" s="4">
        <v>500</v>
      </c>
      <c r="M531" s="2">
        <v>24</v>
      </c>
      <c r="N531" s="2"/>
      <c r="O531" s="2"/>
      <c r="P531" s="2"/>
      <c r="Q531" s="4">
        <v>24</v>
      </c>
      <c r="T531" s="4">
        <v>183607.50671097866</v>
      </c>
      <c r="U531" s="4" t="s">
        <v>135</v>
      </c>
      <c r="X531" s="2"/>
      <c r="Z531" s="68"/>
    </row>
    <row r="532" spans="10:28" hidden="1" outlineLevel="1">
      <c r="J532" s="67"/>
      <c r="K532" s="2" t="s">
        <v>76</v>
      </c>
      <c r="L532" s="4">
        <v>200</v>
      </c>
      <c r="M532" s="2"/>
      <c r="N532" s="2"/>
      <c r="O532" s="2"/>
      <c r="P532" s="2">
        <v>1</v>
      </c>
      <c r="Q532" s="4">
        <v>1</v>
      </c>
      <c r="W532" s="2" t="s">
        <v>584</v>
      </c>
      <c r="X532" s="203">
        <v>-919.5245404182433</v>
      </c>
      <c r="Z532" s="68"/>
    </row>
    <row r="533" spans="10:28" hidden="1" outlineLevel="1">
      <c r="J533" s="67"/>
      <c r="K533" s="2" t="s">
        <v>76</v>
      </c>
      <c r="L533" s="4">
        <v>100</v>
      </c>
      <c r="M533" s="2"/>
      <c r="N533" s="2"/>
      <c r="O533" s="2"/>
      <c r="P533" s="2">
        <v>2</v>
      </c>
      <c r="Q533" s="4">
        <v>2</v>
      </c>
      <c r="Z533" s="68"/>
    </row>
    <row r="534" spans="10:28" hidden="1" outlineLevel="1">
      <c r="J534" s="67"/>
      <c r="K534" s="2" t="s">
        <v>76</v>
      </c>
      <c r="L534" s="4">
        <v>50</v>
      </c>
      <c r="M534" s="2"/>
      <c r="N534" s="2"/>
      <c r="O534" s="2"/>
      <c r="P534" s="2"/>
      <c r="Q534" s="4">
        <v>0</v>
      </c>
      <c r="Y534" s="2"/>
      <c r="Z534" s="68"/>
      <c r="AB534" t="s">
        <v>784</v>
      </c>
    </row>
    <row r="535" spans="10:28" hidden="1" outlineLevel="1">
      <c r="J535" s="67"/>
      <c r="K535" s="2" t="s">
        <v>76</v>
      </c>
      <c r="L535" s="4">
        <v>20</v>
      </c>
      <c r="M535" s="2"/>
      <c r="N535" s="2"/>
      <c r="O535" s="2"/>
      <c r="P535" s="2">
        <v>3</v>
      </c>
      <c r="Q535" s="4">
        <v>3</v>
      </c>
      <c r="X535" s="2"/>
      <c r="Y535" s="2"/>
      <c r="Z535" s="125"/>
      <c r="AB535" t="s">
        <v>785</v>
      </c>
    </row>
    <row r="536" spans="10:28" hidden="1" outlineLevel="1">
      <c r="J536" s="67"/>
      <c r="K536" s="2" t="s">
        <v>76</v>
      </c>
      <c r="L536" s="4">
        <v>10</v>
      </c>
      <c r="M536" s="2"/>
      <c r="N536" s="2"/>
      <c r="O536" s="2"/>
      <c r="P536" s="2"/>
      <c r="Q536" s="4">
        <v>0</v>
      </c>
      <c r="X536" s="4" t="s">
        <v>75</v>
      </c>
      <c r="Y536" s="4" t="s">
        <v>77</v>
      </c>
      <c r="Z536" s="126" t="s">
        <v>590</v>
      </c>
    </row>
    <row r="537" spans="10:28" hidden="1" outlineLevel="1">
      <c r="J537" s="67"/>
      <c r="K537" s="2" t="s">
        <v>76</v>
      </c>
      <c r="L537" s="4">
        <v>5</v>
      </c>
      <c r="M537" s="2"/>
      <c r="N537" s="2"/>
      <c r="O537" s="2"/>
      <c r="P537" s="2">
        <v>1</v>
      </c>
      <c r="Q537" s="4">
        <v>1</v>
      </c>
      <c r="V537" s="2" t="s">
        <v>588</v>
      </c>
      <c r="W537" s="2" t="s">
        <v>9</v>
      </c>
      <c r="X537" s="142">
        <v>600</v>
      </c>
      <c r="Y537" s="142">
        <v>15140.556234172498</v>
      </c>
      <c r="Z537" s="235">
        <v>600</v>
      </c>
    </row>
    <row r="538" spans="10:28" hidden="1" outlineLevel="1">
      <c r="J538" s="67"/>
      <c r="K538" s="2" t="s">
        <v>76</v>
      </c>
      <c r="L538" s="4">
        <v>2</v>
      </c>
      <c r="M538" s="2"/>
      <c r="N538" s="2"/>
      <c r="O538" s="2"/>
      <c r="P538" s="2"/>
      <c r="Q538" s="4">
        <v>0</v>
      </c>
      <c r="V538" s="2" t="s">
        <v>588</v>
      </c>
      <c r="W538" s="2" t="s">
        <v>135</v>
      </c>
      <c r="X538" s="142">
        <v>493.97128377092037</v>
      </c>
      <c r="Y538" s="142">
        <v>12465</v>
      </c>
      <c r="Z538" s="235">
        <v>493.97128377092037</v>
      </c>
    </row>
    <row r="539" spans="10:28" hidden="1" outlineLevel="1">
      <c r="J539" s="67"/>
      <c r="K539" s="4" t="s">
        <v>77</v>
      </c>
      <c r="M539" s="2">
        <v>12000</v>
      </c>
      <c r="N539" s="2">
        <v>0</v>
      </c>
      <c r="O539" s="2">
        <v>0</v>
      </c>
      <c r="P539" s="2">
        <v>465</v>
      </c>
      <c r="Q539" s="4">
        <v>12465</v>
      </c>
      <c r="V539" s="2" t="s">
        <v>589</v>
      </c>
      <c r="W539" s="2" t="s">
        <v>135</v>
      </c>
      <c r="X539" s="142">
        <v>6851.665890203767</v>
      </c>
      <c r="Y539" s="142">
        <v>172952.00000000026</v>
      </c>
      <c r="Z539" s="235">
        <v>6853.8565159044001</v>
      </c>
    </row>
    <row r="540" spans="10:28" hidden="1" outlineLevel="1">
      <c r="J540" s="67"/>
      <c r="Q540" s="311">
        <v>493.97128377092037</v>
      </c>
      <c r="V540" s="2" t="s">
        <v>780</v>
      </c>
      <c r="X540" s="142">
        <v>7945.6371739746874</v>
      </c>
      <c r="Y540" s="142">
        <v>200557.55623417275</v>
      </c>
      <c r="Z540" s="235">
        <v>7947.8277996753204</v>
      </c>
    </row>
    <row r="541" spans="10:28" hidden="1" outlineLevel="1">
      <c r="J541" s="67"/>
      <c r="N541" t="s">
        <v>563</v>
      </c>
      <c r="P541" s="4" t="s">
        <v>1331</v>
      </c>
      <c r="Q541" s="352">
        <v>172952.00000000026</v>
      </c>
      <c r="R541" s="296" t="s">
        <v>813</v>
      </c>
      <c r="X541" s="142"/>
      <c r="Y541" s="142">
        <v>7947.8277996753204</v>
      </c>
      <c r="Z541" s="302"/>
    </row>
    <row r="542" spans="10:28" ht="15" hidden="1" outlineLevel="1" thickBot="1">
      <c r="J542" s="67"/>
      <c r="Q542" s="417">
        <v>6853.8565159044001</v>
      </c>
      <c r="Y542" s="142"/>
      <c r="Z542" s="302"/>
    </row>
    <row r="543" spans="10:28" ht="15" hidden="1" outlineLevel="1" thickBot="1">
      <c r="J543" s="67"/>
      <c r="K543" s="2" t="s">
        <v>606</v>
      </c>
      <c r="N543" s="9" t="s">
        <v>778</v>
      </c>
      <c r="Q543" s="322">
        <v>185417.00000000026</v>
      </c>
      <c r="S543" s="349">
        <v>1809.4932890216005</v>
      </c>
      <c r="V543" s="2" t="s">
        <v>608</v>
      </c>
      <c r="W543" s="27">
        <v>27605.556234172498</v>
      </c>
      <c r="X543" s="6">
        <v>1093.9712837709203</v>
      </c>
      <c r="Y543" s="142">
        <v>-142.65476917351657</v>
      </c>
      <c r="Z543" s="302"/>
    </row>
    <row r="544" spans="10:28" hidden="1" outlineLevel="1">
      <c r="J544" s="67"/>
      <c r="K544" s="2" t="s">
        <v>607</v>
      </c>
      <c r="M544" s="2"/>
      <c r="Q544" s="417">
        <v>7347.8277996753204</v>
      </c>
      <c r="S544" s="289">
        <v>71.707799675320103</v>
      </c>
      <c r="V544" s="2" t="s">
        <v>609</v>
      </c>
      <c r="W544" s="27">
        <v>172952.00000000026</v>
      </c>
      <c r="X544" s="6">
        <v>6853.8565159044001</v>
      </c>
      <c r="Y544" s="142">
        <v>-658.34521355136167</v>
      </c>
      <c r="Z544" s="302"/>
      <c r="AA544" s="2"/>
    </row>
    <row r="545" spans="10:28" hidden="1" outlineLevel="1">
      <c r="J545" s="67"/>
      <c r="N545" s="9" t="s">
        <v>779</v>
      </c>
      <c r="O545" s="9"/>
      <c r="Q545" s="28">
        <v>7947.8277996753204</v>
      </c>
      <c r="S545"/>
      <c r="T545"/>
      <c r="V545" s="2" t="s">
        <v>14</v>
      </c>
      <c r="W545" s="233">
        <v>200557.55623417275</v>
      </c>
      <c r="X545" s="6">
        <v>7947.8277996753204</v>
      </c>
      <c r="Y545" s="161">
        <v>-800.99998272487755</v>
      </c>
      <c r="Z545" s="302"/>
      <c r="AA545" s="2"/>
      <c r="AB545" s="28">
        <v>-800.99998272487937</v>
      </c>
    </row>
    <row r="546" spans="10:28" hidden="1" outlineLevel="1">
      <c r="J546" s="67"/>
      <c r="Q546" s="417">
        <v>7947.8277996753204</v>
      </c>
      <c r="S546"/>
      <c r="T546"/>
      <c r="Z546" s="302"/>
      <c r="AB546" s="82">
        <v>-20212.642136695391</v>
      </c>
    </row>
    <row r="547" spans="10:28" hidden="1" outlineLevel="1">
      <c r="J547" s="92"/>
      <c r="K547" s="87"/>
      <c r="L547" s="87"/>
      <c r="M547" s="87"/>
      <c r="N547" s="87"/>
      <c r="O547" s="87"/>
      <c r="P547" s="87"/>
      <c r="Q547" s="87"/>
      <c r="R547" s="87"/>
      <c r="S547" s="297"/>
      <c r="T547" s="297"/>
      <c r="U547" s="297"/>
      <c r="V547" s="297"/>
      <c r="W547" s="297"/>
      <c r="X547" s="87"/>
      <c r="Y547" s="87"/>
      <c r="Z547" s="88"/>
    </row>
    <row r="548" spans="10:28" hidden="1" outlineLevel="1" collapsed="1"/>
    <row r="549" spans="10:28" hidden="1" outlineLevel="1"/>
    <row r="550" spans="10:28" hidden="1" outlineLevel="1" collapsed="1">
      <c r="J550" s="332" t="s">
        <v>836</v>
      </c>
      <c r="K550" s="188"/>
      <c r="L550" s="188"/>
      <c r="M550" s="188"/>
      <c r="N550" s="188"/>
      <c r="O550" s="188"/>
      <c r="P550" s="188"/>
      <c r="Q550" s="188"/>
      <c r="R550" s="188" t="s">
        <v>578</v>
      </c>
      <c r="S550" s="293"/>
      <c r="T550" s="293"/>
      <c r="U550" s="293"/>
      <c r="V550" s="293"/>
      <c r="W550" s="293"/>
      <c r="X550" s="188" t="s">
        <v>75</v>
      </c>
      <c r="Y550" s="188"/>
      <c r="Z550" s="189"/>
    </row>
    <row r="551" spans="10:28" hidden="1" outlineLevel="1">
      <c r="J551" s="67"/>
      <c r="K551" t="s">
        <v>565</v>
      </c>
      <c r="L551" s="2"/>
      <c r="M551" s="2"/>
      <c r="N551" s="2"/>
      <c r="O551" s="2"/>
      <c r="P551" s="2"/>
      <c r="S551" s="2" t="s">
        <v>762</v>
      </c>
      <c r="T551" s="161">
        <v>8876.1200000000008</v>
      </c>
      <c r="U551" s="215">
        <v>-992.07999999999993</v>
      </c>
      <c r="W551" s="2" t="s">
        <v>565</v>
      </c>
      <c r="X551" s="215">
        <v>9868.2000000000007</v>
      </c>
      <c r="Y551" s="4" t="s">
        <v>1331</v>
      </c>
      <c r="Z551" s="68"/>
      <c r="AB551">
        <v>0</v>
      </c>
    </row>
    <row r="552" spans="10:28" hidden="1" outlineLevel="1">
      <c r="J552" s="67"/>
      <c r="K552" s="2" t="s">
        <v>76</v>
      </c>
      <c r="L552" s="4">
        <v>200</v>
      </c>
      <c r="M552" s="2"/>
      <c r="N552" s="2"/>
      <c r="O552" s="2"/>
      <c r="P552" s="2"/>
      <c r="W552" s="2" t="s">
        <v>563</v>
      </c>
      <c r="X552" s="353">
        <v>-7860.4569244170771</v>
      </c>
      <c r="Y552" s="142">
        <v>-1008.79103421331</v>
      </c>
      <c r="Z552" s="350">
        <v>-9378.1173248311206</v>
      </c>
    </row>
    <row r="553" spans="10:28" hidden="1" outlineLevel="1">
      <c r="J553" s="67"/>
      <c r="K553" s="2" t="s">
        <v>76</v>
      </c>
      <c r="L553" s="4">
        <v>100</v>
      </c>
      <c r="M553" s="2"/>
      <c r="N553" s="2">
        <v>7</v>
      </c>
      <c r="O553" s="2"/>
      <c r="P553" s="2"/>
      <c r="W553" s="4" t="s">
        <v>839</v>
      </c>
      <c r="X553" s="142">
        <v>2007.7430755829237</v>
      </c>
      <c r="Z553" s="350">
        <v>236649.85454545487</v>
      </c>
    </row>
    <row r="554" spans="10:28" hidden="1" outlineLevel="1">
      <c r="J554" s="67"/>
      <c r="K554" s="2" t="s">
        <v>76</v>
      </c>
      <c r="L554" s="4">
        <v>50</v>
      </c>
      <c r="M554" s="2">
        <v>1</v>
      </c>
      <c r="N554" s="2"/>
      <c r="O554" s="2"/>
      <c r="P554" s="2"/>
      <c r="Q554" s="4">
        <v>1</v>
      </c>
      <c r="X554" s="2"/>
      <c r="Z554" s="68"/>
    </row>
    <row r="555" spans="10:28" hidden="1" outlineLevel="1">
      <c r="J555" s="67"/>
      <c r="K555" s="2" t="s">
        <v>76</v>
      </c>
      <c r="L555" s="4">
        <v>20</v>
      </c>
      <c r="M555" s="2">
        <v>4</v>
      </c>
      <c r="N555" s="2"/>
      <c r="O555" s="2"/>
      <c r="P555" s="2"/>
      <c r="Q555" s="4">
        <v>4</v>
      </c>
      <c r="S555" s="350">
        <v>9398.2000000000025</v>
      </c>
      <c r="T555" s="353">
        <v>8026.1200000000008</v>
      </c>
      <c r="X555" s="2"/>
      <c r="Z555" s="351">
        <v>-7860.4569244170771</v>
      </c>
    </row>
    <row r="556" spans="10:28" hidden="1" outlineLevel="1">
      <c r="J556" s="67"/>
      <c r="K556" s="2" t="s">
        <v>76</v>
      </c>
      <c r="L556" s="4">
        <v>10</v>
      </c>
      <c r="M556" s="2">
        <v>2</v>
      </c>
      <c r="N556" s="2"/>
      <c r="O556" s="2"/>
      <c r="P556" s="2"/>
      <c r="Q556" s="4">
        <v>2</v>
      </c>
      <c r="W556" s="2" t="s">
        <v>75</v>
      </c>
      <c r="X556" s="2">
        <v>850</v>
      </c>
      <c r="Z556" s="351">
        <v>198398.85454545476</v>
      </c>
    </row>
    <row r="557" spans="10:28" hidden="1" outlineLevel="1">
      <c r="J557" s="67"/>
      <c r="K557" s="4" t="s">
        <v>75</v>
      </c>
      <c r="M557" s="2">
        <v>150</v>
      </c>
      <c r="N557" s="2">
        <v>700</v>
      </c>
      <c r="O557" s="2">
        <v>0</v>
      </c>
      <c r="P557" s="2">
        <v>0</v>
      </c>
      <c r="Q557" s="4">
        <v>850</v>
      </c>
      <c r="W557" s="2" t="s">
        <v>77</v>
      </c>
      <c r="X557" s="14">
        <v>225.67783094098885</v>
      </c>
      <c r="Z557" s="68"/>
      <c r="AA557" s="121" t="s">
        <v>11</v>
      </c>
      <c r="AB557" s="240">
        <v>-250</v>
      </c>
    </row>
    <row r="558" spans="10:28" hidden="1" outlineLevel="1">
      <c r="J558" s="67"/>
      <c r="M558" s="2"/>
      <c r="N558" s="2"/>
      <c r="O558" s="2"/>
      <c r="P558" s="2"/>
      <c r="W558" s="4" t="s">
        <v>838</v>
      </c>
      <c r="X558" s="14">
        <v>1075.6778309409888</v>
      </c>
      <c r="Z558" s="68"/>
      <c r="AA558" s="299" t="s">
        <v>587</v>
      </c>
      <c r="AB558" s="4">
        <v>3150</v>
      </c>
    </row>
    <row r="559" spans="10:28" hidden="1" outlineLevel="1">
      <c r="J559" s="67"/>
      <c r="K559" s="2" t="s">
        <v>76</v>
      </c>
      <c r="L559" s="4">
        <v>500</v>
      </c>
      <c r="M559" s="2"/>
      <c r="N559" s="2"/>
      <c r="O559" s="2"/>
      <c r="P559" s="2"/>
      <c r="Q559" s="4">
        <v>0</v>
      </c>
      <c r="S559" s="2" t="s">
        <v>571</v>
      </c>
      <c r="T559" s="4">
        <v>8026.1200000000008</v>
      </c>
      <c r="U559" s="4" t="s">
        <v>17</v>
      </c>
      <c r="X559" s="2"/>
      <c r="Z559" s="68"/>
      <c r="AA559" s="92"/>
      <c r="AB559" s="297">
        <v>4000</v>
      </c>
    </row>
    <row r="560" spans="10:28" hidden="1" outlineLevel="1">
      <c r="J560" s="67"/>
      <c r="K560" s="2" t="s">
        <v>76</v>
      </c>
      <c r="L560" s="4">
        <v>500</v>
      </c>
      <c r="M560" s="2">
        <v>11</v>
      </c>
      <c r="N560" s="2"/>
      <c r="O560" s="2"/>
      <c r="P560" s="2"/>
      <c r="Q560" s="4">
        <v>11</v>
      </c>
      <c r="T560" s="4">
        <v>202533.20200369428</v>
      </c>
      <c r="U560" s="4" t="s">
        <v>135</v>
      </c>
      <c r="X560" s="2"/>
      <c r="Z560" s="68"/>
    </row>
    <row r="561" spans="10:28" hidden="1" outlineLevel="1">
      <c r="J561" s="67"/>
      <c r="K561" s="2" t="s">
        <v>76</v>
      </c>
      <c r="L561" s="4">
        <v>200</v>
      </c>
      <c r="M561" s="2"/>
      <c r="N561" s="2"/>
      <c r="O561" s="2"/>
      <c r="P561" s="2"/>
      <c r="Q561" s="4">
        <v>0</v>
      </c>
      <c r="W561" s="2" t="s">
        <v>584</v>
      </c>
      <c r="X561" s="203">
        <v>-932.0652446419349</v>
      </c>
      <c r="Z561" s="68"/>
    </row>
    <row r="562" spans="10:28" hidden="1" outlineLevel="1">
      <c r="J562" s="67"/>
      <c r="K562" s="2" t="s">
        <v>76</v>
      </c>
      <c r="L562" s="4">
        <v>100</v>
      </c>
      <c r="M562" s="2"/>
      <c r="N562" s="2"/>
      <c r="O562" s="2"/>
      <c r="P562" s="2">
        <v>1</v>
      </c>
      <c r="Q562" s="4">
        <v>1</v>
      </c>
      <c r="S562" s="2" t="s">
        <v>842</v>
      </c>
      <c r="T562" s="28">
        <v>850</v>
      </c>
      <c r="Z562" s="68"/>
    </row>
    <row r="563" spans="10:28" hidden="1" outlineLevel="1">
      <c r="J563" s="67"/>
      <c r="K563" s="2" t="s">
        <v>76</v>
      </c>
      <c r="L563" s="4">
        <v>50</v>
      </c>
      <c r="M563" s="2"/>
      <c r="N563" s="2"/>
      <c r="O563" s="2"/>
      <c r="P563" s="2"/>
      <c r="Q563" s="4">
        <v>0</v>
      </c>
      <c r="Y563" s="2"/>
      <c r="Z563" s="68"/>
      <c r="AB563" t="s">
        <v>784</v>
      </c>
    </row>
    <row r="564" spans="10:28" hidden="1" outlineLevel="1">
      <c r="J564" s="67"/>
      <c r="K564" s="2" t="s">
        <v>76</v>
      </c>
      <c r="L564" s="4">
        <v>20</v>
      </c>
      <c r="M564" s="2"/>
      <c r="N564" s="2"/>
      <c r="O564" s="2"/>
      <c r="P564" s="2">
        <v>3</v>
      </c>
      <c r="Q564" s="4">
        <v>3</v>
      </c>
      <c r="X564" s="2"/>
      <c r="Y564" s="2"/>
      <c r="Z564" s="125"/>
      <c r="AB564" t="s">
        <v>785</v>
      </c>
    </row>
    <row r="565" spans="10:28" hidden="1" outlineLevel="1">
      <c r="J565" s="67"/>
      <c r="K565" s="2" t="s">
        <v>76</v>
      </c>
      <c r="L565" s="4">
        <v>10</v>
      </c>
      <c r="M565" s="2"/>
      <c r="N565" s="2"/>
      <c r="O565" s="2"/>
      <c r="P565" s="2"/>
      <c r="Q565" s="4">
        <v>0</v>
      </c>
      <c r="X565" s="4" t="s">
        <v>75</v>
      </c>
      <c r="Y565" s="4" t="s">
        <v>77</v>
      </c>
      <c r="Z565" s="126" t="s">
        <v>590</v>
      </c>
    </row>
    <row r="566" spans="10:28" hidden="1" outlineLevel="1">
      <c r="J566" s="67"/>
      <c r="K566" s="2" t="s">
        <v>76</v>
      </c>
      <c r="L566" s="4">
        <v>5</v>
      </c>
      <c r="M566" s="2"/>
      <c r="N566" s="2"/>
      <c r="O566" s="2"/>
      <c r="P566" s="2"/>
      <c r="Q566" s="4">
        <v>0</v>
      </c>
      <c r="V566" s="2" t="s">
        <v>588</v>
      </c>
      <c r="W566" s="2" t="s">
        <v>9</v>
      </c>
      <c r="X566" s="142">
        <v>850</v>
      </c>
      <c r="Y566" s="142">
        <v>21449.121331744373</v>
      </c>
      <c r="Z566" s="235">
        <v>850</v>
      </c>
    </row>
    <row r="567" spans="10:28" hidden="1" outlineLevel="1">
      <c r="J567" s="67"/>
      <c r="K567" s="2" t="s">
        <v>76</v>
      </c>
      <c r="L567" s="4">
        <v>2</v>
      </c>
      <c r="M567" s="2"/>
      <c r="N567" s="2"/>
      <c r="O567" s="2"/>
      <c r="P567" s="2"/>
      <c r="Q567" s="4">
        <v>0</v>
      </c>
      <c r="V567" s="2" t="s">
        <v>588</v>
      </c>
      <c r="W567" s="2" t="s">
        <v>135</v>
      </c>
      <c r="X567" s="142">
        <v>224.29823234203042</v>
      </c>
      <c r="Y567" s="142">
        <v>5660</v>
      </c>
      <c r="Z567" s="235">
        <v>224.29823234203042</v>
      </c>
    </row>
    <row r="568" spans="10:28" hidden="1" outlineLevel="1">
      <c r="J568" s="67"/>
      <c r="K568" s="4" t="s">
        <v>77</v>
      </c>
      <c r="M568" s="2">
        <v>5500</v>
      </c>
      <c r="N568" s="2">
        <v>0</v>
      </c>
      <c r="O568" s="2">
        <v>0</v>
      </c>
      <c r="P568" s="2">
        <v>160</v>
      </c>
      <c r="Q568" s="4">
        <v>5660</v>
      </c>
      <c r="V568" s="2" t="s">
        <v>589</v>
      </c>
      <c r="W568" s="2" t="s">
        <v>135</v>
      </c>
      <c r="X568" s="142">
        <v>7860.4569244170771</v>
      </c>
      <c r="Y568" s="142">
        <v>198398.85454545476</v>
      </c>
      <c r="Z568" s="235">
        <v>7862.2813380263442</v>
      </c>
    </row>
    <row r="569" spans="10:28" hidden="1" outlineLevel="1">
      <c r="J569" s="67"/>
      <c r="Q569" s="311">
        <v>224.29823234203042</v>
      </c>
      <c r="V569" s="2" t="s">
        <v>780</v>
      </c>
      <c r="X569" s="142">
        <v>8934.7551567591072</v>
      </c>
      <c r="Y569" s="142">
        <v>225507.97587719912</v>
      </c>
      <c r="Z569" s="235">
        <v>8936.5795703683743</v>
      </c>
    </row>
    <row r="570" spans="10:28" hidden="1" outlineLevel="1">
      <c r="J570" s="67"/>
      <c r="N570" t="s">
        <v>563</v>
      </c>
      <c r="P570" s="4" t="s">
        <v>1331</v>
      </c>
      <c r="Q570" s="352">
        <v>198398.85454545476</v>
      </c>
      <c r="R570" s="296" t="s">
        <v>836</v>
      </c>
      <c r="X570" s="142"/>
      <c r="Y570" s="142">
        <v>8936.5795703683743</v>
      </c>
      <c r="Z570" s="302"/>
    </row>
    <row r="571" spans="10:28" ht="15" hidden="1" outlineLevel="1" thickBot="1">
      <c r="J571" s="67"/>
      <c r="Q571" s="417">
        <v>7862.2813380263442</v>
      </c>
      <c r="Y571" s="142"/>
      <c r="Z571" s="302"/>
    </row>
    <row r="572" spans="10:28" ht="15" hidden="1" outlineLevel="1" thickBot="1">
      <c r="J572" s="67"/>
      <c r="N572" s="9" t="s">
        <v>778</v>
      </c>
      <c r="Q572" s="322">
        <v>204058.85454545476</v>
      </c>
      <c r="S572" s="349">
        <v>1525.6525417604716</v>
      </c>
      <c r="V572" s="2" t="s">
        <v>608</v>
      </c>
      <c r="W572" s="27">
        <v>27109.121331744373</v>
      </c>
      <c r="X572" s="6">
        <v>1074.2982323420306</v>
      </c>
      <c r="Y572" s="142">
        <v>-19.673051428889721</v>
      </c>
      <c r="Z572" s="302"/>
    </row>
    <row r="573" spans="10:28" hidden="1" outlineLevel="1">
      <c r="J573" s="67"/>
      <c r="M573" s="2"/>
      <c r="Q573" s="417">
        <v>8086.5795703683752</v>
      </c>
      <c r="S573" s="289">
        <v>60.459570368374479</v>
      </c>
      <c r="V573" s="2" t="s">
        <v>609</v>
      </c>
      <c r="W573" s="27">
        <v>198398.85454545476</v>
      </c>
      <c r="X573" s="6">
        <v>7862.2813380263442</v>
      </c>
      <c r="Y573" s="142">
        <v>1008.4248221219441</v>
      </c>
      <c r="Z573" s="302"/>
      <c r="AA573" s="2"/>
    </row>
    <row r="574" spans="10:28" hidden="1" outlineLevel="1">
      <c r="J574" s="67"/>
      <c r="N574" s="9" t="s">
        <v>779</v>
      </c>
      <c r="O574" s="9"/>
      <c r="Q574" s="28">
        <v>8936.5795703683762</v>
      </c>
      <c r="S574"/>
      <c r="T574"/>
      <c r="V574" s="2" t="s">
        <v>14</v>
      </c>
      <c r="W574" s="233">
        <v>225507.97587719912</v>
      </c>
      <c r="X574" s="6">
        <v>8936.5795703683743</v>
      </c>
      <c r="Y574" s="161">
        <v>988.75177069305391</v>
      </c>
      <c r="Z574" s="302"/>
      <c r="AA574" s="2"/>
      <c r="AB574" s="28">
        <v>988.75177069305573</v>
      </c>
    </row>
    <row r="575" spans="10:28" hidden="1" outlineLevel="1">
      <c r="J575" s="67"/>
      <c r="Q575" s="417">
        <v>8936.5795703683743</v>
      </c>
      <c r="S575"/>
      <c r="T575"/>
      <c r="Z575" s="302"/>
      <c r="AB575" s="82">
        <v>24950.419643026402</v>
      </c>
    </row>
    <row r="576" spans="10:28" hidden="1" outlineLevel="1">
      <c r="J576" s="92"/>
      <c r="K576" s="87"/>
      <c r="L576" s="87"/>
      <c r="M576" s="87"/>
      <c r="N576" s="87"/>
      <c r="O576" s="87"/>
      <c r="P576" s="87"/>
      <c r="Q576" s="87"/>
      <c r="R576" s="87"/>
      <c r="S576" s="297"/>
      <c r="T576" s="297"/>
      <c r="U576" s="297"/>
      <c r="V576" s="297"/>
      <c r="W576" s="297"/>
      <c r="X576" s="87"/>
      <c r="Y576" s="87"/>
      <c r="Z576" s="88"/>
    </row>
    <row r="577" spans="10:28" hidden="1" outlineLevel="1"/>
    <row r="578" spans="10:28" hidden="1" outlineLevel="1"/>
    <row r="579" spans="10:28" hidden="1" outlineLevel="1">
      <c r="J579" s="332" t="s">
        <v>843</v>
      </c>
      <c r="K579" s="188"/>
      <c r="L579" s="188"/>
      <c r="M579" s="188"/>
      <c r="N579" s="188"/>
      <c r="O579" s="188"/>
      <c r="P579" s="188"/>
      <c r="Q579" s="188"/>
      <c r="R579" s="188" t="s">
        <v>578</v>
      </c>
      <c r="S579" s="293"/>
      <c r="T579" s="293"/>
      <c r="U579" s="293"/>
      <c r="V579" s="293"/>
      <c r="W579" s="293"/>
      <c r="X579" s="188" t="s">
        <v>75</v>
      </c>
      <c r="Y579" s="188"/>
      <c r="Z579" s="189"/>
    </row>
    <row r="580" spans="10:28" hidden="1" outlineLevel="1">
      <c r="J580" s="67"/>
      <c r="K580" t="s">
        <v>565</v>
      </c>
      <c r="L580" s="2"/>
      <c r="M580" s="2"/>
      <c r="N580" s="2"/>
      <c r="O580" s="2"/>
      <c r="P580" s="2"/>
      <c r="S580" s="2" t="s">
        <v>762</v>
      </c>
      <c r="T580" s="161">
        <v>8876.1200000000008</v>
      </c>
      <c r="U580" s="215">
        <v>-992.07999999999993</v>
      </c>
      <c r="W580" s="2" t="s">
        <v>565</v>
      </c>
      <c r="X580" s="215">
        <v>9868.2000000000007</v>
      </c>
      <c r="Y580" s="4" t="s">
        <v>1331</v>
      </c>
      <c r="Z580" s="68"/>
      <c r="AB580">
        <v>0</v>
      </c>
    </row>
    <row r="581" spans="10:28" hidden="1" outlineLevel="1">
      <c r="J581" s="67"/>
      <c r="K581" s="2" t="s">
        <v>76</v>
      </c>
      <c r="L581" s="4">
        <v>200</v>
      </c>
      <c r="M581" s="2"/>
      <c r="N581" s="2"/>
      <c r="O581" s="2"/>
      <c r="P581" s="2"/>
      <c r="W581" s="2" t="s">
        <v>563</v>
      </c>
      <c r="X581" s="353">
        <v>-8023.4910322403448</v>
      </c>
      <c r="Y581" s="142">
        <v>-163.03410782326773</v>
      </c>
      <c r="Z581" s="350">
        <v>-9378.1173248311206</v>
      </c>
    </row>
    <row r="582" spans="10:28" hidden="1" outlineLevel="1">
      <c r="J582" s="67"/>
      <c r="K582" s="2" t="s">
        <v>76</v>
      </c>
      <c r="L582" s="4">
        <v>100</v>
      </c>
      <c r="M582" s="2"/>
      <c r="N582" s="2">
        <v>7</v>
      </c>
      <c r="O582" s="2"/>
      <c r="P582" s="2"/>
      <c r="W582" s="4" t="s">
        <v>839</v>
      </c>
      <c r="X582" s="142">
        <v>1844.7089677596559</v>
      </c>
      <c r="Z582" s="350">
        <v>236649.85454545487</v>
      </c>
    </row>
    <row r="583" spans="10:28" hidden="1" outlineLevel="1">
      <c r="J583" s="67"/>
      <c r="K583" s="2" t="s">
        <v>76</v>
      </c>
      <c r="L583" s="4">
        <v>50</v>
      </c>
      <c r="M583" s="2">
        <v>1</v>
      </c>
      <c r="N583" s="2"/>
      <c r="O583" s="2"/>
      <c r="P583" s="2"/>
      <c r="Q583" s="4">
        <v>1</v>
      </c>
      <c r="X583" s="2"/>
      <c r="Z583" s="68"/>
    </row>
    <row r="584" spans="10:28" hidden="1" outlineLevel="1">
      <c r="J584" s="67"/>
      <c r="K584" s="2" t="s">
        <v>76</v>
      </c>
      <c r="L584" s="4">
        <v>20</v>
      </c>
      <c r="M584" s="2">
        <v>4</v>
      </c>
      <c r="N584" s="2"/>
      <c r="O584" s="2"/>
      <c r="P584" s="2"/>
      <c r="Q584" s="4">
        <v>4</v>
      </c>
      <c r="S584" s="350">
        <v>9398.2000000000025</v>
      </c>
      <c r="T584" s="353">
        <v>8026.1200000000008</v>
      </c>
      <c r="X584" s="2"/>
      <c r="Z584" s="351">
        <v>-8023.4910322403448</v>
      </c>
    </row>
    <row r="585" spans="10:28" hidden="1" outlineLevel="1">
      <c r="J585" s="67"/>
      <c r="K585" s="2" t="s">
        <v>76</v>
      </c>
      <c r="L585" s="4">
        <v>10</v>
      </c>
      <c r="M585" s="2">
        <v>2</v>
      </c>
      <c r="N585" s="2"/>
      <c r="O585" s="2"/>
      <c r="P585" s="2"/>
      <c r="Q585" s="4">
        <v>2</v>
      </c>
      <c r="W585" s="2" t="s">
        <v>75</v>
      </c>
      <c r="X585" s="2">
        <v>850</v>
      </c>
      <c r="Z585" s="351">
        <v>202513.85454545479</v>
      </c>
    </row>
    <row r="586" spans="10:28" hidden="1" outlineLevel="1">
      <c r="J586" s="67"/>
      <c r="K586" s="4" t="s">
        <v>75</v>
      </c>
      <c r="M586" s="2">
        <v>150</v>
      </c>
      <c r="N586" s="2">
        <v>700</v>
      </c>
      <c r="O586" s="2">
        <v>0</v>
      </c>
      <c r="P586" s="2">
        <v>0</v>
      </c>
      <c r="Q586" s="4">
        <v>850</v>
      </c>
      <c r="W586" s="2" t="s">
        <v>77</v>
      </c>
      <c r="X586" s="14">
        <v>27.910685805422649</v>
      </c>
      <c r="Z586" s="68"/>
      <c r="AA586" s="121" t="s">
        <v>11</v>
      </c>
      <c r="AB586" s="240">
        <v>0</v>
      </c>
    </row>
    <row r="587" spans="10:28" hidden="1" outlineLevel="1">
      <c r="J587" s="67"/>
      <c r="M587" s="2"/>
      <c r="N587" s="2"/>
      <c r="O587" s="2"/>
      <c r="P587" s="2"/>
      <c r="W587" s="4" t="s">
        <v>838</v>
      </c>
      <c r="X587" s="14">
        <v>877.91068580542264</v>
      </c>
      <c r="Z587" s="68"/>
      <c r="AA587" s="299" t="s">
        <v>587</v>
      </c>
      <c r="AB587" s="4">
        <v>3150</v>
      </c>
    </row>
    <row r="588" spans="10:28" hidden="1" outlineLevel="1">
      <c r="J588" s="67"/>
      <c r="K588" s="2" t="s">
        <v>76</v>
      </c>
      <c r="L588" s="4">
        <v>500</v>
      </c>
      <c r="M588" s="2"/>
      <c r="N588" s="2"/>
      <c r="O588" s="2"/>
      <c r="P588" s="2"/>
      <c r="Q588" s="4">
        <v>0</v>
      </c>
      <c r="S588" s="2" t="s">
        <v>571</v>
      </c>
      <c r="T588" s="4">
        <v>8026.1200000000008</v>
      </c>
      <c r="U588" s="4" t="s">
        <v>17</v>
      </c>
      <c r="X588" s="2"/>
      <c r="Z588" s="68"/>
      <c r="AA588" s="92"/>
      <c r="AB588" s="297">
        <v>4000</v>
      </c>
    </row>
    <row r="589" spans="10:28" hidden="1" outlineLevel="1">
      <c r="J589" s="67"/>
      <c r="K589" s="2" t="s">
        <v>76</v>
      </c>
      <c r="L589" s="4">
        <v>500</v>
      </c>
      <c r="M589" s="2">
        <v>1</v>
      </c>
      <c r="N589" s="2"/>
      <c r="O589" s="2"/>
      <c r="P589" s="2"/>
      <c r="Q589" s="4">
        <v>1</v>
      </c>
      <c r="T589" s="4">
        <v>202533.20200369428</v>
      </c>
      <c r="U589" s="4" t="s">
        <v>135</v>
      </c>
      <c r="X589" s="2"/>
      <c r="Z589" s="68"/>
    </row>
    <row r="590" spans="10:28" hidden="1" outlineLevel="1">
      <c r="J590" s="67"/>
      <c r="K590" s="2" t="s">
        <v>76</v>
      </c>
      <c r="L590" s="4">
        <v>200</v>
      </c>
      <c r="M590" s="2"/>
      <c r="N590" s="2"/>
      <c r="O590" s="2"/>
      <c r="P590" s="2"/>
      <c r="Q590" s="4">
        <v>0</v>
      </c>
      <c r="W590" s="2" t="s">
        <v>584</v>
      </c>
      <c r="X590" s="203">
        <v>-966.79828195423329</v>
      </c>
      <c r="Z590" s="68"/>
    </row>
    <row r="591" spans="10:28" hidden="1" outlineLevel="1">
      <c r="J591" s="67"/>
      <c r="K591" s="2" t="s">
        <v>76</v>
      </c>
      <c r="L591" s="4">
        <v>100</v>
      </c>
      <c r="M591" s="2"/>
      <c r="N591" s="2"/>
      <c r="O591" s="2"/>
      <c r="P591" s="2">
        <v>1</v>
      </c>
      <c r="Q591" s="4">
        <v>1</v>
      </c>
      <c r="S591" s="2" t="s">
        <v>842</v>
      </c>
      <c r="T591" s="28">
        <v>850</v>
      </c>
      <c r="Z591" s="68"/>
    </row>
    <row r="592" spans="10:28" hidden="1" outlineLevel="1">
      <c r="J592" s="67"/>
      <c r="K592" s="2" t="s">
        <v>76</v>
      </c>
      <c r="L592" s="4">
        <v>50</v>
      </c>
      <c r="M592" s="2"/>
      <c r="N592" s="2"/>
      <c r="O592" s="2"/>
      <c r="P592" s="2">
        <v>2</v>
      </c>
      <c r="Q592" s="4">
        <v>2</v>
      </c>
      <c r="Y592" s="2"/>
      <c r="Z592" s="68"/>
      <c r="AB592" t="s">
        <v>784</v>
      </c>
    </row>
    <row r="593" spans="10:28" hidden="1" outlineLevel="1">
      <c r="J593" s="67"/>
      <c r="K593" s="2" t="s">
        <v>76</v>
      </c>
      <c r="L593" s="4">
        <v>20</v>
      </c>
      <c r="M593" s="2"/>
      <c r="N593" s="2"/>
      <c r="O593" s="2"/>
      <c r="P593" s="2"/>
      <c r="Q593" s="4">
        <v>0</v>
      </c>
      <c r="X593" s="2"/>
      <c r="Y593" s="2"/>
      <c r="Z593" s="125"/>
      <c r="AB593" t="s">
        <v>785</v>
      </c>
    </row>
    <row r="594" spans="10:28" hidden="1" outlineLevel="1">
      <c r="J594" s="67"/>
      <c r="K594" s="2" t="s">
        <v>76</v>
      </c>
      <c r="L594" s="4">
        <v>10</v>
      </c>
      <c r="M594" s="2"/>
      <c r="N594" s="2"/>
      <c r="O594" s="2"/>
      <c r="P594" s="2"/>
      <c r="Q594" s="4">
        <v>0</v>
      </c>
      <c r="X594" s="4" t="s">
        <v>75</v>
      </c>
      <c r="Y594" s="4" t="s">
        <v>77</v>
      </c>
      <c r="Z594" s="126" t="s">
        <v>590</v>
      </c>
    </row>
    <row r="595" spans="10:28" hidden="1" outlineLevel="1">
      <c r="J595" s="67"/>
      <c r="K595" s="2" t="s">
        <v>76</v>
      </c>
      <c r="L595" s="4">
        <v>5</v>
      </c>
      <c r="M595" s="2"/>
      <c r="N595" s="2"/>
      <c r="O595" s="2"/>
      <c r="P595" s="2"/>
      <c r="Q595" s="4">
        <v>0</v>
      </c>
      <c r="V595" s="2" t="s">
        <v>588</v>
      </c>
      <c r="W595" s="2" t="s">
        <v>9</v>
      </c>
      <c r="X595" s="142">
        <v>850</v>
      </c>
      <c r="Y595" s="142">
        <v>21449.121331744373</v>
      </c>
      <c r="Z595" s="235">
        <v>850</v>
      </c>
    </row>
    <row r="596" spans="10:28" hidden="1" outlineLevel="1">
      <c r="J596" s="67"/>
      <c r="K596" s="2" t="s">
        <v>76</v>
      </c>
      <c r="L596" s="4">
        <v>2</v>
      </c>
      <c r="M596" s="2"/>
      <c r="N596" s="2"/>
      <c r="O596" s="2"/>
      <c r="P596" s="2"/>
      <c r="Q596" s="4">
        <v>0</v>
      </c>
      <c r="V596" s="2" t="s">
        <v>588</v>
      </c>
      <c r="W596" s="2" t="s">
        <v>135</v>
      </c>
      <c r="X596" s="142">
        <v>27.740064070569133</v>
      </c>
      <c r="Y596" s="142">
        <v>700</v>
      </c>
      <c r="Z596" s="235">
        <v>27.740064070569133</v>
      </c>
    </row>
    <row r="597" spans="10:28" hidden="1" outlineLevel="1">
      <c r="J597" s="67"/>
      <c r="K597" s="4" t="s">
        <v>77</v>
      </c>
      <c r="M597" s="2">
        <v>500</v>
      </c>
      <c r="N597" s="460" t="s">
        <v>846</v>
      </c>
      <c r="O597" s="2">
        <v>0</v>
      </c>
      <c r="P597" s="2">
        <v>200</v>
      </c>
      <c r="Q597" s="4">
        <v>700</v>
      </c>
      <c r="V597" s="2" t="s">
        <v>589</v>
      </c>
      <c r="W597" s="2" t="s">
        <v>135</v>
      </c>
      <c r="X597" s="142">
        <v>8023.4910322403448</v>
      </c>
      <c r="Y597" s="142">
        <v>202513.85454545479</v>
      </c>
      <c r="Z597" s="235">
        <v>8025.3532860983341</v>
      </c>
    </row>
    <row r="598" spans="10:28" hidden="1" outlineLevel="1">
      <c r="J598" s="67"/>
      <c r="Q598" s="311">
        <v>27.740064070569133</v>
      </c>
      <c r="V598" s="2" t="s">
        <v>780</v>
      </c>
      <c r="X598" s="142">
        <v>8901.2310963109139</v>
      </c>
      <c r="Y598" s="142">
        <v>224662.97587719915</v>
      </c>
      <c r="Z598" s="235">
        <v>8903.0933501689033</v>
      </c>
    </row>
    <row r="599" spans="10:28" hidden="1" outlineLevel="1">
      <c r="J599" s="67"/>
      <c r="N599" t="s">
        <v>563</v>
      </c>
      <c r="P599" s="4" t="s">
        <v>1331</v>
      </c>
      <c r="Q599" s="352">
        <v>202513.85454545479</v>
      </c>
      <c r="R599" s="296" t="s">
        <v>843</v>
      </c>
      <c r="X599" s="142"/>
      <c r="Y599" s="142">
        <v>8903.0933501689033</v>
      </c>
      <c r="Z599" s="302"/>
    </row>
    <row r="600" spans="10:28" ht="15" hidden="1" outlineLevel="1" thickBot="1">
      <c r="J600" s="67"/>
      <c r="Q600" s="417">
        <v>8025.3532860983341</v>
      </c>
      <c r="Y600" s="142"/>
      <c r="Z600" s="302"/>
    </row>
    <row r="601" spans="10:28" ht="15" hidden="1" outlineLevel="1" thickBot="1">
      <c r="J601" s="67"/>
      <c r="N601" s="9" t="s">
        <v>778</v>
      </c>
      <c r="Q601" s="322">
        <v>203213.85454545479</v>
      </c>
      <c r="S601" s="349">
        <v>680.65254176050075</v>
      </c>
      <c r="V601" s="2" t="s">
        <v>608</v>
      </c>
      <c r="W601" s="27">
        <v>22149.121331744373</v>
      </c>
      <c r="X601" s="6">
        <v>877.74006407056913</v>
      </c>
      <c r="Y601" s="142">
        <v>-196.55816827146145</v>
      </c>
      <c r="Z601" s="302"/>
    </row>
    <row r="602" spans="10:28" hidden="1" outlineLevel="1">
      <c r="J602" s="67"/>
      <c r="M602" s="2"/>
      <c r="Q602" s="417">
        <v>8053.0933501689033</v>
      </c>
      <c r="S602" s="289">
        <v>26.97335016890289</v>
      </c>
      <c r="V602" s="2" t="s">
        <v>609</v>
      </c>
      <c r="W602" s="27">
        <v>202513.85454545479</v>
      </c>
      <c r="X602" s="6">
        <v>8025.3532860983341</v>
      </c>
      <c r="Y602" s="142">
        <v>163.07194807198994</v>
      </c>
      <c r="Z602" s="302"/>
      <c r="AA602" s="2"/>
    </row>
    <row r="603" spans="10:28" hidden="1" outlineLevel="1">
      <c r="J603" s="67"/>
      <c r="N603" s="9" t="s">
        <v>779</v>
      </c>
      <c r="O603" s="9"/>
      <c r="Q603" s="28">
        <v>8903.0933501689033</v>
      </c>
      <c r="S603"/>
      <c r="T603"/>
      <c r="V603" s="2" t="s">
        <v>14</v>
      </c>
      <c r="W603" s="233">
        <v>224662.97587719915</v>
      </c>
      <c r="X603" s="6">
        <v>8903.0933501689033</v>
      </c>
      <c r="Y603" s="161">
        <v>-33.486220199471063</v>
      </c>
      <c r="Z603" s="302"/>
      <c r="AA603" s="2"/>
      <c r="AB603" s="28">
        <v>-33.486220199472882</v>
      </c>
    </row>
    <row r="604" spans="10:28" hidden="1" outlineLevel="1">
      <c r="J604" s="67"/>
      <c r="K604" s="459" t="s">
        <v>847</v>
      </c>
      <c r="Q604" s="417">
        <v>8903.0933501689033</v>
      </c>
      <c r="S604"/>
      <c r="T604"/>
      <c r="Z604" s="302"/>
      <c r="AB604" s="82">
        <v>-845.00000000000364</v>
      </c>
    </row>
    <row r="605" spans="10:28" hidden="1" outlineLevel="1">
      <c r="J605" s="92"/>
      <c r="K605" s="461" t="s">
        <v>850</v>
      </c>
      <c r="L605" s="87"/>
      <c r="M605" s="87"/>
      <c r="N605" s="87"/>
      <c r="O605" s="87"/>
      <c r="P605" s="87"/>
      <c r="Q605" s="87"/>
      <c r="R605" s="87"/>
      <c r="S605" s="297"/>
      <c r="T605" s="297"/>
      <c r="U605" s="297"/>
      <c r="V605" s="297"/>
      <c r="W605" s="297"/>
      <c r="X605" s="87"/>
      <c r="Y605" s="87"/>
      <c r="Z605" s="88"/>
    </row>
    <row r="606" spans="10:28" hidden="1" outlineLevel="1"/>
    <row r="607" spans="10:28" hidden="1" outlineLevel="1"/>
    <row r="608" spans="10:28" hidden="1" outlineLevel="1" collapsed="1">
      <c r="J608" s="332" t="s">
        <v>859</v>
      </c>
      <c r="K608" s="188"/>
      <c r="L608" s="188"/>
      <c r="M608" s="188"/>
      <c r="N608" s="188"/>
      <c r="O608" s="188"/>
      <c r="P608" s="188"/>
      <c r="Q608" s="188"/>
      <c r="R608" s="188" t="s">
        <v>578</v>
      </c>
      <c r="S608" s="293"/>
      <c r="T608" s="293"/>
      <c r="U608" s="293"/>
      <c r="V608" s="293"/>
      <c r="W608" s="293"/>
      <c r="X608" s="188" t="s">
        <v>75</v>
      </c>
      <c r="Y608" s="188"/>
      <c r="Z608" s="189"/>
    </row>
    <row r="609" spans="10:28" hidden="1" outlineLevel="1">
      <c r="J609" s="67"/>
      <c r="K609" t="s">
        <v>565</v>
      </c>
      <c r="L609" s="2"/>
      <c r="M609" s="2"/>
      <c r="N609" s="2"/>
      <c r="O609" s="2"/>
      <c r="P609" s="2"/>
      <c r="S609" s="2" t="s">
        <v>762</v>
      </c>
      <c r="T609" s="161">
        <v>9352.4900000000016</v>
      </c>
      <c r="U609" s="215">
        <v>-515.70999999999913</v>
      </c>
      <c r="W609" s="2" t="s">
        <v>565</v>
      </c>
      <c r="X609" s="215">
        <v>9868.2000000000007</v>
      </c>
      <c r="Y609" s="4" t="s">
        <v>1331</v>
      </c>
      <c r="Z609" s="68"/>
      <c r="AB609">
        <v>0</v>
      </c>
    </row>
    <row r="610" spans="10:28" hidden="1" outlineLevel="1">
      <c r="J610" s="67"/>
      <c r="K610" s="2" t="s">
        <v>76</v>
      </c>
      <c r="L610" s="4">
        <v>200</v>
      </c>
      <c r="M610" s="2"/>
      <c r="N610" s="2"/>
      <c r="O610" s="2"/>
      <c r="P610" s="2"/>
      <c r="W610" s="2" t="s">
        <v>563</v>
      </c>
      <c r="X610" s="353">
        <v>-8309.5236155469338</v>
      </c>
      <c r="Y610" s="142">
        <v>-286.032583306589</v>
      </c>
      <c r="Z610" s="350">
        <v>-9378.1173248311206</v>
      </c>
    </row>
    <row r="611" spans="10:28" hidden="1" outlineLevel="1">
      <c r="J611" s="67"/>
      <c r="K611" s="2" t="s">
        <v>76</v>
      </c>
      <c r="L611" s="4">
        <v>100</v>
      </c>
      <c r="M611" s="2"/>
      <c r="N611" s="2">
        <v>7</v>
      </c>
      <c r="O611" s="2"/>
      <c r="P611" s="2"/>
      <c r="W611" s="4" t="s">
        <v>839</v>
      </c>
      <c r="X611" s="142">
        <v>1558.6763844530669</v>
      </c>
      <c r="Z611" s="350">
        <v>236649.85454545487</v>
      </c>
    </row>
    <row r="612" spans="10:28" hidden="1" outlineLevel="1">
      <c r="J612" s="67"/>
      <c r="K612" s="2" t="s">
        <v>76</v>
      </c>
      <c r="L612" s="4">
        <v>50</v>
      </c>
      <c r="M612" s="2">
        <v>1</v>
      </c>
      <c r="N612" s="2"/>
      <c r="O612" s="2"/>
      <c r="P612" s="2"/>
      <c r="Q612" s="4">
        <v>1</v>
      </c>
      <c r="X612" s="2"/>
      <c r="Z612" s="68"/>
    </row>
    <row r="613" spans="10:28" hidden="1" outlineLevel="1">
      <c r="J613" s="67"/>
      <c r="K613" s="2" t="s">
        <v>76</v>
      </c>
      <c r="L613" s="4">
        <v>20</v>
      </c>
      <c r="M613" s="2">
        <v>4</v>
      </c>
      <c r="N613" s="2"/>
      <c r="O613" s="2"/>
      <c r="P613" s="2"/>
      <c r="Q613" s="4">
        <v>4</v>
      </c>
      <c r="S613" s="350">
        <v>9398.2000000000025</v>
      </c>
      <c r="T613" s="353">
        <v>8502.4900000000016</v>
      </c>
      <c r="X613" s="2"/>
      <c r="Z613" s="351">
        <v>-8309.5236155469338</v>
      </c>
    </row>
    <row r="614" spans="10:28" hidden="1" outlineLevel="1">
      <c r="J614" s="67"/>
      <c r="K614" s="2" t="s">
        <v>76</v>
      </c>
      <c r="L614" s="4">
        <v>10</v>
      </c>
      <c r="M614" s="2">
        <v>2</v>
      </c>
      <c r="N614" s="2"/>
      <c r="O614" s="2"/>
      <c r="P614" s="2"/>
      <c r="Q614" s="4">
        <v>2</v>
      </c>
      <c r="W614" s="2" t="s">
        <v>75</v>
      </c>
      <c r="X614" s="2">
        <v>850</v>
      </c>
      <c r="Z614" s="351">
        <v>210198.85454545484</v>
      </c>
    </row>
    <row r="615" spans="10:28" hidden="1" outlineLevel="1">
      <c r="J615" s="67"/>
      <c r="K615" s="4" t="s">
        <v>75</v>
      </c>
      <c r="M615" s="2">
        <v>150</v>
      </c>
      <c r="N615" s="2">
        <v>700</v>
      </c>
      <c r="O615" s="2">
        <v>0</v>
      </c>
      <c r="P615" s="2">
        <v>0</v>
      </c>
      <c r="Q615" s="4">
        <v>850</v>
      </c>
      <c r="W615" s="2" t="s">
        <v>77</v>
      </c>
      <c r="X615" s="14">
        <v>135.56618819776716</v>
      </c>
      <c r="Z615" s="68"/>
      <c r="AA615" s="121" t="s">
        <v>11</v>
      </c>
      <c r="AB615" s="240">
        <v>0</v>
      </c>
    </row>
    <row r="616" spans="10:28" hidden="1" outlineLevel="1">
      <c r="J616" s="67"/>
      <c r="M616" s="2"/>
      <c r="N616" s="2"/>
      <c r="O616" s="2"/>
      <c r="P616" s="2"/>
      <c r="W616" s="4" t="s">
        <v>838</v>
      </c>
      <c r="X616" s="14">
        <v>985.56618819776713</v>
      </c>
      <c r="Z616" s="68"/>
      <c r="AA616" s="299" t="s">
        <v>587</v>
      </c>
      <c r="AB616" s="4">
        <v>3150</v>
      </c>
    </row>
    <row r="617" spans="10:28" hidden="1" outlineLevel="1">
      <c r="J617" s="67"/>
      <c r="K617" s="2" t="s">
        <v>76</v>
      </c>
      <c r="L617" s="4">
        <v>500</v>
      </c>
      <c r="M617" s="2"/>
      <c r="N617" s="2"/>
      <c r="O617" s="2"/>
      <c r="P617" s="2"/>
      <c r="Q617" s="4">
        <v>0</v>
      </c>
      <c r="S617" s="2" t="s">
        <v>571</v>
      </c>
      <c r="T617" s="4">
        <v>8502.4900000000016</v>
      </c>
      <c r="U617" s="4" t="s">
        <v>17</v>
      </c>
      <c r="X617" s="2"/>
      <c r="Z617" s="68"/>
      <c r="AA617" s="92"/>
      <c r="AB617" s="297">
        <v>4000</v>
      </c>
    </row>
    <row r="618" spans="10:28" hidden="1" outlineLevel="1">
      <c r="J618" s="67"/>
      <c r="K618" s="2" t="s">
        <v>76</v>
      </c>
      <c r="L618" s="4">
        <v>500</v>
      </c>
      <c r="M618" s="2"/>
      <c r="N618" s="2"/>
      <c r="O618" s="2"/>
      <c r="P618" s="2">
        <v>6</v>
      </c>
      <c r="Q618" s="4">
        <v>6</v>
      </c>
      <c r="T618" s="4">
        <v>214554.04662581556</v>
      </c>
      <c r="U618" s="4" t="s">
        <v>135</v>
      </c>
      <c r="X618" s="2"/>
      <c r="Z618" s="68"/>
    </row>
    <row r="619" spans="10:28" hidden="1" outlineLevel="1">
      <c r="J619" s="67"/>
      <c r="K619" s="2" t="s">
        <v>76</v>
      </c>
      <c r="L619" s="4">
        <v>200</v>
      </c>
      <c r="M619" s="2"/>
      <c r="N619" s="2"/>
      <c r="O619" s="2"/>
      <c r="P619" s="2">
        <v>2</v>
      </c>
      <c r="Q619" s="4">
        <v>2</v>
      </c>
      <c r="W619" s="2" t="s">
        <v>584</v>
      </c>
      <c r="X619" s="203">
        <v>-573.1101962552998</v>
      </c>
      <c r="Z619" s="68"/>
    </row>
    <row r="620" spans="10:28" hidden="1" outlineLevel="1">
      <c r="J620" s="67"/>
      <c r="K620" s="2" t="s">
        <v>76</v>
      </c>
      <c r="L620" s="4">
        <v>100</v>
      </c>
      <c r="M620" s="2"/>
      <c r="N620" s="2"/>
      <c r="O620" s="2"/>
      <c r="P620" s="2"/>
      <c r="Q620" s="4">
        <v>0</v>
      </c>
      <c r="S620" s="2" t="s">
        <v>842</v>
      </c>
      <c r="T620" s="28">
        <v>850</v>
      </c>
      <c r="Z620" s="68"/>
    </row>
    <row r="621" spans="10:28" hidden="1" outlineLevel="1">
      <c r="J621" s="67"/>
      <c r="K621" s="2" t="s">
        <v>76</v>
      </c>
      <c r="L621" s="4">
        <v>50</v>
      </c>
      <c r="M621" s="2"/>
      <c r="N621" s="2"/>
      <c r="O621" s="2"/>
      <c r="P621" s="2"/>
      <c r="Q621" s="4">
        <v>0</v>
      </c>
      <c r="Y621" s="2"/>
      <c r="Z621" s="68"/>
      <c r="AB621" t="s">
        <v>784</v>
      </c>
    </row>
    <row r="622" spans="10:28" hidden="1" outlineLevel="1">
      <c r="J622" s="67"/>
      <c r="K622" s="2" t="s">
        <v>76</v>
      </c>
      <c r="L622" s="4">
        <v>20</v>
      </c>
      <c r="M622" s="2"/>
      <c r="N622" s="2"/>
      <c r="O622" s="2"/>
      <c r="P622" s="2"/>
      <c r="Q622" s="4">
        <v>0</v>
      </c>
      <c r="X622" s="2"/>
      <c r="Y622" s="2"/>
      <c r="Z622" s="125"/>
      <c r="AB622" t="s">
        <v>785</v>
      </c>
    </row>
    <row r="623" spans="10:28" hidden="1" outlineLevel="1">
      <c r="J623" s="67"/>
      <c r="K623" s="2" t="s">
        <v>76</v>
      </c>
      <c r="L623" s="4">
        <v>10</v>
      </c>
      <c r="M623" s="2"/>
      <c r="N623" s="2"/>
      <c r="O623" s="2"/>
      <c r="P623" s="2"/>
      <c r="Q623" s="4">
        <v>0</v>
      </c>
      <c r="X623" s="4" t="s">
        <v>75</v>
      </c>
      <c r="Y623" s="4" t="s">
        <v>77</v>
      </c>
      <c r="Z623" s="126" t="s">
        <v>590</v>
      </c>
    </row>
    <row r="624" spans="10:28" hidden="1" outlineLevel="1">
      <c r="J624" s="67"/>
      <c r="K624" s="2" t="s">
        <v>76</v>
      </c>
      <c r="L624" s="4">
        <v>5</v>
      </c>
      <c r="M624" s="2"/>
      <c r="N624" s="2"/>
      <c r="O624" s="2"/>
      <c r="P624" s="2"/>
      <c r="Q624" s="4">
        <v>0</v>
      </c>
      <c r="V624" s="2" t="s">
        <v>588</v>
      </c>
      <c r="W624" s="2" t="s">
        <v>9</v>
      </c>
      <c r="X624" s="142">
        <v>850</v>
      </c>
      <c r="Y624" s="142">
        <v>21449.121331744373</v>
      </c>
      <c r="Z624" s="235">
        <v>850</v>
      </c>
    </row>
    <row r="625" spans="10:28" hidden="1" outlineLevel="1">
      <c r="J625" s="67"/>
      <c r="K625" s="2" t="s">
        <v>76</v>
      </c>
      <c r="L625" s="4">
        <v>2</v>
      </c>
      <c r="M625" s="2"/>
      <c r="N625" s="2"/>
      <c r="O625" s="2"/>
      <c r="P625" s="2"/>
      <c r="Q625" s="4">
        <v>0</v>
      </c>
      <c r="V625" s="2" t="s">
        <v>588</v>
      </c>
      <c r="W625" s="2" t="s">
        <v>135</v>
      </c>
      <c r="X625" s="142">
        <v>134.73745405705009</v>
      </c>
      <c r="Y625" s="142">
        <v>3400</v>
      </c>
      <c r="Z625" s="235">
        <v>134.73745405705009</v>
      </c>
    </row>
    <row r="626" spans="10:28" hidden="1" outlineLevel="1">
      <c r="J626" s="67"/>
      <c r="K626" s="4" t="s">
        <v>77</v>
      </c>
      <c r="M626" s="2">
        <v>0</v>
      </c>
      <c r="N626" s="2"/>
      <c r="O626" s="2">
        <v>0</v>
      </c>
      <c r="P626" s="2">
        <v>3400</v>
      </c>
      <c r="Q626" s="4">
        <v>3400</v>
      </c>
      <c r="V626" s="2" t="s">
        <v>589</v>
      </c>
      <c r="W626" s="2" t="s">
        <v>135</v>
      </c>
      <c r="X626" s="142">
        <v>8309.5236155469338</v>
      </c>
      <c r="Y626" s="142">
        <v>210198.85454545484</v>
      </c>
      <c r="Z626" s="235">
        <v>8329.8995609302274</v>
      </c>
    </row>
    <row r="627" spans="10:28" hidden="1" outlineLevel="1">
      <c r="J627" s="67"/>
      <c r="Q627" s="311">
        <v>134.73745405705009</v>
      </c>
      <c r="V627" s="2" t="s">
        <v>780</v>
      </c>
      <c r="X627" s="142">
        <v>9294.2610696039847</v>
      </c>
      <c r="Y627" s="142">
        <v>235047.97587719921</v>
      </c>
      <c r="Z627" s="235">
        <v>9314.6370149872782</v>
      </c>
    </row>
    <row r="628" spans="10:28" hidden="1" outlineLevel="1">
      <c r="J628" s="67"/>
      <c r="N628" t="s">
        <v>563</v>
      </c>
      <c r="P628" s="4" t="s">
        <v>1331</v>
      </c>
      <c r="Q628" s="352">
        <v>210198.85454545484</v>
      </c>
      <c r="R628" s="296" t="s">
        <v>859</v>
      </c>
      <c r="X628" s="142"/>
      <c r="Y628" s="142">
        <v>9314.6370149872782</v>
      </c>
      <c r="Z628" s="302"/>
    </row>
    <row r="629" spans="10:28" ht="15" hidden="1" outlineLevel="1" thickBot="1">
      <c r="J629" s="67"/>
      <c r="Q629" s="417">
        <v>8329.8995609302274</v>
      </c>
      <c r="Y629" s="142"/>
      <c r="Z629" s="302"/>
    </row>
    <row r="630" spans="10:28" ht="15" hidden="1" outlineLevel="1" thickBot="1">
      <c r="J630" s="67"/>
      <c r="N630" s="9" t="s">
        <v>778</v>
      </c>
      <c r="Q630" s="322">
        <v>213598.85454545484</v>
      </c>
      <c r="S630" s="349">
        <v>-955.19208036072087</v>
      </c>
      <c r="V630" s="2" t="s">
        <v>608</v>
      </c>
      <c r="W630" s="27">
        <v>24849.121331744373</v>
      </c>
      <c r="X630" s="6">
        <v>984.73745405705017</v>
      </c>
      <c r="Y630" s="142">
        <v>106.99738998648104</v>
      </c>
      <c r="Z630" s="302"/>
    </row>
    <row r="631" spans="10:28" hidden="1" outlineLevel="1">
      <c r="J631" s="67"/>
      <c r="M631" s="2"/>
      <c r="Q631" s="417">
        <v>8464.6370149872782</v>
      </c>
      <c r="S631" s="289">
        <v>-37.852985012723742</v>
      </c>
      <c r="V631" s="2" t="s">
        <v>609</v>
      </c>
      <c r="W631" s="27">
        <v>210198.85454545484</v>
      </c>
      <c r="X631" s="6">
        <v>8329.8995609302274</v>
      </c>
      <c r="Y631" s="142">
        <v>304.54627483189324</v>
      </c>
      <c r="Z631" s="302"/>
      <c r="AA631" s="2"/>
    </row>
    <row r="632" spans="10:28" hidden="1" outlineLevel="1">
      <c r="J632" s="67"/>
      <c r="N632" s="9" t="s">
        <v>779</v>
      </c>
      <c r="O632" s="9"/>
      <c r="Q632" s="28">
        <v>9314.6370149872782</v>
      </c>
      <c r="S632"/>
      <c r="T632"/>
      <c r="V632" s="2" t="s">
        <v>14</v>
      </c>
      <c r="W632" s="233">
        <v>235047.97587719921</v>
      </c>
      <c r="X632" s="6">
        <v>9314.6370149872782</v>
      </c>
      <c r="Y632" s="161">
        <v>411.54366481837496</v>
      </c>
      <c r="Z632" s="302"/>
      <c r="AA632" s="2"/>
      <c r="AB632" s="28">
        <v>411.54366481837496</v>
      </c>
    </row>
    <row r="633" spans="10:28" hidden="1" outlineLevel="1">
      <c r="J633" s="67"/>
      <c r="Q633" s="417">
        <v>9314.6370149872782</v>
      </c>
      <c r="S633"/>
      <c r="T633"/>
      <c r="Z633" s="302"/>
      <c r="AB633" s="82">
        <v>10385.000000000073</v>
      </c>
    </row>
    <row r="634" spans="10:28" hidden="1" outlineLevel="1">
      <c r="J634" s="92"/>
      <c r="K634" s="87"/>
      <c r="L634" s="87"/>
      <c r="M634" s="87"/>
      <c r="N634" s="87"/>
      <c r="O634" s="87"/>
      <c r="P634" s="87"/>
      <c r="Q634" s="87"/>
      <c r="R634" s="87"/>
      <c r="S634" s="297"/>
      <c r="T634" s="297"/>
      <c r="U634" s="297"/>
      <c r="V634" s="297"/>
      <c r="W634" s="297"/>
      <c r="X634" s="87"/>
      <c r="Y634" s="87"/>
      <c r="Z634" s="88"/>
    </row>
    <row r="635" spans="10:28" hidden="1" outlineLevel="1"/>
    <row r="636" spans="10:28" hidden="1" outlineLevel="1"/>
    <row r="637" spans="10:28" hidden="1" outlineLevel="1" collapsed="1">
      <c r="J637" s="332" t="s">
        <v>865</v>
      </c>
      <c r="K637" s="188"/>
      <c r="L637" s="188"/>
      <c r="M637" s="188"/>
      <c r="N637" s="188"/>
      <c r="O637" s="188"/>
      <c r="P637" s="188"/>
      <c r="Q637" s="188"/>
      <c r="R637" s="188" t="s">
        <v>578</v>
      </c>
      <c r="S637" s="293"/>
      <c r="T637" s="293"/>
      <c r="U637" s="293"/>
      <c r="V637" s="293"/>
      <c r="W637" s="293"/>
      <c r="X637" s="188" t="s">
        <v>75</v>
      </c>
      <c r="Y637" s="188"/>
      <c r="Z637" s="189"/>
    </row>
    <row r="638" spans="10:28" hidden="1" outlineLevel="1">
      <c r="J638" s="67"/>
      <c r="K638" t="s">
        <v>565</v>
      </c>
      <c r="L638" s="2"/>
      <c r="M638" s="2"/>
      <c r="N638" s="2"/>
      <c r="O638" s="2"/>
      <c r="P638" s="2"/>
      <c r="S638" s="2" t="s">
        <v>762</v>
      </c>
      <c r="T638" s="161">
        <v>9868.2000000000025</v>
      </c>
      <c r="U638" s="215">
        <v>0</v>
      </c>
      <c r="W638" s="2" t="s">
        <v>565</v>
      </c>
      <c r="X638" s="215">
        <v>9868.2000000000007</v>
      </c>
      <c r="Y638" s="4" t="s">
        <v>1331</v>
      </c>
      <c r="Z638" s="68"/>
      <c r="AB638">
        <v>0</v>
      </c>
    </row>
    <row r="639" spans="10:28" hidden="1" outlineLevel="1">
      <c r="J639" s="67"/>
      <c r="K639" s="2" t="s">
        <v>76</v>
      </c>
      <c r="L639" s="4">
        <v>200</v>
      </c>
      <c r="M639" s="2"/>
      <c r="N639" s="2"/>
      <c r="O639" s="2"/>
      <c r="P639" s="2"/>
      <c r="W639" s="2" t="s">
        <v>563</v>
      </c>
      <c r="X639" s="353">
        <v>-8501.2430946640525</v>
      </c>
      <c r="Y639" s="142">
        <v>-191.71947911711868</v>
      </c>
      <c r="Z639" s="350">
        <v>-9378.1173248311206</v>
      </c>
    </row>
    <row r="640" spans="10:28" hidden="1" outlineLevel="1">
      <c r="J640" s="67"/>
      <c r="K640" s="2" t="s">
        <v>76</v>
      </c>
      <c r="L640" s="4">
        <v>100</v>
      </c>
      <c r="M640" s="2"/>
      <c r="N640" s="2">
        <v>7</v>
      </c>
      <c r="O640" s="2"/>
      <c r="P640" s="2"/>
      <c r="W640" s="4" t="s">
        <v>839</v>
      </c>
      <c r="X640" s="142">
        <v>1366.9569053359482</v>
      </c>
      <c r="Z640" s="350">
        <v>236649.85454545487</v>
      </c>
    </row>
    <row r="641" spans="10:28" hidden="1" outlineLevel="1">
      <c r="J641" s="67"/>
      <c r="K641" s="2" t="s">
        <v>76</v>
      </c>
      <c r="L641" s="4">
        <v>50</v>
      </c>
      <c r="M641" s="2">
        <v>1</v>
      </c>
      <c r="N641" s="2"/>
      <c r="O641" s="2"/>
      <c r="P641" s="2"/>
      <c r="Q641" s="4">
        <v>1</v>
      </c>
      <c r="X641" s="2"/>
      <c r="Z641" s="68"/>
    </row>
    <row r="642" spans="10:28" hidden="1" outlineLevel="1">
      <c r="J642" s="67"/>
      <c r="K642" s="2" t="s">
        <v>76</v>
      </c>
      <c r="L642" s="4">
        <v>20</v>
      </c>
      <c r="M642" s="2">
        <v>4</v>
      </c>
      <c r="N642" s="2"/>
      <c r="O642" s="2"/>
      <c r="P642" s="2"/>
      <c r="Q642" s="4">
        <v>4</v>
      </c>
      <c r="S642" s="350">
        <v>9398.2000000000025</v>
      </c>
      <c r="T642" s="353">
        <v>9018.2000000000025</v>
      </c>
      <c r="X642" s="2"/>
      <c r="Z642" s="351">
        <v>-8501.2430946640525</v>
      </c>
    </row>
    <row r="643" spans="10:28" hidden="1" outlineLevel="1">
      <c r="J643" s="67"/>
      <c r="K643" s="2" t="s">
        <v>76</v>
      </c>
      <c r="L643" s="4">
        <v>10</v>
      </c>
      <c r="M643" s="2">
        <v>2</v>
      </c>
      <c r="N643" s="2"/>
      <c r="O643" s="2"/>
      <c r="P643" s="2"/>
      <c r="Q643" s="4">
        <v>2</v>
      </c>
      <c r="W643" s="2" t="s">
        <v>75</v>
      </c>
      <c r="X643" s="2">
        <v>850</v>
      </c>
      <c r="Z643" s="351">
        <v>214534.85454545496</v>
      </c>
    </row>
    <row r="644" spans="10:28" hidden="1" outlineLevel="1">
      <c r="J644" s="67"/>
      <c r="K644" s="4" t="s">
        <v>75</v>
      </c>
      <c r="M644" s="2">
        <v>150</v>
      </c>
      <c r="N644" s="2">
        <v>700</v>
      </c>
      <c r="O644" s="2">
        <v>0</v>
      </c>
      <c r="P644" s="2">
        <v>0</v>
      </c>
      <c r="Q644" s="4">
        <v>850</v>
      </c>
      <c r="W644" s="2" t="s">
        <v>77</v>
      </c>
      <c r="X644" s="14">
        <v>559.80861244019138</v>
      </c>
      <c r="Z644" s="68"/>
      <c r="AA644" s="121" t="s">
        <v>11</v>
      </c>
      <c r="AB644" s="240">
        <v>0</v>
      </c>
    </row>
    <row r="645" spans="10:28" hidden="1" outlineLevel="1">
      <c r="J645" s="67"/>
      <c r="M645" s="2"/>
      <c r="N645" s="2"/>
      <c r="O645" s="2"/>
      <c r="P645" s="2"/>
      <c r="W645" s="4" t="s">
        <v>838</v>
      </c>
      <c r="X645" s="14">
        <v>1409.8086124401914</v>
      </c>
      <c r="Z645" s="68"/>
      <c r="AA645" s="299" t="s">
        <v>587</v>
      </c>
      <c r="AB645" s="4">
        <v>3150</v>
      </c>
    </row>
    <row r="646" spans="10:28" hidden="1" outlineLevel="1">
      <c r="J646" s="67"/>
      <c r="K646" s="2" t="s">
        <v>76</v>
      </c>
      <c r="L646" s="4">
        <v>500</v>
      </c>
      <c r="M646" s="2"/>
      <c r="N646" s="2"/>
      <c r="O646" s="2"/>
      <c r="P646" s="2"/>
      <c r="Q646" s="4">
        <v>0</v>
      </c>
      <c r="S646" s="2" t="s">
        <v>571</v>
      </c>
      <c r="T646" s="4">
        <v>9018.2000000000025</v>
      </c>
      <c r="U646" s="4" t="s">
        <v>17</v>
      </c>
      <c r="X646" s="2"/>
      <c r="Z646" s="68"/>
      <c r="AA646" s="92"/>
      <c r="AB646" s="297">
        <v>4000</v>
      </c>
    </row>
    <row r="647" spans="10:28" hidden="1" outlineLevel="1">
      <c r="J647" s="67"/>
      <c r="K647" s="2" t="s">
        <v>76</v>
      </c>
      <c r="L647" s="4">
        <v>500</v>
      </c>
      <c r="M647" s="2">
        <v>24</v>
      </c>
      <c r="N647" s="2"/>
      <c r="O647" s="2"/>
      <c r="P647" s="2">
        <v>3</v>
      </c>
      <c r="Q647" s="4">
        <v>27</v>
      </c>
      <c r="T647" s="4">
        <v>227567.60705169075</v>
      </c>
      <c r="U647" s="4" t="s">
        <v>135</v>
      </c>
      <c r="X647" s="2"/>
      <c r="Z647" s="68"/>
    </row>
    <row r="648" spans="10:28" hidden="1" outlineLevel="1">
      <c r="J648" s="67"/>
      <c r="K648" s="2" t="s">
        <v>76</v>
      </c>
      <c r="L648" s="4">
        <v>200</v>
      </c>
      <c r="M648" s="2"/>
      <c r="N648" s="2"/>
      <c r="O648" s="2"/>
      <c r="P648" s="2">
        <v>2</v>
      </c>
      <c r="Q648" s="4">
        <v>2</v>
      </c>
      <c r="W648" s="2" t="s">
        <v>584</v>
      </c>
      <c r="X648" s="203">
        <v>42.851707104243133</v>
      </c>
      <c r="Z648" s="68"/>
    </row>
    <row r="649" spans="10:28" hidden="1" outlineLevel="1">
      <c r="J649" s="67"/>
      <c r="K649" s="2" t="s">
        <v>76</v>
      </c>
      <c r="L649" s="4">
        <v>100</v>
      </c>
      <c r="M649" s="2"/>
      <c r="N649" s="2"/>
      <c r="O649" s="2"/>
      <c r="P649" s="2">
        <v>1</v>
      </c>
      <c r="Q649" s="4">
        <v>1</v>
      </c>
      <c r="S649" s="2" t="s">
        <v>842</v>
      </c>
      <c r="T649" s="28">
        <v>850</v>
      </c>
      <c r="Z649" s="68"/>
    </row>
    <row r="650" spans="10:28" hidden="1" outlineLevel="1">
      <c r="J650" s="67"/>
      <c r="K650" s="2" t="s">
        <v>76</v>
      </c>
      <c r="L650" s="4">
        <v>50</v>
      </c>
      <c r="M650" s="2"/>
      <c r="N650" s="2"/>
      <c r="O650" s="2"/>
      <c r="P650" s="2">
        <v>0</v>
      </c>
      <c r="Q650" s="4">
        <v>0</v>
      </c>
      <c r="Y650" s="2"/>
      <c r="Z650" s="68"/>
      <c r="AB650" t="s">
        <v>784</v>
      </c>
    </row>
    <row r="651" spans="10:28" hidden="1" outlineLevel="1">
      <c r="J651" s="67"/>
      <c r="K651" s="2" t="s">
        <v>76</v>
      </c>
      <c r="L651" s="4">
        <v>20</v>
      </c>
      <c r="M651" s="2"/>
      <c r="N651" s="2"/>
      <c r="O651" s="2"/>
      <c r="P651" s="2">
        <v>2</v>
      </c>
      <c r="Q651" s="4">
        <v>2</v>
      </c>
      <c r="X651" s="2"/>
      <c r="Y651" s="2"/>
      <c r="Z651" s="125"/>
      <c r="AB651" t="s">
        <v>785</v>
      </c>
    </row>
    <row r="652" spans="10:28" hidden="1" outlineLevel="1">
      <c r="J652" s="67"/>
      <c r="K652" s="2" t="s">
        <v>76</v>
      </c>
      <c r="L652" s="4">
        <v>10</v>
      </c>
      <c r="M652" s="2"/>
      <c r="N652" s="2"/>
      <c r="O652" s="2"/>
      <c r="P652" s="2"/>
      <c r="Q652" s="4">
        <v>0</v>
      </c>
      <c r="X652" s="4" t="s">
        <v>75</v>
      </c>
      <c r="Y652" s="4" t="s">
        <v>77</v>
      </c>
      <c r="Z652" s="126" t="s">
        <v>590</v>
      </c>
    </row>
    <row r="653" spans="10:28" hidden="1" outlineLevel="1">
      <c r="J653" s="67"/>
      <c r="K653" s="2" t="s">
        <v>76</v>
      </c>
      <c r="L653" s="4">
        <v>5</v>
      </c>
      <c r="M653" s="2"/>
      <c r="N653" s="2"/>
      <c r="O653" s="2"/>
      <c r="P653" s="2"/>
      <c r="Q653" s="4">
        <v>0</v>
      </c>
      <c r="V653" s="2" t="s">
        <v>588</v>
      </c>
      <c r="W653" s="2" t="s">
        <v>9</v>
      </c>
      <c r="X653" s="142">
        <v>850</v>
      </c>
      <c r="Y653" s="142">
        <v>21449.121331744373</v>
      </c>
      <c r="Z653" s="235">
        <v>850</v>
      </c>
    </row>
    <row r="654" spans="10:28" hidden="1" outlineLevel="1">
      <c r="J654" s="67"/>
      <c r="K654" s="2" t="s">
        <v>76</v>
      </c>
      <c r="L654" s="4">
        <v>2</v>
      </c>
      <c r="M654" s="2"/>
      <c r="N654" s="2"/>
      <c r="O654" s="2"/>
      <c r="P654" s="2"/>
      <c r="Q654" s="4">
        <v>0</v>
      </c>
      <c r="V654" s="2" t="s">
        <v>588</v>
      </c>
      <c r="W654" s="2" t="s">
        <v>135</v>
      </c>
      <c r="X654" s="142">
        <v>556.38642792970086</v>
      </c>
      <c r="Y654" s="142">
        <v>14040</v>
      </c>
      <c r="Z654" s="235">
        <v>556.38642792970086</v>
      </c>
    </row>
    <row r="655" spans="10:28" hidden="1" outlineLevel="1">
      <c r="J655" s="67"/>
      <c r="K655" s="4" t="s">
        <v>77</v>
      </c>
      <c r="M655" s="2">
        <v>12000</v>
      </c>
      <c r="N655" s="2"/>
      <c r="O655" s="2">
        <v>0</v>
      </c>
      <c r="P655" s="2">
        <v>2040</v>
      </c>
      <c r="Q655" s="4">
        <v>14040</v>
      </c>
      <c r="V655" s="2" t="s">
        <v>589</v>
      </c>
      <c r="W655" s="2" t="s">
        <v>135</v>
      </c>
      <c r="X655" s="142">
        <v>8501.2430946640525</v>
      </c>
      <c r="Y655" s="142">
        <v>214534.85454545496</v>
      </c>
      <c r="Z655" s="235">
        <v>8501.7294435159292</v>
      </c>
    </row>
    <row r="656" spans="10:28" hidden="1" outlineLevel="1">
      <c r="J656" s="67"/>
      <c r="Q656" s="311">
        <v>556.38642792970086</v>
      </c>
      <c r="V656" s="2" t="s">
        <v>780</v>
      </c>
      <c r="X656" s="142">
        <v>9907.6295225937538</v>
      </c>
      <c r="Y656" s="142">
        <v>250023.97587719932</v>
      </c>
      <c r="Z656" s="235">
        <v>9908.1158714456305</v>
      </c>
    </row>
    <row r="657" spans="10:28" hidden="1" outlineLevel="1">
      <c r="J657" s="67"/>
      <c r="N657" t="s">
        <v>563</v>
      </c>
      <c r="P657" s="4" t="s">
        <v>1331</v>
      </c>
      <c r="Q657" s="352">
        <v>214534.85454545496</v>
      </c>
      <c r="R657" s="296" t="s">
        <v>865</v>
      </c>
      <c r="X657" s="142"/>
      <c r="Y657" s="142">
        <v>9908.1158714456287</v>
      </c>
      <c r="Z657" s="302"/>
    </row>
    <row r="658" spans="10:28" ht="15" hidden="1" outlineLevel="1" thickBot="1">
      <c r="J658" s="67"/>
      <c r="Q658" s="417">
        <v>8501.7294435159292</v>
      </c>
      <c r="Y658" s="142"/>
      <c r="Z658" s="302"/>
    </row>
    <row r="659" spans="10:28" ht="15" hidden="1" outlineLevel="1" thickBot="1">
      <c r="J659" s="67"/>
      <c r="N659" s="9" t="s">
        <v>778</v>
      </c>
      <c r="Q659" s="322">
        <v>228574.85454545496</v>
      </c>
      <c r="S659" s="349">
        <v>1007.247493764211</v>
      </c>
      <c r="V659" s="2" t="s">
        <v>608</v>
      </c>
      <c r="W659" s="27">
        <v>35489.121331744376</v>
      </c>
      <c r="X659" s="6">
        <v>1406.3864279297011</v>
      </c>
      <c r="Y659" s="142">
        <v>421.64897387265091</v>
      </c>
      <c r="Z659" s="302"/>
    </row>
    <row r="660" spans="10:28" hidden="1" outlineLevel="1">
      <c r="J660" s="67"/>
      <c r="M660" s="2"/>
      <c r="Q660" s="417">
        <v>9058.1158714456305</v>
      </c>
      <c r="S660" s="289">
        <v>39.915871445627708</v>
      </c>
      <c r="V660" s="2" t="s">
        <v>609</v>
      </c>
      <c r="W660" s="27">
        <v>214534.85454545496</v>
      </c>
      <c r="X660" s="6">
        <v>8501.7294435159292</v>
      </c>
      <c r="Y660" s="142">
        <v>171.82988258570185</v>
      </c>
      <c r="Z660" s="302"/>
      <c r="AA660" s="2"/>
    </row>
    <row r="661" spans="10:28" hidden="1" outlineLevel="1">
      <c r="J661" s="67"/>
      <c r="N661" s="9" t="s">
        <v>779</v>
      </c>
      <c r="O661" s="9"/>
      <c r="Q661" s="28">
        <v>9908.1158714456305</v>
      </c>
      <c r="S661"/>
      <c r="T661"/>
      <c r="V661" s="2" t="s">
        <v>14</v>
      </c>
      <c r="W661" s="233">
        <v>250023.97587719932</v>
      </c>
      <c r="X661" s="6">
        <v>9908.1158714456305</v>
      </c>
      <c r="Y661" s="161">
        <v>593.47885645835231</v>
      </c>
      <c r="Z661" s="302"/>
      <c r="AA661" s="2"/>
      <c r="AB661" s="28">
        <v>593.47885645835231</v>
      </c>
    </row>
    <row r="662" spans="10:28" hidden="1" outlineLevel="1">
      <c r="J662" s="67"/>
      <c r="Q662" s="417">
        <v>9908.1158714456305</v>
      </c>
      <c r="S662"/>
      <c r="T662"/>
      <c r="Z662" s="302"/>
      <c r="AB662" s="82">
        <v>14976.000000000118</v>
      </c>
    </row>
    <row r="663" spans="10:28" hidden="1" outlineLevel="1">
      <c r="J663" s="92"/>
      <c r="K663" s="87"/>
      <c r="L663" s="87"/>
      <c r="M663" s="87"/>
      <c r="N663" s="87"/>
      <c r="O663" s="87"/>
      <c r="P663" s="87"/>
      <c r="Q663" s="87"/>
      <c r="R663" s="87"/>
      <c r="S663" s="297"/>
      <c r="T663" s="297"/>
      <c r="U663" s="297"/>
      <c r="V663" s="297"/>
      <c r="W663" s="297"/>
      <c r="X663" s="87"/>
      <c r="Y663" s="87"/>
      <c r="Z663" s="88"/>
    </row>
    <row r="664" spans="10:28" hidden="1" outlineLevel="1"/>
    <row r="665" spans="10:28" hidden="1" outlineLevel="1"/>
    <row r="666" spans="10:28" collapsed="1">
      <c r="J666" s="332" t="s">
        <v>972</v>
      </c>
      <c r="K666" s="188"/>
      <c r="L666" s="188"/>
      <c r="M666" s="188"/>
      <c r="N666" s="188"/>
      <c r="O666" s="188"/>
      <c r="P666" s="188"/>
      <c r="Q666" s="188"/>
      <c r="R666" s="188" t="s">
        <v>578</v>
      </c>
      <c r="S666" s="293"/>
      <c r="T666" s="293"/>
      <c r="U666" s="293"/>
      <c r="V666" s="293"/>
      <c r="W666" s="293"/>
      <c r="X666" s="188" t="s">
        <v>75</v>
      </c>
      <c r="Y666" s="188"/>
      <c r="Z666" s="189"/>
    </row>
    <row r="667" spans="10:28">
      <c r="J667" s="67"/>
      <c r="K667" t="s">
        <v>565</v>
      </c>
      <c r="L667" s="2"/>
      <c r="M667" s="2"/>
      <c r="N667" s="2"/>
      <c r="O667" s="2"/>
      <c r="P667" s="2"/>
      <c r="S667" s="2" t="s">
        <v>762</v>
      </c>
      <c r="T667" s="161">
        <v>9868.2000000000025</v>
      </c>
      <c r="U667" s="215">
        <v>0</v>
      </c>
      <c r="W667" s="2" t="s">
        <v>565</v>
      </c>
      <c r="X667" s="215">
        <v>9868.2000000000007</v>
      </c>
      <c r="Y667" s="4" t="s">
        <v>1331</v>
      </c>
      <c r="Z667" s="68"/>
      <c r="AB667">
        <v>0</v>
      </c>
    </row>
    <row r="668" spans="10:28">
      <c r="J668" s="67"/>
      <c r="K668" s="2" t="s">
        <v>76</v>
      </c>
      <c r="L668" s="4">
        <v>200</v>
      </c>
      <c r="M668" s="2"/>
      <c r="N668" s="2"/>
      <c r="O668" s="2"/>
      <c r="P668" s="2"/>
      <c r="W668" s="2" t="s">
        <v>563</v>
      </c>
      <c r="X668" s="353">
        <v>-8764.1642318965332</v>
      </c>
      <c r="Y668" s="142">
        <v>-262.92113723248076</v>
      </c>
      <c r="Z668" s="350">
        <v>-9378.1173248311206</v>
      </c>
    </row>
    <row r="669" spans="10:28">
      <c r="J669" s="67"/>
      <c r="K669" s="2" t="s">
        <v>76</v>
      </c>
      <c r="L669" s="4">
        <v>100</v>
      </c>
      <c r="M669" s="2"/>
      <c r="N669" s="2">
        <v>7</v>
      </c>
      <c r="O669" s="2"/>
      <c r="P669" s="2"/>
      <c r="W669" s="4" t="s">
        <v>839</v>
      </c>
      <c r="X669" s="142">
        <v>1104.0357681034675</v>
      </c>
      <c r="Z669" s="350">
        <v>236649.85454545487</v>
      </c>
    </row>
    <row r="670" spans="10:28">
      <c r="J670" s="67"/>
      <c r="K670" s="2" t="s">
        <v>76</v>
      </c>
      <c r="L670" s="4">
        <v>50</v>
      </c>
      <c r="M670" s="2">
        <v>1</v>
      </c>
      <c r="N670" s="2"/>
      <c r="O670" s="2"/>
      <c r="P670" s="2"/>
      <c r="Q670" s="4">
        <v>1</v>
      </c>
      <c r="X670" s="2"/>
      <c r="Z670" s="68"/>
    </row>
    <row r="671" spans="10:28">
      <c r="J671" s="67"/>
      <c r="K671" s="2" t="s">
        <v>76</v>
      </c>
      <c r="L671" s="4">
        <v>20</v>
      </c>
      <c r="M671" s="2">
        <v>4</v>
      </c>
      <c r="N671" s="2"/>
      <c r="O671" s="2"/>
      <c r="P671" s="2"/>
      <c r="Q671" s="4">
        <v>4</v>
      </c>
      <c r="S671" s="350">
        <v>9398.2000000000025</v>
      </c>
      <c r="T671" s="353">
        <v>9018.2000000000025</v>
      </c>
      <c r="X671" s="2"/>
      <c r="Z671" s="351">
        <v>-8764.1642318965332</v>
      </c>
    </row>
    <row r="672" spans="10:28">
      <c r="J672" s="67"/>
      <c r="K672" s="2" t="s">
        <v>76</v>
      </c>
      <c r="L672" s="4">
        <v>10</v>
      </c>
      <c r="M672" s="2">
        <v>2</v>
      </c>
      <c r="N672" s="2"/>
      <c r="O672" s="2"/>
      <c r="P672" s="2"/>
      <c r="Q672" s="4">
        <v>2</v>
      </c>
      <c r="W672" s="2" t="s">
        <v>75</v>
      </c>
      <c r="X672" s="2">
        <v>850</v>
      </c>
      <c r="Z672" s="351">
        <v>221169.85454545496</v>
      </c>
    </row>
    <row r="673" spans="10:28">
      <c r="J673" s="67"/>
      <c r="K673" s="4" t="s">
        <v>75</v>
      </c>
      <c r="M673" s="2">
        <v>150</v>
      </c>
      <c r="N673" s="2">
        <v>700</v>
      </c>
      <c r="O673" s="2">
        <v>0</v>
      </c>
      <c r="P673" s="2">
        <v>0</v>
      </c>
      <c r="Q673" s="4">
        <v>850</v>
      </c>
      <c r="W673" s="2" t="s">
        <v>77</v>
      </c>
      <c r="X673" s="14">
        <v>286.28389154704945</v>
      </c>
      <c r="Z673" s="68"/>
      <c r="AA673" s="121" t="s">
        <v>11</v>
      </c>
      <c r="AB673" s="240">
        <v>0</v>
      </c>
    </row>
    <row r="674" spans="10:28">
      <c r="J674" s="67"/>
      <c r="M674" s="2"/>
      <c r="N674" s="2"/>
      <c r="O674" s="2"/>
      <c r="P674" s="2"/>
      <c r="W674" s="4" t="s">
        <v>838</v>
      </c>
      <c r="X674" s="14">
        <v>1136.2838915470495</v>
      </c>
      <c r="Z674" s="68"/>
      <c r="AA674" s="299" t="s">
        <v>587</v>
      </c>
      <c r="AB674" s="4">
        <v>3150</v>
      </c>
    </row>
    <row r="675" spans="10:28">
      <c r="J675" s="67"/>
      <c r="K675" s="2" t="s">
        <v>76</v>
      </c>
      <c r="L675" s="4">
        <v>500</v>
      </c>
      <c r="M675" s="2"/>
      <c r="N675" s="2"/>
      <c r="O675" s="2"/>
      <c r="P675" s="2"/>
      <c r="Q675" s="4">
        <v>0</v>
      </c>
      <c r="S675" s="2" t="s">
        <v>571</v>
      </c>
      <c r="T675" s="4">
        <v>9018.2000000000025</v>
      </c>
      <c r="U675" s="4" t="s">
        <v>17</v>
      </c>
      <c r="X675" s="2"/>
      <c r="Z675" s="68"/>
      <c r="AA675" s="92"/>
      <c r="AB675" s="297">
        <v>4000</v>
      </c>
    </row>
    <row r="676" spans="10:28">
      <c r="J676" s="67"/>
      <c r="K676" s="2" t="s">
        <v>76</v>
      </c>
      <c r="L676" s="4">
        <v>500</v>
      </c>
      <c r="M676" s="2">
        <v>10</v>
      </c>
      <c r="N676" s="2"/>
      <c r="O676" s="2"/>
      <c r="P676" s="2">
        <v>4</v>
      </c>
      <c r="Q676" s="4">
        <v>14</v>
      </c>
      <c r="T676" s="4">
        <v>227567.60705169075</v>
      </c>
      <c r="U676" s="4" t="s">
        <v>135</v>
      </c>
      <c r="X676" s="2"/>
      <c r="Z676" s="68"/>
    </row>
    <row r="677" spans="10:28">
      <c r="J677" s="67"/>
      <c r="K677" s="2" t="s">
        <v>76</v>
      </c>
      <c r="L677" s="4">
        <v>200</v>
      </c>
      <c r="M677" s="2"/>
      <c r="N677" s="2"/>
      <c r="O677" s="2"/>
      <c r="P677" s="2"/>
      <c r="Q677" s="4">
        <v>0</v>
      </c>
      <c r="W677" s="2" t="s">
        <v>584</v>
      </c>
      <c r="X677" s="203">
        <v>32.248123443582017</v>
      </c>
      <c r="Z677" s="68"/>
    </row>
    <row r="678" spans="10:28">
      <c r="J678" s="67"/>
      <c r="K678" s="2" t="s">
        <v>76</v>
      </c>
      <c r="L678" s="4">
        <v>100</v>
      </c>
      <c r="M678" s="2"/>
      <c r="N678" s="2"/>
      <c r="O678" s="2"/>
      <c r="P678" s="2">
        <v>1</v>
      </c>
      <c r="Q678" s="4">
        <v>1</v>
      </c>
      <c r="S678" s="2" t="s">
        <v>842</v>
      </c>
      <c r="T678" s="28">
        <v>850</v>
      </c>
      <c r="Z678" s="68"/>
    </row>
    <row r="679" spans="10:28">
      <c r="J679" s="67"/>
      <c r="K679" s="2" t="s">
        <v>76</v>
      </c>
      <c r="L679" s="4">
        <v>50</v>
      </c>
      <c r="M679" s="2"/>
      <c r="N679" s="2"/>
      <c r="O679" s="2"/>
      <c r="P679" s="2"/>
      <c r="Q679" s="4">
        <v>0</v>
      </c>
      <c r="Y679" s="2"/>
      <c r="Z679" s="68"/>
      <c r="AB679" t="s">
        <v>784</v>
      </c>
    </row>
    <row r="680" spans="10:28">
      <c r="J680" s="67"/>
      <c r="K680" s="2" t="s">
        <v>76</v>
      </c>
      <c r="L680" s="4">
        <v>20</v>
      </c>
      <c r="M680" s="2"/>
      <c r="N680" s="2"/>
      <c r="O680" s="2"/>
      <c r="P680" s="2">
        <v>3</v>
      </c>
      <c r="Q680" s="4">
        <v>3</v>
      </c>
      <c r="X680" s="2"/>
      <c r="Y680" s="2"/>
      <c r="Z680" s="125"/>
      <c r="AB680" t="s">
        <v>785</v>
      </c>
    </row>
    <row r="681" spans="10:28">
      <c r="J681" s="67"/>
      <c r="K681" s="2" t="s">
        <v>76</v>
      </c>
      <c r="L681" s="4">
        <v>10</v>
      </c>
      <c r="M681" s="2"/>
      <c r="N681" s="2"/>
      <c r="O681" s="2"/>
      <c r="P681" s="2"/>
      <c r="Q681" s="4">
        <v>0</v>
      </c>
      <c r="X681" s="4" t="s">
        <v>75</v>
      </c>
      <c r="Y681" s="4" t="s">
        <v>77</v>
      </c>
      <c r="Z681" s="126" t="s">
        <v>590</v>
      </c>
    </row>
    <row r="682" spans="10:28">
      <c r="J682" s="67"/>
      <c r="K682" s="2" t="s">
        <v>76</v>
      </c>
      <c r="L682" s="4">
        <v>5</v>
      </c>
      <c r="M682" s="2"/>
      <c r="N682" s="2"/>
      <c r="O682" s="2"/>
      <c r="P682" s="2">
        <v>4</v>
      </c>
      <c r="Q682" s="4">
        <v>4</v>
      </c>
      <c r="V682" s="2" t="s">
        <v>588</v>
      </c>
      <c r="W682" s="2" t="s">
        <v>9</v>
      </c>
      <c r="X682" s="142">
        <v>850</v>
      </c>
      <c r="Y682" s="142">
        <v>21449.121331744373</v>
      </c>
      <c r="Z682" s="235">
        <v>850</v>
      </c>
    </row>
    <row r="683" spans="10:28">
      <c r="J683" s="67"/>
      <c r="K683" s="2" t="s">
        <v>76</v>
      </c>
      <c r="L683" s="4">
        <v>2</v>
      </c>
      <c r="M683" s="2"/>
      <c r="N683" s="2"/>
      <c r="O683" s="2"/>
      <c r="P683" s="2"/>
      <c r="Q683" s="4">
        <v>0</v>
      </c>
      <c r="V683" s="2" t="s">
        <v>588</v>
      </c>
      <c r="W683" s="2" t="s">
        <v>135</v>
      </c>
      <c r="X683" s="142">
        <v>284.53380003812339</v>
      </c>
      <c r="Y683" s="142">
        <v>7180</v>
      </c>
      <c r="Z683" s="235">
        <v>284.53380003812339</v>
      </c>
    </row>
    <row r="684" spans="10:28">
      <c r="J684" s="67"/>
      <c r="K684" s="4" t="s">
        <v>77</v>
      </c>
      <c r="M684" s="2">
        <v>5000</v>
      </c>
      <c r="N684" s="2"/>
      <c r="O684" s="2">
        <v>0</v>
      </c>
      <c r="P684" s="2">
        <v>2180</v>
      </c>
      <c r="Q684" s="4">
        <v>7180</v>
      </c>
      <c r="V684" s="2" t="s">
        <v>589</v>
      </c>
      <c r="W684" s="2" t="s">
        <v>135</v>
      </c>
      <c r="X684" s="142">
        <v>8764.1642318965332</v>
      </c>
      <c r="Y684" s="142">
        <v>221169.85454545496</v>
      </c>
      <c r="Z684" s="235">
        <v>8764.665622241966</v>
      </c>
    </row>
    <row r="685" spans="10:28">
      <c r="J685" s="67"/>
      <c r="Q685" s="311">
        <v>284.53380003812339</v>
      </c>
      <c r="V685" s="2" t="s">
        <v>780</v>
      </c>
      <c r="X685" s="142">
        <v>9898.6980319346567</v>
      </c>
      <c r="Y685" s="142">
        <v>249798.97587719932</v>
      </c>
      <c r="Z685" s="235">
        <v>9899.1994222800895</v>
      </c>
    </row>
    <row r="686" spans="10:28">
      <c r="J686" s="67"/>
      <c r="N686" t="s">
        <v>563</v>
      </c>
      <c r="P686" s="4" t="s">
        <v>1331</v>
      </c>
      <c r="Q686" s="352">
        <v>221169.85454545496</v>
      </c>
      <c r="R686" s="296" t="s">
        <v>972</v>
      </c>
      <c r="X686" s="142"/>
      <c r="Y686" s="142">
        <v>9899.1994222800895</v>
      </c>
      <c r="Z686" s="302"/>
    </row>
    <row r="687" spans="10:28" ht="15" thickBot="1">
      <c r="J687" s="67"/>
      <c r="Q687" s="417">
        <v>8764.665622241966</v>
      </c>
      <c r="Y687" s="142"/>
      <c r="Z687" s="302"/>
    </row>
    <row r="688" spans="10:28" ht="15" thickBot="1">
      <c r="J688" s="67"/>
      <c r="N688" s="9" t="s">
        <v>778</v>
      </c>
      <c r="Q688" s="322">
        <v>228349.85454545496</v>
      </c>
      <c r="S688" s="349">
        <v>782.24749376421096</v>
      </c>
      <c r="V688" s="2" t="s">
        <v>608</v>
      </c>
      <c r="W688" s="27">
        <v>28629.121331744373</v>
      </c>
      <c r="X688" s="6">
        <v>1134.5338000381234</v>
      </c>
      <c r="Y688" s="142">
        <v>-271.85262789157764</v>
      </c>
      <c r="Z688" s="302"/>
    </row>
    <row r="689" spans="10:28">
      <c r="J689" s="67"/>
      <c r="M689" s="2"/>
      <c r="Q689" s="417">
        <v>9049.1994222800895</v>
      </c>
      <c r="S689" s="289">
        <v>30.999422280087629</v>
      </c>
      <c r="V689" s="2" t="s">
        <v>609</v>
      </c>
      <c r="W689" s="27">
        <v>221169.85454545496</v>
      </c>
      <c r="X689" s="6">
        <v>8764.665622241966</v>
      </c>
      <c r="Y689" s="142">
        <v>262.93617872603681</v>
      </c>
      <c r="Z689" s="302"/>
      <c r="AA689" s="2"/>
    </row>
    <row r="690" spans="10:28">
      <c r="J690" s="67"/>
      <c r="N690" s="9" t="s">
        <v>779</v>
      </c>
      <c r="O690" s="9"/>
      <c r="Q690" s="28">
        <v>9899.1994222800895</v>
      </c>
      <c r="S690"/>
      <c r="T690"/>
      <c r="V690" s="2" t="s">
        <v>14</v>
      </c>
      <c r="W690" s="233">
        <v>249798.97587719932</v>
      </c>
      <c r="X690" s="6">
        <v>9899.1994222800895</v>
      </c>
      <c r="Y690" s="161">
        <v>-8.9164491655410529</v>
      </c>
      <c r="Z690" s="302"/>
      <c r="AA690" s="2"/>
      <c r="AB690" s="28">
        <v>-8.9164491655410529</v>
      </c>
    </row>
    <row r="691" spans="10:28">
      <c r="J691" s="67"/>
      <c r="Q691" s="417">
        <v>9899.1994222800895</v>
      </c>
      <c r="S691"/>
      <c r="T691"/>
      <c r="Z691" s="302"/>
      <c r="AB691" s="82">
        <v>-225.00000000002458</v>
      </c>
    </row>
    <row r="692" spans="10:28">
      <c r="J692" s="92"/>
      <c r="K692" s="87"/>
      <c r="L692" s="87"/>
      <c r="M692" s="87"/>
      <c r="N692" s="87"/>
      <c r="O692" s="87"/>
      <c r="P692" s="87"/>
      <c r="Q692" s="87"/>
      <c r="R692" s="87"/>
      <c r="S692" s="297"/>
      <c r="T692" s="297"/>
      <c r="U692" s="297"/>
      <c r="V692" s="297"/>
      <c r="W692" s="297"/>
      <c r="X692" s="87"/>
      <c r="Y692" s="87"/>
      <c r="Z692" s="88"/>
    </row>
    <row r="695" spans="10:28" collapsed="1">
      <c r="J695" s="332" t="s">
        <v>974</v>
      </c>
      <c r="K695" s="188"/>
      <c r="L695" s="188"/>
      <c r="M695" s="188"/>
      <c r="N695" s="188"/>
      <c r="O695" s="188"/>
      <c r="P695" s="188"/>
      <c r="Q695" s="188"/>
      <c r="R695" s="188" t="s">
        <v>578</v>
      </c>
      <c r="S695" s="293"/>
      <c r="T695" s="293"/>
      <c r="U695" s="293"/>
      <c r="V695" s="293"/>
      <c r="W695" s="293"/>
      <c r="X695" s="188" t="s">
        <v>75</v>
      </c>
      <c r="Y695" s="188"/>
      <c r="Z695" s="189"/>
    </row>
    <row r="696" spans="10:28">
      <c r="J696" s="67"/>
      <c r="K696" t="s">
        <v>565</v>
      </c>
      <c r="L696" s="2"/>
      <c r="M696" s="2"/>
      <c r="N696" s="2"/>
      <c r="O696" s="2"/>
      <c r="P696" s="2"/>
      <c r="S696" s="2" t="s">
        <v>762</v>
      </c>
      <c r="T696" s="161">
        <v>9868.2000000000025</v>
      </c>
      <c r="U696" s="215">
        <v>0</v>
      </c>
      <c r="W696" s="2" t="s">
        <v>565</v>
      </c>
      <c r="X696" s="215">
        <v>9868.2000000000007</v>
      </c>
      <c r="Y696" s="4" t="s">
        <v>1331</v>
      </c>
      <c r="Z696" s="68"/>
      <c r="AB696">
        <v>0</v>
      </c>
    </row>
    <row r="697" spans="10:28">
      <c r="J697" s="67"/>
      <c r="K697" s="2" t="s">
        <v>76</v>
      </c>
      <c r="L697" s="4">
        <v>200</v>
      </c>
      <c r="M697" s="2"/>
      <c r="N697" s="2"/>
      <c r="O697" s="2"/>
      <c r="P697" s="2"/>
      <c r="W697" s="2" t="s">
        <v>563</v>
      </c>
      <c r="X697" s="353">
        <v>-8878.248625881808</v>
      </c>
      <c r="Y697" s="142">
        <v>-114.0843939852748</v>
      </c>
      <c r="Z697" s="350">
        <v>-9378.1173248311206</v>
      </c>
    </row>
    <row r="698" spans="10:28">
      <c r="J698" s="67"/>
      <c r="K698" s="2" t="s">
        <v>76</v>
      </c>
      <c r="L698" s="4">
        <v>100</v>
      </c>
      <c r="M698" s="2"/>
      <c r="N698" s="2">
        <v>7</v>
      </c>
      <c r="O698" s="2"/>
      <c r="P698" s="2"/>
      <c r="W698" s="4" t="s">
        <v>839</v>
      </c>
      <c r="X698" s="142">
        <v>989.95137411819269</v>
      </c>
      <c r="Z698" s="350">
        <v>236649.85454545487</v>
      </c>
    </row>
    <row r="699" spans="10:28">
      <c r="J699" s="67"/>
      <c r="K699" s="2" t="s">
        <v>76</v>
      </c>
      <c r="L699" s="4">
        <v>50</v>
      </c>
      <c r="M699" s="2">
        <v>1</v>
      </c>
      <c r="N699" s="2"/>
      <c r="O699" s="2"/>
      <c r="P699" s="2"/>
      <c r="Q699" s="4">
        <v>1</v>
      </c>
      <c r="X699" s="2"/>
      <c r="Z699" s="68"/>
    </row>
    <row r="700" spans="10:28">
      <c r="J700" s="67"/>
      <c r="K700" s="2" t="s">
        <v>76</v>
      </c>
      <c r="L700" s="4">
        <v>20</v>
      </c>
      <c r="M700" s="2">
        <v>4</v>
      </c>
      <c r="N700" s="2"/>
      <c r="O700" s="2"/>
      <c r="P700" s="2"/>
      <c r="Q700" s="4">
        <v>4</v>
      </c>
      <c r="S700" s="350">
        <v>9398.2000000000025</v>
      </c>
      <c r="T700" s="353">
        <v>9018.2000000000025</v>
      </c>
      <c r="X700" s="2"/>
      <c r="Z700" s="351">
        <v>-8878.248625881808</v>
      </c>
    </row>
    <row r="701" spans="10:28">
      <c r="J701" s="67"/>
      <c r="K701" s="2" t="s">
        <v>76</v>
      </c>
      <c r="L701" s="4">
        <v>10</v>
      </c>
      <c r="M701" s="2">
        <v>2</v>
      </c>
      <c r="N701" s="2"/>
      <c r="O701" s="2"/>
      <c r="P701" s="2"/>
      <c r="Q701" s="4">
        <v>2</v>
      </c>
      <c r="W701" s="2" t="s">
        <v>75</v>
      </c>
      <c r="X701" s="2">
        <v>850</v>
      </c>
      <c r="Z701" s="351">
        <v>224048.85454545487</v>
      </c>
    </row>
    <row r="702" spans="10:28">
      <c r="J702" s="67"/>
      <c r="K702" s="4" t="s">
        <v>75</v>
      </c>
      <c r="M702" s="2">
        <v>150</v>
      </c>
      <c r="N702" s="2">
        <v>700</v>
      </c>
      <c r="O702" s="2">
        <v>0</v>
      </c>
      <c r="P702" s="2">
        <v>0</v>
      </c>
      <c r="Q702" s="4">
        <v>850</v>
      </c>
      <c r="W702" s="2" t="s">
        <v>77</v>
      </c>
      <c r="X702" s="14">
        <v>141.94577352472089</v>
      </c>
      <c r="Z702" s="68"/>
      <c r="AA702" s="121" t="s">
        <v>11</v>
      </c>
      <c r="AB702" s="240">
        <v>0</v>
      </c>
    </row>
    <row r="703" spans="10:28">
      <c r="J703" s="67"/>
      <c r="M703" s="2"/>
      <c r="N703" s="2"/>
      <c r="O703" s="2"/>
      <c r="P703" s="2"/>
      <c r="W703" s="4" t="s">
        <v>838</v>
      </c>
      <c r="X703" s="14">
        <v>991.94577352472083</v>
      </c>
      <c r="Z703" s="68"/>
      <c r="AA703" s="299" t="s">
        <v>587</v>
      </c>
      <c r="AB703" s="4">
        <v>3150</v>
      </c>
    </row>
    <row r="704" spans="10:28">
      <c r="J704" s="67"/>
      <c r="K704" s="2" t="s">
        <v>76</v>
      </c>
      <c r="L704" s="4">
        <v>500</v>
      </c>
      <c r="M704" s="2"/>
      <c r="N704" s="2"/>
      <c r="O704" s="2"/>
      <c r="P704" s="2"/>
      <c r="Q704" s="4">
        <v>0</v>
      </c>
      <c r="S704" s="2" t="s">
        <v>571</v>
      </c>
      <c r="T704" s="4">
        <v>9018.2000000000025</v>
      </c>
      <c r="U704" s="4" t="s">
        <v>17</v>
      </c>
      <c r="X704" s="2"/>
      <c r="Z704" s="68"/>
      <c r="AA704" s="92"/>
      <c r="AB704" s="297">
        <v>4000</v>
      </c>
    </row>
    <row r="705" spans="10:28">
      <c r="J705" s="67"/>
      <c r="K705" s="2" t="s">
        <v>76</v>
      </c>
      <c r="L705" s="4">
        <v>500</v>
      </c>
      <c r="M705" s="2">
        <v>7</v>
      </c>
      <c r="N705" s="2"/>
      <c r="O705" s="2"/>
      <c r="P705" s="2"/>
      <c r="Q705" s="4">
        <v>7</v>
      </c>
      <c r="T705" s="4">
        <v>227567.60705169075</v>
      </c>
      <c r="U705" s="4" t="s">
        <v>135</v>
      </c>
      <c r="X705" s="2"/>
      <c r="Z705" s="68"/>
    </row>
    <row r="706" spans="10:28">
      <c r="J706" s="67"/>
      <c r="K706" s="2" t="s">
        <v>76</v>
      </c>
      <c r="L706" s="4">
        <v>200</v>
      </c>
      <c r="M706" s="2"/>
      <c r="N706" s="2"/>
      <c r="O706" s="2"/>
      <c r="P706" s="2"/>
      <c r="Q706" s="4">
        <v>0</v>
      </c>
      <c r="W706" s="2" t="s">
        <v>584</v>
      </c>
      <c r="X706" s="203">
        <v>1.9943994065281458</v>
      </c>
      <c r="Z706" s="68"/>
    </row>
    <row r="707" spans="10:28">
      <c r="J707" s="67"/>
      <c r="K707" s="2" t="s">
        <v>76</v>
      </c>
      <c r="L707" s="4">
        <v>100</v>
      </c>
      <c r="M707" s="2"/>
      <c r="N707" s="2"/>
      <c r="O707" s="2"/>
      <c r="P707" s="2"/>
      <c r="Q707" s="4">
        <v>0</v>
      </c>
      <c r="S707" s="2" t="s">
        <v>842</v>
      </c>
      <c r="T707" s="28">
        <v>850</v>
      </c>
      <c r="Z707" s="68"/>
    </row>
    <row r="708" spans="10:28">
      <c r="J708" s="67"/>
      <c r="K708" s="2" t="s">
        <v>76</v>
      </c>
      <c r="L708" s="4">
        <v>50</v>
      </c>
      <c r="M708" s="2"/>
      <c r="N708" s="2"/>
      <c r="O708" s="2"/>
      <c r="P708" s="2"/>
      <c r="Q708" s="4">
        <v>0</v>
      </c>
      <c r="Y708" s="2"/>
      <c r="Z708" s="68"/>
      <c r="AB708" t="s">
        <v>784</v>
      </c>
    </row>
    <row r="709" spans="10:28">
      <c r="J709" s="67"/>
      <c r="K709" s="2" t="s">
        <v>76</v>
      </c>
      <c r="L709" s="4">
        <v>20</v>
      </c>
      <c r="M709" s="2"/>
      <c r="N709" s="2"/>
      <c r="O709" s="2"/>
      <c r="P709" s="2"/>
      <c r="Q709" s="4">
        <v>0</v>
      </c>
      <c r="X709" s="2"/>
      <c r="Y709" s="2"/>
      <c r="Z709" s="125"/>
      <c r="AB709" t="s">
        <v>785</v>
      </c>
    </row>
    <row r="710" spans="10:28">
      <c r="J710" s="67"/>
      <c r="K710" s="2" t="s">
        <v>76</v>
      </c>
      <c r="L710" s="4">
        <v>10</v>
      </c>
      <c r="M710" s="2"/>
      <c r="N710" s="2"/>
      <c r="O710" s="2"/>
      <c r="P710" s="2">
        <v>6</v>
      </c>
      <c r="Q710" s="4">
        <v>0</v>
      </c>
      <c r="X710" s="4" t="s">
        <v>75</v>
      </c>
      <c r="Y710" s="4" t="s">
        <v>77</v>
      </c>
      <c r="Z710" s="126" t="s">
        <v>590</v>
      </c>
    </row>
    <row r="711" spans="10:28">
      <c r="J711" s="67"/>
      <c r="K711" s="2" t="s">
        <v>76</v>
      </c>
      <c r="L711" s="4">
        <v>5</v>
      </c>
      <c r="M711" s="2"/>
      <c r="N711" s="2"/>
      <c r="O711" s="2"/>
      <c r="P711" s="2"/>
      <c r="Q711" s="4">
        <v>0</v>
      </c>
      <c r="V711" s="2" t="s">
        <v>588</v>
      </c>
      <c r="W711" s="2" t="s">
        <v>9</v>
      </c>
      <c r="X711" s="142">
        <v>850</v>
      </c>
      <c r="Y711" s="142">
        <v>21449.121331744373</v>
      </c>
      <c r="Z711" s="235">
        <v>850</v>
      </c>
    </row>
    <row r="712" spans="10:28">
      <c r="J712" s="67"/>
      <c r="K712" s="2" t="s">
        <v>76</v>
      </c>
      <c r="L712" s="4">
        <v>2</v>
      </c>
      <c r="M712" s="2"/>
      <c r="N712" s="2"/>
      <c r="O712" s="2"/>
      <c r="P712" s="2"/>
      <c r="Q712" s="4">
        <v>0</v>
      </c>
      <c r="V712" s="2" t="s">
        <v>588</v>
      </c>
      <c r="W712" s="2" t="s">
        <v>135</v>
      </c>
      <c r="X712" s="142">
        <v>141.07804013032302</v>
      </c>
      <c r="Y712" s="142">
        <v>3560</v>
      </c>
      <c r="Z712" s="235">
        <v>141.07804013032302</v>
      </c>
    </row>
    <row r="713" spans="10:28">
      <c r="J713" s="67"/>
      <c r="K713" s="4" t="s">
        <v>77</v>
      </c>
      <c r="M713" s="2">
        <v>3500</v>
      </c>
      <c r="N713" s="2"/>
      <c r="O713" s="2">
        <v>0</v>
      </c>
      <c r="P713" s="2">
        <v>60</v>
      </c>
      <c r="Q713" s="4">
        <v>3560</v>
      </c>
      <c r="V713" s="2" t="s">
        <v>589</v>
      </c>
      <c r="W713" s="2" t="s">
        <v>135</v>
      </c>
      <c r="X713" s="142">
        <v>8878.248625881808</v>
      </c>
      <c r="Y713" s="142">
        <v>224048.85454545487</v>
      </c>
      <c r="Z713" s="235">
        <v>8878.7565428979178</v>
      </c>
    </row>
    <row r="714" spans="10:28">
      <c r="J714" s="67"/>
      <c r="Q714" s="311">
        <v>141.07804013032302</v>
      </c>
      <c r="V714" s="2" t="s">
        <v>780</v>
      </c>
      <c r="X714" s="142">
        <v>9869.3266660121317</v>
      </c>
      <c r="Y714" s="142">
        <v>249057.97587719923</v>
      </c>
      <c r="Z714" s="235">
        <v>9869.8345830282415</v>
      </c>
    </row>
    <row r="715" spans="10:28">
      <c r="J715" s="67"/>
      <c r="N715" t="s">
        <v>563</v>
      </c>
      <c r="P715" s="4" t="s">
        <v>1331</v>
      </c>
      <c r="Q715" s="352">
        <v>224048.85454545487</v>
      </c>
      <c r="R715" s="296" t="s">
        <v>974</v>
      </c>
      <c r="X715" s="142"/>
      <c r="Y715" s="142">
        <v>9869.8345830282415</v>
      </c>
      <c r="Z715" s="302"/>
    </row>
    <row r="716" spans="10:28" ht="15" thickBot="1">
      <c r="J716" s="67"/>
      <c r="Q716" s="417">
        <v>8878.7565428979178</v>
      </c>
      <c r="Y716" s="142"/>
      <c r="Z716" s="302"/>
    </row>
    <row r="717" spans="10:28" ht="15" thickBot="1">
      <c r="J717" s="67"/>
      <c r="N717" s="9" t="s">
        <v>778</v>
      </c>
      <c r="Q717" s="322">
        <v>227608.85454545487</v>
      </c>
      <c r="S717" s="349">
        <v>41.247493764123647</v>
      </c>
      <c r="V717" s="2" t="s">
        <v>608</v>
      </c>
      <c r="W717" s="27">
        <v>25009.121331744373</v>
      </c>
      <c r="X717" s="6">
        <v>991.07804013032307</v>
      </c>
      <c r="Y717" s="142">
        <v>-143.45575990780037</v>
      </c>
      <c r="Z717" s="302"/>
    </row>
    <row r="718" spans="10:28">
      <c r="J718" s="67"/>
      <c r="M718" s="2"/>
      <c r="Q718" s="417">
        <v>9019.8345830282415</v>
      </c>
      <c r="S718" s="289">
        <v>1.634583028238844</v>
      </c>
      <c r="V718" s="2" t="s">
        <v>609</v>
      </c>
      <c r="W718" s="27">
        <v>224048.85454545487</v>
      </c>
      <c r="X718" s="6">
        <v>8878.7565428979178</v>
      </c>
      <c r="Y718" s="142">
        <v>114.09092065595178</v>
      </c>
      <c r="Z718" s="302"/>
      <c r="AA718" s="2"/>
    </row>
    <row r="719" spans="10:28">
      <c r="J719" s="67"/>
      <c r="N719" s="9" t="s">
        <v>779</v>
      </c>
      <c r="O719" s="9"/>
      <c r="Q719" s="28">
        <v>9869.8345830282415</v>
      </c>
      <c r="S719"/>
      <c r="T719"/>
      <c r="V719" s="2" t="s">
        <v>14</v>
      </c>
      <c r="W719" s="233">
        <v>249057.97587719923</v>
      </c>
      <c r="X719" s="6">
        <v>9869.8345830282415</v>
      </c>
      <c r="Y719" s="161">
        <v>-29.364839251848025</v>
      </c>
      <c r="Z719" s="302"/>
      <c r="AA719" s="2"/>
      <c r="AB719" s="28">
        <v>-29.364839251848025</v>
      </c>
    </row>
    <row r="720" spans="10:28">
      <c r="J720" s="67"/>
      <c r="Q720" s="417">
        <v>9869.8345830282415</v>
      </c>
      <c r="S720"/>
      <c r="T720"/>
      <c r="Z720" s="302"/>
      <c r="AB720" s="82">
        <v>-741.0000000000681</v>
      </c>
    </row>
    <row r="721" spans="10:28">
      <c r="J721" s="92"/>
      <c r="K721" s="87"/>
      <c r="L721" s="87"/>
      <c r="M721" s="87"/>
      <c r="N721" s="87"/>
      <c r="O721" s="87"/>
      <c r="P721" s="87"/>
      <c r="Q721" s="87"/>
      <c r="R721" s="87"/>
      <c r="S721" s="297"/>
      <c r="T721" s="297"/>
      <c r="U721" s="297"/>
      <c r="V721" s="297"/>
      <c r="W721" s="297"/>
      <c r="X721" s="87"/>
      <c r="Y721" s="87"/>
      <c r="Z721" s="88"/>
    </row>
    <row r="724" spans="10:28">
      <c r="J724" s="332" t="s">
        <v>981</v>
      </c>
      <c r="K724" s="188"/>
      <c r="L724" s="188"/>
      <c r="M724" s="188"/>
      <c r="N724" s="188"/>
      <c r="O724" s="188"/>
      <c r="P724" s="188"/>
      <c r="Q724" s="188"/>
      <c r="R724" s="188" t="s">
        <v>578</v>
      </c>
      <c r="S724" s="293"/>
      <c r="T724" s="293"/>
      <c r="U724" s="293"/>
      <c r="V724" s="293"/>
      <c r="W724" s="293"/>
      <c r="X724" s="188" t="s">
        <v>75</v>
      </c>
      <c r="Y724" s="188"/>
      <c r="Z724" s="189"/>
    </row>
    <row r="725" spans="10:28">
      <c r="J725" s="67"/>
      <c r="K725" t="s">
        <v>565</v>
      </c>
      <c r="L725" s="2"/>
      <c r="M725" s="2"/>
      <c r="N725" s="2"/>
      <c r="O725" s="2"/>
      <c r="P725" s="2"/>
      <c r="S725" s="2" t="s">
        <v>762</v>
      </c>
      <c r="T725" s="161">
        <v>9868.2000000000025</v>
      </c>
      <c r="U725" s="215">
        <v>0</v>
      </c>
      <c r="W725" s="2" t="s">
        <v>565</v>
      </c>
      <c r="X725" s="215">
        <v>9868.2000000000007</v>
      </c>
      <c r="Y725" s="4" t="s">
        <v>1330</v>
      </c>
      <c r="Z725" s="68"/>
      <c r="AB725">
        <v>0</v>
      </c>
    </row>
    <row r="726" spans="10:28">
      <c r="J726" s="67"/>
      <c r="K726" s="2" t="s">
        <v>76</v>
      </c>
      <c r="L726" s="4">
        <v>200</v>
      </c>
      <c r="M726" s="2"/>
      <c r="N726" s="2"/>
      <c r="O726" s="2"/>
      <c r="P726" s="2"/>
      <c r="W726" s="2" t="s">
        <v>563</v>
      </c>
      <c r="X726" s="353">
        <v>-9378.1173248311206</v>
      </c>
      <c r="Y726" s="142">
        <v>-499.8686989493126</v>
      </c>
      <c r="Z726" s="350">
        <v>-9378.1173248311206</v>
      </c>
    </row>
    <row r="727" spans="10:28">
      <c r="J727" s="67"/>
      <c r="K727" s="2" t="s">
        <v>76</v>
      </c>
      <c r="L727" s="4">
        <v>100</v>
      </c>
      <c r="M727" s="2">
        <v>4</v>
      </c>
      <c r="N727" s="2"/>
      <c r="O727" s="2"/>
      <c r="P727" s="2"/>
      <c r="W727" s="4" t="s">
        <v>839</v>
      </c>
      <c r="X727" s="142">
        <v>490.08267516888009</v>
      </c>
      <c r="Z727" s="350">
        <v>236649.85454545487</v>
      </c>
    </row>
    <row r="728" spans="10:28">
      <c r="J728" s="67"/>
      <c r="K728" s="2" t="s">
        <v>76</v>
      </c>
      <c r="L728" s="4">
        <v>50</v>
      </c>
      <c r="M728" s="2">
        <v>1</v>
      </c>
      <c r="N728" s="2"/>
      <c r="O728" s="2"/>
      <c r="P728" s="2"/>
      <c r="Q728" s="4">
        <v>1</v>
      </c>
      <c r="X728" s="2"/>
      <c r="Z728" s="68"/>
    </row>
    <row r="729" spans="10:28">
      <c r="J729" s="67"/>
      <c r="K729" s="2" t="s">
        <v>76</v>
      </c>
      <c r="L729" s="4">
        <v>20</v>
      </c>
      <c r="M729" s="2">
        <v>0</v>
      </c>
      <c r="N729" s="2"/>
      <c r="O729" s="2"/>
      <c r="P729" s="2"/>
      <c r="Q729" s="4">
        <v>0</v>
      </c>
      <c r="S729" s="350">
        <v>9398.2000000000025</v>
      </c>
      <c r="T729" s="353">
        <v>9398.2000000000025</v>
      </c>
      <c r="X729" s="2"/>
      <c r="Z729" s="351">
        <v>-9378.1173248311206</v>
      </c>
    </row>
    <row r="730" spans="10:28">
      <c r="J730" s="67"/>
      <c r="K730" s="2" t="s">
        <v>76</v>
      </c>
      <c r="L730" s="4">
        <v>10</v>
      </c>
      <c r="M730" s="2">
        <v>2</v>
      </c>
      <c r="N730" s="2"/>
      <c r="O730" s="2"/>
      <c r="P730" s="2"/>
      <c r="Q730" s="4">
        <v>2</v>
      </c>
      <c r="W730" s="2" t="s">
        <v>75</v>
      </c>
      <c r="X730" s="2">
        <v>470</v>
      </c>
      <c r="Z730" s="351">
        <v>236649.85454545487</v>
      </c>
    </row>
    <row r="731" spans="10:28">
      <c r="J731" s="67"/>
      <c r="K731" s="4" t="s">
        <v>75</v>
      </c>
      <c r="M731" s="2">
        <v>470</v>
      </c>
      <c r="N731" s="2">
        <v>0</v>
      </c>
      <c r="O731" s="2">
        <v>0</v>
      </c>
      <c r="P731" s="2">
        <v>0</v>
      </c>
      <c r="Q731" s="4">
        <v>470</v>
      </c>
      <c r="W731" s="2" t="s">
        <v>77</v>
      </c>
      <c r="X731" s="14">
        <v>20.334928229665074</v>
      </c>
      <c r="Z731" s="68"/>
      <c r="AA731" s="121" t="s">
        <v>11</v>
      </c>
      <c r="AB731" s="240">
        <v>380</v>
      </c>
    </row>
    <row r="732" spans="10:28">
      <c r="J732" s="67"/>
      <c r="M732" s="2"/>
      <c r="N732" s="2"/>
      <c r="O732" s="2"/>
      <c r="P732" s="2"/>
      <c r="W732" s="4" t="s">
        <v>838</v>
      </c>
      <c r="X732" s="14">
        <v>490.33492822966508</v>
      </c>
      <c r="Z732" s="68"/>
      <c r="AA732" s="299" t="s">
        <v>587</v>
      </c>
      <c r="AB732" s="4">
        <v>3530</v>
      </c>
    </row>
    <row r="733" spans="10:28">
      <c r="J733" s="67"/>
      <c r="K733" s="2" t="s">
        <v>76</v>
      </c>
      <c r="L733" s="4">
        <v>500</v>
      </c>
      <c r="M733" s="2"/>
      <c r="N733" s="2"/>
      <c r="O733" s="2"/>
      <c r="P733" s="2"/>
      <c r="Q733" s="4">
        <v>0</v>
      </c>
      <c r="S733" s="2" t="s">
        <v>571</v>
      </c>
      <c r="T733" s="4">
        <v>9398.2000000000025</v>
      </c>
      <c r="U733" s="4" t="s">
        <v>17</v>
      </c>
      <c r="X733" s="2"/>
      <c r="Z733" s="68"/>
      <c r="AA733" s="92"/>
      <c r="AB733" s="297">
        <v>4000</v>
      </c>
    </row>
    <row r="734" spans="10:28">
      <c r="J734" s="67"/>
      <c r="K734" s="2" t="s">
        <v>76</v>
      </c>
      <c r="L734" s="4">
        <v>500</v>
      </c>
      <c r="M734" s="2"/>
      <c r="N734" s="2"/>
      <c r="O734" s="2"/>
      <c r="P734" s="2"/>
      <c r="Q734" s="4">
        <v>0</v>
      </c>
      <c r="T734" s="4">
        <v>237156.62600000002</v>
      </c>
      <c r="U734" s="4" t="s">
        <v>135</v>
      </c>
      <c r="X734" s="2"/>
      <c r="Z734" s="68"/>
    </row>
    <row r="735" spans="10:28">
      <c r="J735" s="67"/>
      <c r="K735" s="2" t="s">
        <v>76</v>
      </c>
      <c r="L735" s="4">
        <v>200</v>
      </c>
      <c r="M735" s="2"/>
      <c r="N735" s="2"/>
      <c r="O735" s="2"/>
      <c r="P735" s="2">
        <v>2</v>
      </c>
      <c r="Q735" s="4">
        <v>2</v>
      </c>
      <c r="W735" s="2" t="s">
        <v>584</v>
      </c>
      <c r="X735" s="203">
        <v>0.25225306078499443</v>
      </c>
      <c r="Z735" s="68"/>
    </row>
    <row r="736" spans="10:28">
      <c r="J736" s="67"/>
      <c r="K736" s="2" t="s">
        <v>76</v>
      </c>
      <c r="L736" s="4">
        <v>100</v>
      </c>
      <c r="M736" s="2"/>
      <c r="N736" s="2"/>
      <c r="O736" s="2"/>
      <c r="P736" s="2"/>
      <c r="Q736" s="4">
        <v>0</v>
      </c>
      <c r="S736" s="2" t="s">
        <v>842</v>
      </c>
      <c r="T736" s="28">
        <v>470</v>
      </c>
      <c r="Z736" s="68"/>
    </row>
    <row r="737" spans="10:28">
      <c r="J737" s="67"/>
      <c r="K737" s="2" t="s">
        <v>76</v>
      </c>
      <c r="L737" s="4">
        <v>50</v>
      </c>
      <c r="M737" s="2"/>
      <c r="N737" s="2"/>
      <c r="O737" s="2"/>
      <c r="P737" s="2">
        <v>2</v>
      </c>
      <c r="Q737" s="4">
        <v>2</v>
      </c>
      <c r="Y737" s="2"/>
      <c r="Z737" s="68"/>
      <c r="AB737" t="s">
        <v>784</v>
      </c>
    </row>
    <row r="738" spans="10:28">
      <c r="J738" s="67"/>
      <c r="K738" s="2" t="s">
        <v>76</v>
      </c>
      <c r="L738" s="4">
        <v>20</v>
      </c>
      <c r="M738" s="2"/>
      <c r="N738" s="2"/>
      <c r="O738" s="2"/>
      <c r="P738" s="2"/>
      <c r="Q738" s="4">
        <v>0</v>
      </c>
      <c r="X738" s="2"/>
      <c r="Y738" s="2"/>
      <c r="Z738" s="125"/>
      <c r="AB738" t="s">
        <v>785</v>
      </c>
    </row>
    <row r="739" spans="10:28">
      <c r="J739" s="67"/>
      <c r="K739" s="2" t="s">
        <v>76</v>
      </c>
      <c r="L739" s="4">
        <v>10</v>
      </c>
      <c r="M739" s="2"/>
      <c r="N739" s="2"/>
      <c r="O739" s="2"/>
      <c r="P739" s="2">
        <v>1</v>
      </c>
      <c r="Q739" s="4">
        <v>0</v>
      </c>
      <c r="X739" s="4" t="s">
        <v>75</v>
      </c>
      <c r="Y739" s="4" t="s">
        <v>77</v>
      </c>
      <c r="Z739" s="126" t="s">
        <v>590</v>
      </c>
    </row>
    <row r="740" spans="10:28">
      <c r="J740" s="67"/>
      <c r="K740" s="2" t="s">
        <v>76</v>
      </c>
      <c r="L740" s="4">
        <v>5</v>
      </c>
      <c r="M740" s="2"/>
      <c r="N740" s="2"/>
      <c r="O740" s="2"/>
      <c r="P740" s="2"/>
      <c r="Q740" s="4">
        <v>0</v>
      </c>
      <c r="V740" s="2" t="s">
        <v>588</v>
      </c>
      <c r="W740" s="2" t="s">
        <v>9</v>
      </c>
      <c r="X740" s="142">
        <v>470</v>
      </c>
      <c r="Y740" s="142">
        <v>11860.102383435124</v>
      </c>
      <c r="Z740" s="235">
        <v>470</v>
      </c>
    </row>
    <row r="741" spans="10:28">
      <c r="J741" s="67"/>
      <c r="K741" s="2" t="s">
        <v>76</v>
      </c>
      <c r="L741" s="4">
        <v>2</v>
      </c>
      <c r="M741" s="2"/>
      <c r="N741" s="2"/>
      <c r="O741" s="2"/>
      <c r="P741" s="2"/>
      <c r="Q741" s="4">
        <v>0</v>
      </c>
      <c r="V741" s="2" t="s">
        <v>588</v>
      </c>
      <c r="W741" s="2" t="s">
        <v>135</v>
      </c>
      <c r="X741" s="142">
        <v>20.210618108557512</v>
      </c>
      <c r="Y741" s="142">
        <v>510</v>
      </c>
      <c r="Z741" s="235">
        <v>20.210618108557512</v>
      </c>
    </row>
    <row r="742" spans="10:28">
      <c r="J742" s="67"/>
      <c r="K742" s="4" t="s">
        <v>77</v>
      </c>
      <c r="M742" s="2">
        <v>0</v>
      </c>
      <c r="N742" s="2"/>
      <c r="O742" s="2">
        <v>0</v>
      </c>
      <c r="P742" s="2">
        <v>510</v>
      </c>
      <c r="Q742" s="4">
        <v>510</v>
      </c>
      <c r="V742" s="2" t="s">
        <v>589</v>
      </c>
      <c r="W742" s="2" t="s">
        <v>135</v>
      </c>
      <c r="X742" s="142">
        <v>9378.1173248311206</v>
      </c>
      <c r="Y742" s="142">
        <v>236649.85454545487</v>
      </c>
      <c r="Z742" s="235">
        <v>9378.1173248311206</v>
      </c>
    </row>
    <row r="743" spans="10:28">
      <c r="J743" s="67"/>
      <c r="Q743" s="311">
        <v>20.210618108557512</v>
      </c>
      <c r="V743" s="2" t="s">
        <v>780</v>
      </c>
      <c r="X743" s="142">
        <v>9868.3279429396789</v>
      </c>
      <c r="Y743" s="142">
        <v>249019.95692888999</v>
      </c>
      <c r="Z743" s="235">
        <v>9868.3279429396789</v>
      </c>
    </row>
    <row r="744" spans="10:28">
      <c r="J744" s="67"/>
      <c r="N744" t="s">
        <v>563</v>
      </c>
      <c r="P744" s="4" t="s">
        <v>1330</v>
      </c>
      <c r="Q744" s="352">
        <v>236649.85454545487</v>
      </c>
      <c r="R744" s="296" t="s">
        <v>981</v>
      </c>
      <c r="X744" s="142"/>
      <c r="Y744" s="142">
        <v>9868.3279429396771</v>
      </c>
      <c r="Z744" s="302"/>
    </row>
    <row r="745" spans="10:28" ht="15" thickBot="1">
      <c r="J745" s="67"/>
      <c r="Q745" s="417">
        <v>9378.1173248311206</v>
      </c>
      <c r="Y745" s="142"/>
      <c r="Z745" s="302"/>
    </row>
    <row r="746" spans="10:28" ht="15" thickBot="1">
      <c r="J746" s="67"/>
      <c r="N746" s="9" t="s">
        <v>778</v>
      </c>
      <c r="Q746" s="322">
        <v>237159.85454545487</v>
      </c>
      <c r="S746" s="349">
        <v>3.2285454548546113</v>
      </c>
      <c r="V746" s="2" t="s">
        <v>608</v>
      </c>
      <c r="W746" s="27">
        <v>12370.102383435124</v>
      </c>
      <c r="X746" s="6">
        <v>490.21061810855753</v>
      </c>
      <c r="Y746" s="142">
        <v>-500.86742202176555</v>
      </c>
      <c r="Z746" s="302"/>
    </row>
    <row r="747" spans="10:28">
      <c r="J747" s="67"/>
      <c r="M747" s="2"/>
      <c r="Q747" s="417">
        <v>9398.3279429396771</v>
      </c>
      <c r="S747" s="289">
        <v>0.12794293967487383</v>
      </c>
      <c r="V747" s="2" t="s">
        <v>609</v>
      </c>
      <c r="W747" s="27">
        <v>236649.85454545487</v>
      </c>
      <c r="X747" s="6">
        <v>9378.1173248311206</v>
      </c>
      <c r="Y747" s="142">
        <v>499.36078193320282</v>
      </c>
      <c r="Z747" s="302"/>
      <c r="AA747" s="2"/>
    </row>
    <row r="748" spans="10:28">
      <c r="J748" s="67"/>
      <c r="N748" s="9" t="s">
        <v>779</v>
      </c>
      <c r="O748" s="9"/>
      <c r="Q748" s="28">
        <v>9868.3279429396771</v>
      </c>
      <c r="S748"/>
      <c r="T748"/>
      <c r="V748" s="2" t="s">
        <v>14</v>
      </c>
      <c r="W748" s="233">
        <v>249019.95692888999</v>
      </c>
      <c r="X748" s="6">
        <v>9868.3279429396789</v>
      </c>
      <c r="Y748" s="161">
        <v>-1.5066400885625626</v>
      </c>
      <c r="Z748" s="302"/>
      <c r="AA748" s="2"/>
      <c r="AB748" s="28">
        <v>-1.5066400885643816</v>
      </c>
    </row>
    <row r="749" spans="10:28">
      <c r="J749" s="67"/>
      <c r="Q749" s="417">
        <v>9868.3279429396789</v>
      </c>
      <c r="S749"/>
      <c r="T749"/>
      <c r="Z749" s="302"/>
      <c r="AB749" s="82">
        <v>-38.018948309279416</v>
      </c>
    </row>
    <row r="750" spans="10:28">
      <c r="J750" s="92"/>
      <c r="K750" s="87"/>
      <c r="L750" s="87"/>
      <c r="M750" s="87"/>
      <c r="N750" s="87"/>
      <c r="O750" s="87"/>
      <c r="P750" s="87"/>
      <c r="Q750" s="87"/>
      <c r="R750" s="87"/>
      <c r="S750" s="297"/>
      <c r="T750" s="297"/>
      <c r="U750" s="297"/>
      <c r="V750" s="297"/>
      <c r="W750" s="297"/>
      <c r="X750" s="87"/>
      <c r="Y750" s="87"/>
      <c r="Z750" s="8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11</vt:i4>
      </vt:variant>
    </vt:vector>
  </HeadingPairs>
  <TitlesOfParts>
    <vt:vector size="33" baseType="lpstr">
      <vt:lpstr>electricité 9</vt:lpstr>
      <vt:lpstr>electr</vt:lpstr>
      <vt:lpstr>cash esp</vt:lpstr>
      <vt:lpstr>cash IX</vt:lpstr>
      <vt:lpstr>VietnamIX</vt:lpstr>
      <vt:lpstr>ComptesIX</vt:lpstr>
      <vt:lpstr>Budget IX</vt:lpstr>
      <vt:lpstr>VietnamVIII</vt:lpstr>
      <vt:lpstr>cashVIII</vt:lpstr>
      <vt:lpstr>ComptesVIII</vt:lpstr>
      <vt:lpstr>Thai fev 23</vt:lpstr>
      <vt:lpstr>voyages</vt:lpstr>
      <vt:lpstr>Budget VIII</vt:lpstr>
      <vt:lpstr>VietnamVII</vt:lpstr>
      <vt:lpstr>VietnamVI</vt:lpstr>
      <vt:lpstr>voyages VI</vt:lpstr>
      <vt:lpstr>Vietnam V</vt:lpstr>
      <vt:lpstr>Vietnam IV</vt:lpstr>
      <vt:lpstr>Vietnam III</vt:lpstr>
      <vt:lpstr>Vietnam II</vt:lpstr>
      <vt:lpstr>Vietnam I</vt:lpstr>
      <vt:lpstr>etat depenses</vt:lpstr>
      <vt:lpstr>TAUXmoyen</vt:lpstr>
      <vt:lpstr>ComptesVIII!Zone_d_impression</vt:lpstr>
      <vt:lpstr>'etat depenses'!Zone_d_impression</vt:lpstr>
      <vt:lpstr>'Vietnam I'!Zone_d_impression</vt:lpstr>
      <vt:lpstr>'Vietnam III'!Zone_d_impression</vt:lpstr>
      <vt:lpstr>'Vietnam IV'!Zone_d_impression</vt:lpstr>
      <vt:lpstr>'Vietnam V'!Zone_d_impression</vt:lpstr>
      <vt:lpstr>VietnamIX!Zone_d_impression</vt:lpstr>
      <vt:lpstr>VietnamVI!Zone_d_impression</vt:lpstr>
      <vt:lpstr>VietnamVII!Zone_d_impression</vt:lpstr>
      <vt:lpstr>VietnamVIII!Zone_d_impression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Paul HP</cp:lastModifiedBy>
  <cp:lastPrinted>2023-03-17T14:07:52Z</cp:lastPrinted>
  <dcterms:created xsi:type="dcterms:W3CDTF">2018-08-13T02:35:10Z</dcterms:created>
  <dcterms:modified xsi:type="dcterms:W3CDTF">2023-10-26T12:25:50Z</dcterms:modified>
</cp:coreProperties>
</file>