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cine\Desktop\"/>
    </mc:Choice>
  </mc:AlternateContent>
  <xr:revisionPtr revIDLastSave="0" documentId="13_ncr:1_{BE98F539-FFB8-418A-B941-95FD145580C8}" xr6:coauthVersionLast="45" xr6:coauthVersionMax="45" xr10:uidLastSave="{00000000-0000-0000-0000-000000000000}"/>
  <bookViews>
    <workbookView xWindow="-120" yWindow="-120" windowWidth="20730" windowHeight="11070" xr2:uid="{BF78DAB3-6B55-4E45-94AB-0CDCD06302F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21" i="1" l="1"/>
  <c r="C7" i="1" l="1"/>
  <c r="C6" i="1"/>
  <c r="E17" i="1" a="1"/>
  <c r="E17" i="1" s="1"/>
  <c r="G15" i="1" a="1"/>
  <c r="G15" i="1" s="1"/>
  <c r="G16" i="1" a="1"/>
  <c r="G16" i="1" s="1"/>
  <c r="G17" i="1" a="1"/>
  <c r="G17" i="1" s="1"/>
  <c r="G14" i="1" a="1"/>
  <c r="G14" i="1" s="1"/>
  <c r="F15" i="1" a="1"/>
  <c r="F15" i="1" s="1"/>
  <c r="F16" i="1" a="1"/>
  <c r="F16" i="1" s="1"/>
  <c r="F17" i="1" a="1"/>
  <c r="F17" i="1" s="1"/>
  <c r="F14" i="1" a="1"/>
  <c r="F14" i="1" s="1"/>
  <c r="E15" i="1" a="1"/>
  <c r="E15" i="1" s="1"/>
  <c r="E16" i="1" a="1"/>
  <c r="E16" i="1" s="1"/>
  <c r="E14" i="1" a="1"/>
  <c r="E14" i="1" s="1"/>
  <c r="B22" i="1" l="1" a="1"/>
  <c r="B22" i="1" s="1"/>
  <c r="D23" i="1" l="1" a="1"/>
  <c r="D23" i="1" s="1"/>
  <c r="A23" i="1"/>
  <c r="D24" i="1" l="1"/>
  <c r="A24" i="1"/>
  <c r="C23" i="1"/>
  <c r="B23" i="1" s="1" a="1"/>
  <c r="B23" i="1" s="1"/>
  <c r="C24" i="1" s="1"/>
  <c r="A25" i="1" l="1"/>
  <c r="D25" i="1" s="1"/>
  <c r="B24" i="1"/>
  <c r="C25" i="1" a="1"/>
  <c r="C25" i="1" s="1"/>
  <c r="C26" i="1" l="1" a="1"/>
  <c r="C26" i="1" s="1"/>
  <c r="A26" i="1" s="1"/>
  <c r="B25" i="1" a="1"/>
  <c r="B25" i="1" s="1"/>
  <c r="B26" i="1" l="1" a="1"/>
  <c r="B26" i="1" s="1"/>
  <c r="D26" i="1" l="1" a="1"/>
  <c r="D26" i="1" s="1"/>
</calcChain>
</file>

<file path=xl/sharedStrings.xml><?xml version="1.0" encoding="utf-8"?>
<sst xmlns="http://schemas.openxmlformats.org/spreadsheetml/2006/main" count="29" uniqueCount="27">
  <si>
    <t>SMIC</t>
  </si>
  <si>
    <t>Date</t>
  </si>
  <si>
    <t>Nom</t>
  </si>
  <si>
    <t>DN</t>
  </si>
  <si>
    <t>Début</t>
  </si>
  <si>
    <t>Fin</t>
  </si>
  <si>
    <t>Durée travail</t>
  </si>
  <si>
    <t>Heure</t>
  </si>
  <si>
    <t>Mois</t>
  </si>
  <si>
    <t>Age début</t>
  </si>
  <si>
    <t>Durée Mois</t>
  </si>
  <si>
    <t>An Début</t>
  </si>
  <si>
    <t>Min Conv</t>
  </si>
  <si>
    <t>Toujours 0 s'il n'y en a pas, dernière valeur en cours sinon</t>
  </si>
  <si>
    <t>NOTICE:</t>
  </si>
  <si>
    <t>*Faire une copie préalable du fichier avant modifications</t>
  </si>
  <si>
    <t>*Modifier pourcentages en E5 à G7 selon convention particulière</t>
  </si>
  <si>
    <t>*Minimum conventionnel en B12:</t>
  </si>
  <si>
    <t>*Ne remplir que B6 à B19</t>
  </si>
  <si>
    <t>Si modification Excel 2019 et avant, valider à chaque modifications les formules</t>
  </si>
  <si>
    <t>matricielles (exemple D23 à D26) par Ctrl-Shift-Entrée en fin de formule</t>
  </si>
  <si>
    <t>Avant</t>
  </si>
  <si>
    <t>*A chaque nouvelle valeur du SMIC copier vers le bas seulement le jour de son</t>
  </si>
  <si>
    <t>application; quand plein, supprimer celles du haut et copier celles du bas à la place:</t>
  </si>
  <si>
    <t>la valeur en cours doit toujours être en bas</t>
  </si>
  <si>
    <t>Changement</t>
  </si>
  <si>
    <t>Séverine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</si>
</sst>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 Unicode MS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" fillId="0" borderId="0" xfId="0" applyFont="1"/>
    <xf numFmtId="0" fontId="0" fillId="0" borderId="1" xfId="0" applyBorder="1"/>
    <xf numFmtId="10" fontId="0" fillId="0" borderId="1" xfId="0" applyNumberFormat="1" applyBorder="1"/>
    <xf numFmtId="164" fontId="0" fillId="0" borderId="1" xfId="0" applyNumberFormat="1" applyBorder="1"/>
    <xf numFmtId="0" fontId="1" fillId="0" borderId="3" xfId="0" applyFont="1" applyBorder="1"/>
    <xf numFmtId="0" fontId="0" fillId="3" borderId="1" xfId="0" applyFill="1" applyBorder="1"/>
    <xf numFmtId="14" fontId="1" fillId="0" borderId="1" xfId="0" applyNumberFormat="1" applyFont="1" applyBorder="1"/>
    <xf numFmtId="164" fontId="1" fillId="0" borderId="1" xfId="0" applyNumberFormat="1" applyFont="1" applyBorder="1"/>
    <xf numFmtId="14" fontId="0" fillId="0" borderId="1" xfId="0" applyNumberFormat="1" applyBorder="1"/>
    <xf numFmtId="0" fontId="0" fillId="3" borderId="3" xfId="0" applyFill="1" applyBorder="1"/>
    <xf numFmtId="1" fontId="1" fillId="0" borderId="1" xfId="0" applyNumberFormat="1" applyFont="1" applyBorder="1"/>
    <xf numFmtId="0" fontId="0" fillId="4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0" xfId="0" applyNumberFormat="1" applyBorder="1"/>
    <xf numFmtId="1" fontId="0" fillId="4" borderId="1" xfId="0" applyNumberForma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Fill="1" applyBorder="1" applyAlignment="1">
      <alignment horizontal="right"/>
    </xf>
    <xf numFmtId="0" fontId="2" fillId="0" borderId="0" xfId="0" applyFont="1" applyBorder="1"/>
    <xf numFmtId="0" fontId="0" fillId="0" borderId="8" xfId="0" applyBorder="1"/>
    <xf numFmtId="2" fontId="0" fillId="0" borderId="0" xfId="0" applyNumberFormat="1"/>
    <xf numFmtId="14" fontId="0" fillId="0" borderId="0" xfId="0" applyNumberFormat="1" applyBorder="1"/>
    <xf numFmtId="0" fontId="4" fillId="0" borderId="0" xfId="0" applyFont="1"/>
    <xf numFmtId="44" fontId="0" fillId="0" borderId="0" xfId="0" applyNumberFormat="1"/>
    <xf numFmtId="14" fontId="3" fillId="0" borderId="0" xfId="0" applyNumberFormat="1" applyFont="1" applyAlignment="1">
      <alignment vertical="center"/>
    </xf>
    <xf numFmtId="0" fontId="1" fillId="0" borderId="4" xfId="0" applyFont="1" applyBorder="1"/>
    <xf numFmtId="0" fontId="0" fillId="0" borderId="4" xfId="0" applyFont="1" applyBorder="1"/>
    <xf numFmtId="0" fontId="0" fillId="0" borderId="5" xfId="0" applyFont="1" applyBorder="1"/>
    <xf numFmtId="49" fontId="0" fillId="0" borderId="0" xfId="0" applyNumberFormat="1"/>
    <xf numFmtId="1" fontId="0" fillId="0" borderId="0" xfId="0" applyNumberFormat="1" applyFill="1" applyBorder="1"/>
    <xf numFmtId="0" fontId="0" fillId="0" borderId="0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C633-AFB9-467B-BC3C-9AAE5309161D}">
  <dimension ref="A2:O39"/>
  <sheetViews>
    <sheetView tabSelected="1" topLeftCell="A6" workbookViewId="0">
      <selection activeCell="B8" sqref="B8"/>
    </sheetView>
  </sheetViews>
  <sheetFormatPr baseColWidth="10" defaultRowHeight="15"/>
  <cols>
    <col min="1" max="1" width="14.42578125" bestFit="1" customWidth="1"/>
    <col min="2" max="2" width="14" bestFit="1" customWidth="1"/>
    <col min="3" max="4" width="10.5703125" bestFit="1" customWidth="1"/>
    <col min="5" max="5" width="10.7109375" bestFit="1" customWidth="1"/>
    <col min="6" max="6" width="11" bestFit="1" customWidth="1"/>
    <col min="7" max="9" width="11.85546875" bestFit="1" customWidth="1"/>
  </cols>
  <sheetData>
    <row r="2" spans="1:15" ht="15.75" thickBot="1">
      <c r="D2" s="4"/>
    </row>
    <row r="3" spans="1:15" ht="15.75" thickBot="1">
      <c r="A3" s="9" t="s">
        <v>0</v>
      </c>
      <c r="B3" s="5"/>
      <c r="I3" s="1"/>
    </row>
    <row r="4" spans="1:15" ht="15.75" thickBot="1">
      <c r="A4" s="13" t="s">
        <v>6</v>
      </c>
      <c r="B4" s="8">
        <v>151.66999999999999</v>
      </c>
      <c r="D4" s="16" t="s">
        <v>21</v>
      </c>
      <c r="E4" s="16">
        <v>1</v>
      </c>
      <c r="F4" s="16">
        <v>2</v>
      </c>
      <c r="G4" s="16">
        <v>3</v>
      </c>
      <c r="H4" s="1"/>
      <c r="I4" s="1"/>
      <c r="J4" s="1"/>
    </row>
    <row r="5" spans="1:15" ht="15.75" thickBot="1">
      <c r="A5" s="20" t="s">
        <v>1</v>
      </c>
      <c r="B5" s="20" t="s">
        <v>7</v>
      </c>
      <c r="C5" s="20" t="s">
        <v>8</v>
      </c>
      <c r="D5" s="17">
        <v>18</v>
      </c>
      <c r="E5" s="6">
        <v>0.35</v>
      </c>
      <c r="F5" s="6">
        <v>0.45</v>
      </c>
      <c r="G5" s="6">
        <v>0.55000000000000004</v>
      </c>
      <c r="H5" s="1"/>
      <c r="I5" s="1"/>
    </row>
    <row r="6" spans="1:15" ht="15.75" thickBot="1">
      <c r="A6" s="12">
        <v>44927</v>
      </c>
      <c r="B6" s="7">
        <v>11.27</v>
      </c>
      <c r="C6" s="7">
        <f>$B$4*B6</f>
        <v>1709.3208999999997</v>
      </c>
      <c r="D6" s="17">
        <v>20</v>
      </c>
      <c r="E6" s="6">
        <v>0.5</v>
      </c>
      <c r="F6" s="6">
        <v>0.6</v>
      </c>
      <c r="G6" s="6">
        <v>0.7</v>
      </c>
      <c r="H6" s="1"/>
      <c r="I6" s="31"/>
      <c r="J6" s="31"/>
    </row>
    <row r="7" spans="1:15" ht="15.75" thickBot="1">
      <c r="A7" s="12">
        <v>45047</v>
      </c>
      <c r="B7" s="7">
        <v>11.52</v>
      </c>
      <c r="C7" s="7">
        <f>$B$4*B7</f>
        <v>1747.2383999999997</v>
      </c>
      <c r="D7" s="17">
        <v>25</v>
      </c>
      <c r="E7" s="6">
        <v>0.65</v>
      </c>
      <c r="F7" s="6">
        <v>0.75</v>
      </c>
      <c r="G7" s="6">
        <v>0.85</v>
      </c>
      <c r="H7" s="1"/>
      <c r="I7" s="1"/>
      <c r="J7" s="1"/>
      <c r="K7" s="3"/>
    </row>
    <row r="8" spans="1:15" ht="15.75" thickBot="1">
      <c r="A8" s="12"/>
      <c r="B8" s="7"/>
      <c r="C8" s="7"/>
      <c r="D8" s="17">
        <v>26</v>
      </c>
      <c r="E8" s="6">
        <v>1</v>
      </c>
      <c r="F8" s="6">
        <v>1</v>
      </c>
      <c r="G8" s="6">
        <v>1</v>
      </c>
      <c r="H8" s="1"/>
      <c r="I8" s="1"/>
      <c r="J8" s="1"/>
      <c r="K8" s="1"/>
    </row>
    <row r="9" spans="1:15" ht="15.75" thickBot="1">
      <c r="A9" s="12"/>
      <c r="B9" s="7"/>
      <c r="C9" s="7"/>
      <c r="D9" s="18"/>
      <c r="H9" s="12"/>
      <c r="I9" s="1"/>
      <c r="J9" s="1"/>
    </row>
    <row r="10" spans="1:15" ht="15.75" thickBot="1">
      <c r="A10" s="12"/>
      <c r="B10" s="7"/>
      <c r="C10" s="7"/>
      <c r="D10" s="18"/>
      <c r="H10" s="34"/>
      <c r="I10" s="1"/>
      <c r="J10" s="1"/>
    </row>
    <row r="11" spans="1:15" ht="15.75" thickBot="1">
      <c r="A11" s="12"/>
      <c r="B11" s="7"/>
      <c r="C11" s="7"/>
      <c r="D11" s="18"/>
      <c r="H11" s="1"/>
      <c r="I11" s="1"/>
    </row>
    <row r="12" spans="1:15" ht="15.75" thickBot="1">
      <c r="A12" s="12" t="s">
        <v>12</v>
      </c>
      <c r="B12" s="7"/>
      <c r="C12" s="7">
        <v>1962.47</v>
      </c>
      <c r="D12" s="18"/>
      <c r="E12" s="3"/>
      <c r="H12" s="3"/>
      <c r="J12" s="1"/>
    </row>
    <row r="13" spans="1:15" ht="15.75" thickBot="1">
      <c r="A13" s="32"/>
      <c r="B13" s="23"/>
      <c r="C13" s="23"/>
      <c r="D13" s="18"/>
      <c r="E13" s="1"/>
      <c r="H13" s="1"/>
      <c r="I13" s="31"/>
      <c r="J13" s="1"/>
      <c r="O13" s="1"/>
    </row>
    <row r="14" spans="1:15" ht="15.75" thickBot="1">
      <c r="B14" s="2"/>
      <c r="D14" s="19">
        <v>18</v>
      </c>
      <c r="E14" s="7">
        <f t="array" ref="E14">MAX(IF($B$6:$B$11&gt;$B$6,$B$6:$B$11))*$B$4*E5</f>
        <v>611.53343999999981</v>
      </c>
      <c r="F14" s="7">
        <f t="array" ref="F14">MAX(IF($B$6:$B$11&gt;$B$6,$B$6:$B$11))*$B$4*F5</f>
        <v>786.25727999999992</v>
      </c>
      <c r="G14" s="7">
        <f t="array" ref="G14">MAX(IF($B$6:$B$11&gt;$B$6,$B$6:$B$11))*$B$4*G5</f>
        <v>960.98111999999992</v>
      </c>
      <c r="H14" s="39"/>
      <c r="I14" s="1"/>
      <c r="J14" s="39"/>
      <c r="K14" s="1"/>
      <c r="L14" s="39"/>
      <c r="M14" s="1"/>
      <c r="O14" s="3"/>
    </row>
    <row r="15" spans="1:15" ht="15.75" thickBot="1">
      <c r="A15" s="15" t="s">
        <v>2</v>
      </c>
      <c r="B15" s="11" t="s">
        <v>26</v>
      </c>
      <c r="C15" s="25"/>
      <c r="D15" s="17">
        <v>20</v>
      </c>
      <c r="E15" s="7">
        <f t="array" ref="E15">MAX(IF($B$6:$B$11&gt;$B$6,$B$6:$B$11))*$B$4*E6</f>
        <v>873.61919999999986</v>
      </c>
      <c r="F15" s="7">
        <f t="array" ref="F15">MAX(IF($B$6:$B$11&gt;$B$6,$B$6:$B$11))*$B$4*F6</f>
        <v>1048.3430399999997</v>
      </c>
      <c r="G15" s="7">
        <f t="array" ref="G15">MAX(IF($B$6:$B$11&gt;$B$6,$B$6:$B$11))*$B$4*G6</f>
        <v>1223.0668799999996</v>
      </c>
      <c r="H15" s="39"/>
      <c r="I15" s="1"/>
      <c r="J15" s="39"/>
      <c r="K15" s="1"/>
      <c r="L15" s="39"/>
      <c r="M15" s="1"/>
    </row>
    <row r="16" spans="1:15" ht="15.75" thickBot="1">
      <c r="A16" s="15" t="s">
        <v>3</v>
      </c>
      <c r="B16" s="10">
        <v>35795</v>
      </c>
      <c r="C16" s="36"/>
      <c r="D16" s="17">
        <v>25</v>
      </c>
      <c r="E16" s="7">
        <f t="array" ref="E16">MAX(IF($B$6:$B$11&gt;$B$6,$B$6:$B$11))*$B$4*E7</f>
        <v>1135.7049599999998</v>
      </c>
      <c r="F16" s="7">
        <f t="array" ref="F16">MAX(IF($B$6:$B$11&gt;$B$6,$B$6:$B$11))*$B$4*F7</f>
        <v>1310.4287999999997</v>
      </c>
      <c r="G16" s="7">
        <f t="array" ref="G16">MAX(IF($B$6:$B$11&gt;$B$6,$B$6:$B$11))*$B$4*G7</f>
        <v>1485.1526399999998</v>
      </c>
      <c r="H16" s="39"/>
      <c r="I16" s="1"/>
      <c r="J16" s="39"/>
      <c r="K16" s="1"/>
      <c r="L16" s="39"/>
      <c r="M16" s="1"/>
    </row>
    <row r="17" spans="1:15" ht="15.75" thickBot="1">
      <c r="A17" s="15" t="s">
        <v>10</v>
      </c>
      <c r="B17" s="14">
        <v>24</v>
      </c>
      <c r="C17" s="37"/>
      <c r="D17" s="17">
        <v>26</v>
      </c>
      <c r="E17" s="7">
        <f t="array" ref="E17">MAX(IF($B$6:$B$11&gt;$B$6,$B$6:$B$11))*$B$4*E8</f>
        <v>1747.2383999999997</v>
      </c>
      <c r="F17" s="7">
        <f t="array" ref="F17">MAX(IF($B$6:$B$11&gt;$B$6,$B$6:$B$11))*$B$4*F8</f>
        <v>1747.2383999999997</v>
      </c>
      <c r="G17" s="7">
        <f t="array" ref="G17">MAX(IF($B$6:$B$11&gt;$B$6,$B$6:$B$11))*$B$4*G8</f>
        <v>1747.2383999999997</v>
      </c>
      <c r="H17" s="39"/>
      <c r="I17" s="1"/>
      <c r="J17" s="39"/>
      <c r="K17" s="1"/>
      <c r="L17" s="39"/>
      <c r="N17" s="1"/>
    </row>
    <row r="18" spans="1:15" ht="15.75" thickBot="1">
      <c r="A18" s="15" t="s">
        <v>11</v>
      </c>
      <c r="B18" s="14">
        <v>2</v>
      </c>
      <c r="C18" s="38"/>
      <c r="D18" s="28">
        <v>99</v>
      </c>
      <c r="E18" s="23"/>
      <c r="F18" s="23"/>
      <c r="G18" s="23"/>
      <c r="H18" s="39"/>
      <c r="I18" s="1"/>
      <c r="J18" s="39"/>
      <c r="K18" s="1"/>
      <c r="L18" s="1"/>
      <c r="M18" s="31"/>
    </row>
    <row r="19" spans="1:15" ht="15.75" thickBot="1">
      <c r="A19" s="15" t="s">
        <v>4</v>
      </c>
      <c r="B19" s="10">
        <v>45110</v>
      </c>
      <c r="C19" s="26"/>
      <c r="D19" s="29"/>
      <c r="E19" s="1"/>
      <c r="K19" s="1"/>
    </row>
    <row r="20" spans="1:15" ht="15.75" thickBot="1">
      <c r="A20" s="15" t="s">
        <v>5</v>
      </c>
      <c r="B20" s="12">
        <f>_xlfn.IFS($B$18&gt;3,"Début Invalide",$B$17&lt;6,"Durée invalide",$B$17&gt;36,"Durée invalide",AND($B$17&gt;12,$B$18=3),"Durée invalide",AND($B$17&gt;24,$B$18=2),"Durée invalide",TRUE,EDATE($B$19,$B$17)-1)</f>
        <v>45840</v>
      </c>
      <c r="C20" s="26"/>
      <c r="D20" s="32"/>
      <c r="E20" s="3"/>
      <c r="H20" s="1"/>
      <c r="O20" s="1"/>
    </row>
    <row r="21" spans="1:15" ht="15.75" thickBot="1">
      <c r="A21" s="15" t="s">
        <v>9</v>
      </c>
      <c r="B21" s="22">
        <f>IF(ROUNDDOWN((($B$19-$B$16)/365),0)&lt;16,"Age invalide",ROUNDDOWN((($B$19-$B$16)/365),0))</f>
        <v>25</v>
      </c>
      <c r="C21" s="27"/>
      <c r="D21" s="30"/>
      <c r="E21" s="3"/>
      <c r="I21" s="3"/>
    </row>
    <row r="22" spans="1:15" ht="15.75" thickBot="1">
      <c r="A22" s="15" t="s">
        <v>25</v>
      </c>
      <c r="B22" s="12">
        <f t="array" ref="B22">IF($B$21&gt;=26,$B$20,EOMONTH(EDATE($B$16,MIN(IF($D$14:$D$17&gt;$B$21,$D$14:$D$17))*12),0)+1)</f>
        <v>45292</v>
      </c>
      <c r="C22" s="21" t="s">
        <v>4</v>
      </c>
      <c r="D22" s="21" t="s">
        <v>5</v>
      </c>
      <c r="L22" s="41"/>
      <c r="M22" s="1"/>
    </row>
    <row r="23" spans="1:15" ht="15.75" thickBot="1">
      <c r="A23" s="24">
        <f>IF(OR(ISTEXT($B$20),ISTEXT($B21),ISTEXT($B$22),$B$18&gt;3),"",$B$18)</f>
        <v>2</v>
      </c>
      <c r="B23" s="7">
        <f t="array" ref="B23">IF(OR(ISTEXT($B$20),$C$23=""),"",IF(DATEDIF($B$16,C23,"Y")&gt;=26,IF($C$12&gt;0,$C$12,$E$17),IF(DATEDIF($B$16,C23,"Y")&lt;18,VLOOKUP(18,$D$14:$G$17,A23+1),IF(DATEDIF($B$16,C23,"Y")&lt;20,VLOOKUP(20,$D$14:$G$17,A23+1),VLOOKUP(25,$D$14:$G$17,A23+1)))))</f>
        <v>1310.4287999999997</v>
      </c>
      <c r="C23" s="12">
        <f>IF(OR(ISTEXT($A$23),ISTEXT($B$21),ISTEXT($B$20)),"",$B$19)</f>
        <v>45110</v>
      </c>
      <c r="D23" s="12">
        <f t="array" ref="D23">IF(OR(ISTEXT($B$20),ISTEXT($B$21)),"",IF(OR($B$21&gt;=26,$B22&gt;=$B$20),MIN(EOMONTH(EDATE($B$19,11),0),$B$20),MIN(EOMONTH(EDATE($B$16,MIN(IF($D$14:$D$17&gt;$B$21,$D$14:$D$17))*12),0),EOMONTH(EDATE($B$19,11),0),$B$20)))</f>
        <v>45291</v>
      </c>
      <c r="E23" s="3"/>
      <c r="G23" s="1"/>
      <c r="I23" s="3"/>
      <c r="J23" s="1"/>
    </row>
    <row r="24" spans="1:15" ht="15.75" thickBot="1">
      <c r="A24" s="24">
        <f>IF(ISTEXT($A$23),"",IF($B$17&lt;=12,IF($D$23&lt;$B$20,A23,""),IF(EOMONTH(EDATE($B$22,-1),0)=$D$23,A23,A23+1)))</f>
        <v>2</v>
      </c>
      <c r="B24" s="7">
        <f>IF(OR(ISTEXT($B$20),$C$24="",A24=""),"",IF(DATEDIF($B$16,$C$24,"Y")&gt;=26,IF($C$12&gt;0,$C$12,$E$17),IF(DATEDIF($B$16,$C$24,"Y")&lt;18,VLOOKUP(18,$D$14:$G$17,A24+1),IF(DATEDIF($B$16,$C$24,"Y")&lt;20,VLOOKUP(20,$D$14:$G$17,A24+1),VLOOKUP(25,$D$14:$G$17,A24+1)))))</f>
        <v>1962.47</v>
      </c>
      <c r="C24" s="12">
        <f>IF(OR(ISTEXT($B$20),ISTEXT($B$23)),"",IF(D23+1&gt;$B$20,"",D23+1))</f>
        <v>45292</v>
      </c>
      <c r="D24" s="12">
        <f>IF(OR(ISTEXT($B$20),ISTEXT($B$21)),"",IF($D$23=EOMONTH(EDATE($B$19,12),-1),IF($B$17&lt;=12,MIN(EDATE($B$19,$B$17)-1,EOMONTH(EDATE($B$19,$B$17),0)),MIN(EOMONTH($B$22,-1),EDATE($D$23,12),EDATE($B$19,$B$17)-1)),IF($D$23=$B$20,"",MIN(EDATE($B$19,$B$17)-1,EOMONTH(EDATE($B$19,12),-1),EOMONTH(EDATE($B$19,$B$17),0)))))</f>
        <v>45473</v>
      </c>
      <c r="E24" s="3"/>
      <c r="F24" s="1"/>
      <c r="G24" s="1"/>
      <c r="H24" s="1"/>
      <c r="I24" s="1"/>
      <c r="J24" s="1"/>
      <c r="K24" s="1"/>
      <c r="M24" s="1"/>
    </row>
    <row r="25" spans="1:15" ht="15.75" thickBot="1">
      <c r="A25" s="24">
        <f>IF(OR(ISTEXT($A$24),ISTEXT($B$20),ISTEXT($B$21)),"",IF($B$17&lt;=12,IF($D$24=$B$20,"",$A$24),IF($B$17&lt;=24,IF($D$24=$B$20,"",IF(OR($A$24=3,$A$23+$A$24=4),3,2)),IF(EOMONTH(EDATE($B$22,0),-1)&lt;=$C$24,2,3))))</f>
        <v>3</v>
      </c>
      <c r="B25" s="7">
        <f t="array" ref="B25">IF(OR(ISTEXT($B$20),$C$23="",A25=""),"",IF(DATEDIF($B$16,C25,"Y")&gt;=26,IF($C$12&gt;0,$C$12,$E$17),IF(DATEDIF($B$16,C25,"Y")&lt;18,VLOOKUP(18,$D$14:$G$17,A25+1),IF(DATEDIF($B$16,C25,"Y")&lt;20,VLOOKUP(20,$D$14:$G$17,A25+1),VLOOKUP(25,$D$14:$G$17,A25+1)))))</f>
        <v>1962.47</v>
      </c>
      <c r="C25" s="12">
        <f t="array" ref="C25">IF(OR(ISTEXT($B$20),ISTEXT($B$23),D24=""),"",IF(D24+1&gt;$B$20,"",D24+1))</f>
        <v>45474</v>
      </c>
      <c r="D25" s="12">
        <f>IF(OR(ISTEXT($A$23),ISTEXT($A$24),ISTEXT(A25),ISTEXT($B$20),ISTEXT($B$21)),"",IF($A$25=2,IF($B$17&lt;24,$B$20,MIN(EDATE($D24,12),$B$20)),IF($A$25=1,$B$20,$B$20)))</f>
        <v>45840</v>
      </c>
      <c r="E25" s="3"/>
      <c r="F25" s="35"/>
      <c r="I25" s="1"/>
      <c r="J25" s="3"/>
      <c r="K25" s="1"/>
      <c r="M25" s="1"/>
    </row>
    <row r="26" spans="1:15" ht="15.75" thickBot="1">
      <c r="A26" s="24" t="str">
        <f>IF(OR(C26="",ISTEXT($A$23),ISTEXT($B$20),ISTEXT($B$21)),"",IF(D25&gt;=$B$20,"",IF(AND(EOMONTH(EDATE($B$19,23),0)+1=$C$26,$B$17&gt;12,$B$17&lt;=24),A25,A25+1)))</f>
        <v/>
      </c>
      <c r="B26" s="7" t="str">
        <f t="array" ref="B26">IF(OR(ISTEXT($B$20),$C$23="",A26=""),"",IF(DATEDIF($B$16,C26,"Y")&gt;=26,IF($C$12&gt;0,$C$12,$E$17),IF(DATEDIF($B$16,C26,"Y")&lt;18,VLOOKUP(18,$D$14:$G$17,A26+1),IF(DATEDIF($B$16,C26,"Y")&lt;20,VLOOKUP(20,$D$14:$G$17,A26+1),VLOOKUP(25,$D$14:$G$17,A26+1)))))</f>
        <v/>
      </c>
      <c r="C26" s="12" t="str">
        <f t="array" ref="C26">IF(OR(ISTEXT($B$20),ISTEXT($B$21),ISTEXT($A$23),C25=""),"",IF(D25+1&gt;$B$20,"",D25+1))</f>
        <v/>
      </c>
      <c r="D26" s="12" t="str">
        <f t="array" ref="D26">IF(OR(ISTEXT($A$23),ISTEXT(A26),ISTEXT($B$20),ISTEXT($B$21)),"",IF(OR($B$21&gt;=26,$B24&gt;=$B$20,MIN(IF($D$14:$D$17&gt;$B$21,$D$14:$D$17))-ROUNDDOWN(((C26-$B$16)/365),0)&gt;1),(MIN(EOMONTH(EDATE(D25,12),0),$B$20)),IF(MONTH(D25)+1=MONTH($B$20),IF(EOMONTH($B$22,-1)+1&gt;D25,MIN(EOMONTH(EDATE($B$16,MIN(IF($D$14:$D$17&gt;$B$21,$D$14:$D$17))*12),1)),MIN(EDATE(D25,12),(EDATE($B$19,$B$17)-1))),IF(MONTH($B$20)&gt;=MONTH($B$22),EOMONTH(EDATE(D25,(MONTH($B$20)-MONTH($B$22))),0),EOMONTH(EDATE(D25,(12+MONTH($B$20)-MONTH($B$22))),-1)))))</f>
        <v/>
      </c>
      <c r="E26" s="3"/>
      <c r="F26" s="1"/>
      <c r="G26" s="1"/>
      <c r="I26" s="1"/>
      <c r="J26" s="1"/>
      <c r="M26" s="1"/>
    </row>
    <row r="27" spans="1:15" ht="15.75" thickBot="1">
      <c r="A27" s="24"/>
      <c r="B27" s="7"/>
      <c r="C27" s="12"/>
      <c r="D27" s="12"/>
      <c r="E27" s="3"/>
      <c r="G27" s="1"/>
      <c r="I27" s="1"/>
      <c r="J27" s="1"/>
      <c r="M27" s="1"/>
    </row>
    <row r="28" spans="1:15">
      <c r="B28" s="1"/>
      <c r="E28" s="40"/>
      <c r="G28" s="1"/>
    </row>
    <row r="29" spans="1:15">
      <c r="A29" s="33" t="s">
        <v>14</v>
      </c>
      <c r="B29" s="3"/>
      <c r="E29" s="3"/>
      <c r="F29" s="1"/>
      <c r="G29" s="1"/>
      <c r="H29" s="1"/>
    </row>
    <row r="30" spans="1:15">
      <c r="A30" t="s">
        <v>15</v>
      </c>
      <c r="B30" s="3"/>
      <c r="H30" s="1"/>
    </row>
    <row r="31" spans="1:15">
      <c r="A31" t="s">
        <v>19</v>
      </c>
      <c r="B31" s="3"/>
      <c r="G31" s="1"/>
      <c r="I31" s="1"/>
    </row>
    <row r="32" spans="1:15">
      <c r="A32" t="s">
        <v>20</v>
      </c>
      <c r="B32" s="3"/>
      <c r="G32" s="1"/>
    </row>
    <row r="33" spans="1:7">
      <c r="A33" t="s">
        <v>16</v>
      </c>
      <c r="B33" s="1"/>
      <c r="G33" s="1"/>
    </row>
    <row r="34" spans="1:7">
      <c r="A34" t="s">
        <v>22</v>
      </c>
    </row>
    <row r="35" spans="1:7">
      <c r="A35" t="s">
        <v>23</v>
      </c>
    </row>
    <row r="36" spans="1:7">
      <c r="A36" t="s">
        <v>24</v>
      </c>
    </row>
    <row r="37" spans="1:7">
      <c r="A37" t="s">
        <v>17</v>
      </c>
    </row>
    <row r="38" spans="1:7">
      <c r="A38" t="s">
        <v>13</v>
      </c>
    </row>
    <row r="39" spans="1:7">
      <c r="A3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willard</dc:creator>
  <cp:lastModifiedBy>brucine</cp:lastModifiedBy>
  <cp:lastPrinted>2023-08-28T11:46:34Z</cp:lastPrinted>
  <dcterms:created xsi:type="dcterms:W3CDTF">2021-08-30T12:57:39Z</dcterms:created>
  <dcterms:modified xsi:type="dcterms:W3CDTF">2023-09-01T21:52:54Z</dcterms:modified>
</cp:coreProperties>
</file>