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aymond pentier\Desktop\°Octobre 2017-février 2018\CCM\"/>
    </mc:Choice>
  </mc:AlternateContent>
  <bookViews>
    <workbookView xWindow="0" yWindow="0" windowWidth="19200" windowHeight="7800" activeTab="1"/>
    <workbookView xWindow="0" yWindow="0" windowWidth="19200" windowHeight="7524"/>
  </bookViews>
  <sheets>
    <sheet name="RI" sheetId="2" r:id="rId1"/>
    <sheet name="stats" sheetId="3" r:id="rId2"/>
  </sheets>
  <definedNames>
    <definedName name="_xlnm._FilterDatabase" localSheetId="0" hidden="1">RI!$A$1:$H$91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3" l="1"/>
  <c r="G45" i="3"/>
  <c r="G39" i="3"/>
  <c r="G36" i="3"/>
  <c r="G33" i="3"/>
  <c r="G42" i="3"/>
  <c r="D46" i="3"/>
  <c r="E46" i="3"/>
  <c r="D47" i="3"/>
  <c r="E47" i="3"/>
  <c r="D43" i="3"/>
  <c r="E43" i="3"/>
  <c r="D44" i="3"/>
  <c r="E44" i="3"/>
  <c r="D41" i="3"/>
  <c r="E41" i="3"/>
  <c r="E42" i="3" l="1"/>
  <c r="D42" i="3"/>
  <c r="C42" i="3"/>
  <c r="C47" i="3"/>
  <c r="C46" i="3"/>
  <c r="C35" i="3"/>
  <c r="C44" i="3"/>
  <c r="E45" i="3"/>
  <c r="D45" i="3"/>
  <c r="C45" i="3"/>
  <c r="C34" i="3"/>
  <c r="C41" i="3"/>
  <c r="C38" i="3"/>
  <c r="C43" i="3"/>
  <c r="C40" i="3"/>
  <c r="E40" i="3"/>
  <c r="D40" i="3"/>
  <c r="C37" i="3"/>
  <c r="E39" i="3"/>
  <c r="D39" i="3"/>
  <c r="C39" i="3"/>
  <c r="E38" i="3"/>
  <c r="D38" i="3"/>
  <c r="E37" i="3"/>
  <c r="D37" i="3"/>
  <c r="E36" i="3"/>
  <c r="D36" i="3"/>
  <c r="C36" i="3"/>
  <c r="C33" i="3"/>
  <c r="E34" i="3"/>
  <c r="D34" i="3"/>
  <c r="E33" i="3"/>
  <c r="D33" i="3"/>
  <c r="E35" i="3"/>
  <c r="D35" i="3"/>
  <c r="E26" i="3"/>
  <c r="D26" i="3"/>
  <c r="C26" i="3"/>
  <c r="C8" i="3"/>
  <c r="C7" i="3"/>
  <c r="C6" i="3"/>
  <c r="C5" i="3"/>
  <c r="C4" i="3"/>
  <c r="C23" i="3"/>
  <c r="C22" i="3"/>
  <c r="E29" i="3"/>
  <c r="E24" i="3"/>
  <c r="D29" i="3"/>
  <c r="D24" i="3"/>
  <c r="C24" i="3"/>
  <c r="C21" i="3"/>
  <c r="E25" i="3"/>
  <c r="E23" i="3"/>
  <c r="E22" i="3"/>
  <c r="E27" i="3"/>
  <c r="D27" i="3"/>
  <c r="E21" i="3"/>
  <c r="D21" i="3"/>
  <c r="C27" i="3"/>
  <c r="D25" i="3"/>
  <c r="D23" i="3"/>
  <c r="D22" i="3"/>
  <c r="C25" i="3"/>
  <c r="C10" i="3"/>
  <c r="E10" i="3"/>
  <c r="D10" i="3"/>
  <c r="E4" i="3"/>
  <c r="D4" i="3"/>
  <c r="E8" i="3"/>
  <c r="D8" i="3"/>
  <c r="E7" i="3"/>
  <c r="D7" i="3"/>
  <c r="E6" i="3"/>
  <c r="D6" i="3"/>
  <c r="D5" i="3"/>
  <c r="E5" i="3"/>
  <c r="E2" i="3"/>
  <c r="E3" i="3" s="1"/>
  <c r="D2" i="3"/>
  <c r="D3" i="3" s="1"/>
  <c r="C2" i="3"/>
  <c r="C11" i="3" s="1"/>
  <c r="E31" i="3" l="1"/>
  <c r="F26" i="3"/>
  <c r="F27" i="3"/>
  <c r="D30" i="3"/>
  <c r="E30" i="3"/>
  <c r="D31" i="3"/>
  <c r="C31" i="3"/>
  <c r="F24" i="3"/>
  <c r="C30" i="3"/>
  <c r="C29" i="3"/>
  <c r="F29" i="3" s="1"/>
  <c r="F25" i="3"/>
  <c r="F22" i="3"/>
  <c r="F21" i="3"/>
  <c r="F23" i="3"/>
  <c r="C17" i="3"/>
  <c r="D15" i="3"/>
  <c r="D17" i="3"/>
  <c r="C14" i="3"/>
  <c r="C18" i="3"/>
  <c r="E15" i="3"/>
  <c r="E17" i="3"/>
  <c r="C15" i="3"/>
  <c r="D14" i="3"/>
  <c r="D16" i="3"/>
  <c r="D18" i="3"/>
  <c r="C16" i="3"/>
  <c r="E14" i="3"/>
  <c r="E16" i="3"/>
  <c r="E18" i="3"/>
  <c r="D13" i="3"/>
  <c r="E13" i="3"/>
  <c r="C13" i="3"/>
  <c r="C3" i="3"/>
  <c r="F3" i="3" s="1"/>
  <c r="E11" i="3"/>
  <c r="F10" i="3"/>
  <c r="F6" i="3"/>
  <c r="D11" i="3"/>
  <c r="F8" i="3"/>
  <c r="F7" i="3"/>
  <c r="F5" i="3"/>
  <c r="F4" i="3"/>
  <c r="F2" i="3"/>
  <c r="F30" i="3" l="1"/>
  <c r="F31" i="3"/>
  <c r="F15" i="3"/>
  <c r="F17" i="3"/>
  <c r="E12" i="3"/>
  <c r="F16" i="3"/>
  <c r="F14" i="3"/>
  <c r="F13" i="3"/>
  <c r="F18" i="3"/>
  <c r="D12" i="3"/>
  <c r="C12" i="3"/>
  <c r="F11" i="3"/>
</calcChain>
</file>

<file path=xl/comments1.xml><?xml version="1.0" encoding="utf-8"?>
<comments xmlns="http://schemas.openxmlformats.org/spreadsheetml/2006/main">
  <authors>
    <author/>
  </authors>
  <commentList>
    <comment ref="B60" authorId="0" shapeId="0">
      <text>
        <r>
          <rPr>
            <sz val="10"/>
            <color rgb="FF000000"/>
            <rFont val="Arial"/>
            <family val="2"/>
            <scheme val="minor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<sst xmlns="http://schemas.openxmlformats.org/spreadsheetml/2006/main" count="155" uniqueCount="46">
  <si>
    <t>🚆 TER (%)</t>
  </si>
  <si>
    <t>🚇 Métro et tramway (%)</t>
  </si>
  <si>
    <r>
      <rPr>
        <u/>
        <sz val="10"/>
        <color rgb="FF1155CC"/>
        <rFont val="Arial"/>
        <family val="2"/>
      </rPr>
      <t>🚗</t>
    </r>
    <r>
      <rPr>
        <sz val="10"/>
        <color rgb="FF000000"/>
        <rFont val="Arial"/>
        <family val="2"/>
        <scheme val="minor"/>
      </rPr>
      <t xml:space="preserve"> Voiture (%)</t>
    </r>
  </si>
  <si>
    <t>🚌 Bus et car (%)</t>
  </si>
  <si>
    <t>🚲 Vélo à assistance électrique (%)</t>
  </si>
  <si>
    <t>Vélo sans assistance et marche à pied</t>
  </si>
  <si>
    <t>TER</t>
  </si>
  <si>
    <t>Voiture</t>
  </si>
  <si>
    <t>Bus et car</t>
  </si>
  <si>
    <t>Lyon</t>
  </si>
  <si>
    <t>Reims</t>
  </si>
  <si>
    <t>Aix-en-Provence</t>
  </si>
  <si>
    <t>Med</t>
  </si>
  <si>
    <t>Nord</t>
  </si>
  <si>
    <t>Total</t>
  </si>
  <si>
    <t>Vélo sans assistance et marche à pied (%)</t>
  </si>
  <si>
    <t>TER (%)</t>
  </si>
  <si>
    <t>Métro et tramway (%)</t>
  </si>
  <si>
    <t>Voiture (%)</t>
  </si>
  <si>
    <t>Bus et car (%)</t>
  </si>
  <si>
    <t>Vélo à assistance électrique (%)</t>
  </si>
  <si>
    <t>Nombre de répondants</t>
  </si>
  <si>
    <t>Moins de 10km</t>
  </si>
  <si>
    <t>Moins de 20km</t>
  </si>
  <si>
    <t>Moins de 50km</t>
  </si>
  <si>
    <t>Moins de 100km</t>
  </si>
  <si>
    <t>Plus de 100km</t>
  </si>
  <si>
    <t>Pourcentage transports utilisés</t>
  </si>
  <si>
    <t>Pas de réponse</t>
  </si>
  <si>
    <t>Pas d'utilisation d'un des modes de transports</t>
  </si>
  <si>
    <t>Total nombre de jours de présence en 2022</t>
  </si>
  <si>
    <t>Répartition par type de transport</t>
  </si>
  <si>
    <t>Métro et tramway</t>
  </si>
  <si>
    <t>Vélo à assistance électrique</t>
  </si>
  <si>
    <t>Transports en commun</t>
  </si>
  <si>
    <t>Mobilité active et douce</t>
  </si>
  <si>
    <t>Répartition par transport</t>
  </si>
  <si>
    <t>Type de transport utilisé par rapport aux km parcourus</t>
  </si>
  <si>
    <t>Quel est votre lieu de résidence ?</t>
  </si>
  <si>
    <t>Distance moyenne en km A/R domicile-travail</t>
  </si>
  <si>
    <t>TRAVAIL NON HABITUEL AU LIEU DE TRAVAIL</t>
  </si>
  <si>
    <t>Trajets</t>
  </si>
  <si>
    <t>Moyenne par personne du nb de jours de présence en 2022</t>
  </si>
  <si>
    <t>A quelle distance en km ALLER-RETOUR se trouvait-il votre domicile de votre lieu de travail ?</t>
  </si>
  <si>
    <t>🚶 Vélo sans assistance et marche à pied (%)</t>
  </si>
  <si>
    <t>T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</si>
</sst>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FF"/>
      <name val="Arial"/>
      <family val="2"/>
    </font>
    <font>
      <u/>
      <sz val="10"/>
      <color rgb="FF1155CC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1"/>
      <color rgb="FF00B05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63A7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5" fillId="2" borderId="0" xfId="0" applyFont="1" applyFill="1"/>
    <xf numFmtId="0" fontId="4" fillId="0" borderId="0" xfId="0" applyFont="1"/>
    <xf numFmtId="2" fontId="0" fillId="0" borderId="0" xfId="0" applyNumberFormat="1"/>
    <xf numFmtId="0" fontId="5" fillId="2" borderId="1" xfId="0" applyFont="1" applyFill="1" applyBorder="1"/>
    <xf numFmtId="0" fontId="0" fillId="0" borderId="2" xfId="0" applyBorder="1"/>
    <xf numFmtId="2" fontId="0" fillId="0" borderId="2" xfId="0" applyNumberFormat="1" applyBorder="1"/>
    <xf numFmtId="0" fontId="5" fillId="2" borderId="2" xfId="0" applyFont="1" applyFill="1" applyBorder="1"/>
    <xf numFmtId="0" fontId="0" fillId="0" borderId="3" xfId="0" applyBorder="1"/>
    <xf numFmtId="0" fontId="4" fillId="3" borderId="0" xfId="0" applyFont="1" applyFill="1"/>
    <xf numFmtId="2" fontId="0" fillId="3" borderId="0" xfId="0" applyNumberFormat="1" applyFill="1"/>
    <xf numFmtId="2" fontId="0" fillId="3" borderId="2" xfId="0" applyNumberFormat="1" applyFill="1" applyBorder="1"/>
    <xf numFmtId="0" fontId="0" fillId="3" borderId="0" xfId="0" applyFill="1"/>
    <xf numFmtId="0" fontId="4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0" fillId="0" borderId="7" xfId="0" applyBorder="1"/>
    <xf numFmtId="0" fontId="0" fillId="0" borderId="8" xfId="0" applyBorder="1"/>
    <xf numFmtId="0" fontId="4" fillId="0" borderId="0" xfId="0" applyFont="1" applyBorder="1"/>
    <xf numFmtId="0" fontId="0" fillId="0" borderId="0" xfId="0" applyBorder="1"/>
    <xf numFmtId="0" fontId="4" fillId="0" borderId="9" xfId="0" applyFont="1" applyBorder="1"/>
    <xf numFmtId="0" fontId="0" fillId="0" borderId="9" xfId="0" applyBorder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0" fillId="5" borderId="0" xfId="0" applyFill="1"/>
    <xf numFmtId="0" fontId="4" fillId="5" borderId="0" xfId="0" applyFont="1" applyFill="1"/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Border="1"/>
    <xf numFmtId="0" fontId="1" fillId="6" borderId="0" xfId="0" applyFont="1" applyFill="1"/>
    <xf numFmtId="0" fontId="0" fillId="6" borderId="0" xfId="0" applyFill="1"/>
    <xf numFmtId="0" fontId="8" fillId="0" borderId="0" xfId="0" applyFont="1" applyAlignment="1">
      <alignment horizontal="center"/>
    </xf>
    <xf numFmtId="0" fontId="0" fillId="0" borderId="11" xfId="0" applyBorder="1"/>
    <xf numFmtId="0" fontId="6" fillId="0" borderId="11" xfId="0" applyFont="1" applyBorder="1"/>
    <xf numFmtId="0" fontId="0" fillId="0" borderId="10" xfId="0" applyBorder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063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93307</xdr:colOff>
      <xdr:row>0</xdr:row>
      <xdr:rowOff>85531</xdr:rowOff>
    </xdr:from>
    <xdr:to>
      <xdr:col>9</xdr:col>
      <xdr:colOff>256592</xdr:colOff>
      <xdr:row>0</xdr:row>
      <xdr:rowOff>754225</xdr:rowOff>
    </xdr:to>
    <xdr:sp macro="" textlink="">
      <xdr:nvSpPr>
        <xdr:cNvPr id="2" name="ZoneTexte 1"/>
        <xdr:cNvSpPr txBox="1"/>
      </xdr:nvSpPr>
      <xdr:spPr>
        <a:xfrm>
          <a:off x="6648062" y="85531"/>
          <a:ext cx="1461795" cy="66869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C00000"/>
              </a:solidFill>
            </a:rPr>
            <a:t>Retraitement pour import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au1" displayName="Tableau1" ref="A1:H91" totalsRowShown="0" headerRowDxfId="4">
  <autoFilter ref="A1:H91"/>
  <tableColumns count="8">
    <tableColumn id="3" name="Quel est votre lieu de résidence ?" dataDxfId="3"/>
    <tableColumn id="9" name="A quelle distance en km ALLER-RETOUR se trouvait-il votre domicile de votre lieu de travail ?" dataDxfId="2"/>
    <tableColumn id="11" name="🚶 Vélo sans assistance et marche à pied (%)" dataDxfId="1"/>
    <tableColumn id="12" name="🚆 TER (%)"/>
    <tableColumn id="13" name="🚇 Métro et tramway (%)"/>
    <tableColumn id="14" name="🚗 Voiture (%)" dataDxfId="0"/>
    <tableColumn id="15" name="🚌 Bus et car (%)"/>
    <tableColumn id="16" name="🚲 Vélo à assistance électrique (%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mojipedia.org/fr/voiture/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M191"/>
  <sheetViews>
    <sheetView zoomScale="98" zoomScaleNormal="98" workbookViewId="0">
      <pane ySplit="1" topLeftCell="A2" activePane="bottomLeft" state="frozen"/>
      <selection pane="bottomLeft" activeCell="J6" sqref="J6"/>
    </sheetView>
    <sheetView tabSelected="1" topLeftCell="B1" workbookViewId="1">
      <selection activeCell="G1" activeCellId="1" sqref="D1:E1048576 G1:G1048576"/>
    </sheetView>
  </sheetViews>
  <sheetFormatPr baseColWidth="10" defaultColWidth="12.5546875" defaultRowHeight="15.75" customHeight="1" x14ac:dyDescent="0.25"/>
  <cols>
    <col min="1" max="1" width="12.88671875" customWidth="1"/>
    <col min="2" max="2" width="21.88671875" customWidth="1"/>
    <col min="3" max="3" width="13" customWidth="1"/>
    <col min="4" max="4" width="10.21875" customWidth="1"/>
    <col min="5" max="6" width="9.33203125" customWidth="1"/>
    <col min="7" max="7" width="8.77734375" customWidth="1"/>
    <col min="8" max="8" width="10.21875" customWidth="1"/>
    <col min="9" max="14" width="18.88671875" customWidth="1"/>
  </cols>
  <sheetData>
    <row r="1" spans="1:13" s="32" customFormat="1" ht="66" customHeight="1" x14ac:dyDescent="0.25">
      <c r="A1" s="30" t="s">
        <v>38</v>
      </c>
      <c r="B1" s="30" t="s">
        <v>43</v>
      </c>
      <c r="C1" s="30" t="s">
        <v>44</v>
      </c>
      <c r="D1" s="30" t="s">
        <v>0</v>
      </c>
      <c r="E1" s="30" t="s">
        <v>1</v>
      </c>
      <c r="F1" s="31" t="s">
        <v>2</v>
      </c>
      <c r="G1" s="30" t="s">
        <v>3</v>
      </c>
      <c r="H1" s="30" t="s">
        <v>4</v>
      </c>
      <c r="I1" s="30"/>
      <c r="J1" s="30"/>
      <c r="K1" s="30"/>
      <c r="L1" s="30"/>
      <c r="M1" s="30"/>
    </row>
    <row r="2" spans="1:13" ht="15.75" customHeight="1" x14ac:dyDescent="0.25">
      <c r="A2" s="1" t="s">
        <v>9</v>
      </c>
      <c r="B2" s="1">
        <v>1</v>
      </c>
      <c r="C2" s="1">
        <v>100</v>
      </c>
      <c r="D2">
        <v>0</v>
      </c>
      <c r="E2">
        <v>0</v>
      </c>
      <c r="F2">
        <v>0</v>
      </c>
      <c r="G2">
        <v>0</v>
      </c>
      <c r="H2">
        <v>0</v>
      </c>
    </row>
    <row r="3" spans="1:13" ht="15.75" customHeight="1" x14ac:dyDescent="0.25">
      <c r="A3" s="1" t="s">
        <v>9</v>
      </c>
      <c r="B3" s="1">
        <v>54</v>
      </c>
      <c r="C3">
        <v>0</v>
      </c>
      <c r="D3">
        <v>0</v>
      </c>
      <c r="E3" s="1">
        <v>10</v>
      </c>
      <c r="F3" s="1">
        <v>90</v>
      </c>
      <c r="G3">
        <v>0</v>
      </c>
      <c r="H3">
        <v>0</v>
      </c>
    </row>
    <row r="4" spans="1:13" ht="15.75" customHeight="1" x14ac:dyDescent="0.25">
      <c r="A4" s="1" t="s">
        <v>9</v>
      </c>
      <c r="B4" s="1">
        <v>4</v>
      </c>
      <c r="C4" s="1">
        <v>100</v>
      </c>
      <c r="D4" s="1">
        <v>0</v>
      </c>
      <c r="E4" s="1">
        <v>0</v>
      </c>
      <c r="F4" s="1">
        <v>0</v>
      </c>
      <c r="G4" s="1">
        <v>0</v>
      </c>
      <c r="H4" s="1">
        <v>0</v>
      </c>
    </row>
    <row r="5" spans="1:13" ht="15.75" customHeight="1" x14ac:dyDescent="0.25">
      <c r="A5" s="1" t="s">
        <v>9</v>
      </c>
      <c r="B5" s="1">
        <v>100</v>
      </c>
      <c r="C5">
        <v>0</v>
      </c>
      <c r="D5">
        <v>0</v>
      </c>
      <c r="E5">
        <v>0</v>
      </c>
      <c r="F5" s="1">
        <v>100</v>
      </c>
      <c r="G5">
        <v>0</v>
      </c>
      <c r="H5">
        <v>0</v>
      </c>
    </row>
    <row r="6" spans="1:13" ht="15.75" customHeight="1" x14ac:dyDescent="0.25">
      <c r="A6" s="1" t="s">
        <v>9</v>
      </c>
      <c r="B6" s="1">
        <v>2</v>
      </c>
      <c r="C6" s="1">
        <v>89</v>
      </c>
      <c r="D6" s="1">
        <v>0</v>
      </c>
      <c r="E6" s="1">
        <v>1</v>
      </c>
      <c r="F6" s="1">
        <v>5</v>
      </c>
      <c r="G6" s="1">
        <v>5</v>
      </c>
      <c r="H6" s="1">
        <v>0</v>
      </c>
    </row>
    <row r="7" spans="1:13" ht="15.75" customHeight="1" x14ac:dyDescent="0.25">
      <c r="A7" s="1" t="s">
        <v>9</v>
      </c>
      <c r="B7" s="1">
        <v>16</v>
      </c>
      <c r="C7">
        <v>0</v>
      </c>
      <c r="D7">
        <v>0</v>
      </c>
      <c r="E7" s="1">
        <v>50</v>
      </c>
      <c r="F7">
        <v>0</v>
      </c>
      <c r="G7" s="1">
        <v>50</v>
      </c>
      <c r="H7">
        <v>0</v>
      </c>
    </row>
    <row r="8" spans="1:13" ht="15.75" customHeight="1" x14ac:dyDescent="0.25">
      <c r="A8" s="1" t="s">
        <v>9</v>
      </c>
      <c r="B8" s="1">
        <v>20</v>
      </c>
      <c r="C8">
        <v>0</v>
      </c>
      <c r="D8">
        <v>0</v>
      </c>
      <c r="E8">
        <v>0</v>
      </c>
      <c r="F8" s="1">
        <v>100</v>
      </c>
      <c r="H8">
        <v>0</v>
      </c>
    </row>
    <row r="9" spans="1:13" ht="15.75" customHeight="1" x14ac:dyDescent="0.25">
      <c r="A9" s="1" t="s">
        <v>9</v>
      </c>
      <c r="B9" s="1">
        <v>8</v>
      </c>
      <c r="C9" s="1">
        <v>90</v>
      </c>
      <c r="D9">
        <v>0</v>
      </c>
      <c r="E9" s="1">
        <v>10</v>
      </c>
      <c r="F9">
        <v>0</v>
      </c>
      <c r="G9">
        <v>0</v>
      </c>
      <c r="H9">
        <v>0</v>
      </c>
    </row>
    <row r="10" spans="1:13" ht="15.75" customHeight="1" x14ac:dyDescent="0.25">
      <c r="A10" s="1" t="s">
        <v>9</v>
      </c>
      <c r="B10" s="1">
        <v>7</v>
      </c>
      <c r="C10" s="1">
        <v>100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13" ht="15.75" customHeight="1" x14ac:dyDescent="0.25">
      <c r="A11" s="1" t="s">
        <v>9</v>
      </c>
      <c r="B11" s="1">
        <v>6</v>
      </c>
      <c r="C11" s="1">
        <v>25</v>
      </c>
      <c r="D11">
        <v>0</v>
      </c>
      <c r="E11" s="1">
        <v>25</v>
      </c>
      <c r="F11">
        <v>0</v>
      </c>
      <c r="G11" s="1">
        <v>25</v>
      </c>
      <c r="H11" s="1">
        <v>25</v>
      </c>
    </row>
    <row r="12" spans="1:13" ht="15.75" customHeight="1" x14ac:dyDescent="0.25">
      <c r="A12" s="1" t="s">
        <v>9</v>
      </c>
      <c r="B12" s="1">
        <v>40</v>
      </c>
      <c r="C12">
        <v>0</v>
      </c>
      <c r="D12" s="1">
        <v>80</v>
      </c>
      <c r="E12">
        <v>0</v>
      </c>
      <c r="F12" s="1">
        <v>20</v>
      </c>
      <c r="G12">
        <v>0</v>
      </c>
      <c r="H12">
        <v>0</v>
      </c>
    </row>
    <row r="13" spans="1:13" ht="15.75" customHeight="1" x14ac:dyDescent="0.25">
      <c r="A13" s="1" t="s">
        <v>9</v>
      </c>
      <c r="B13" s="1">
        <v>6</v>
      </c>
      <c r="C13" s="1">
        <v>50</v>
      </c>
      <c r="D13">
        <v>0</v>
      </c>
      <c r="E13" s="1">
        <v>50</v>
      </c>
      <c r="F13">
        <v>0</v>
      </c>
      <c r="G13">
        <v>0</v>
      </c>
      <c r="H13">
        <v>0</v>
      </c>
    </row>
    <row r="14" spans="1:13" ht="15.75" customHeight="1" x14ac:dyDescent="0.25">
      <c r="A14" s="1" t="s">
        <v>9</v>
      </c>
      <c r="B14" s="1">
        <v>1000</v>
      </c>
      <c r="C14">
        <v>0</v>
      </c>
      <c r="D14">
        <v>0</v>
      </c>
      <c r="E14" s="1">
        <v>10</v>
      </c>
      <c r="F14">
        <v>0</v>
      </c>
      <c r="G14">
        <v>0</v>
      </c>
      <c r="H14">
        <v>0</v>
      </c>
    </row>
    <row r="15" spans="1:13" ht="15.75" customHeight="1" x14ac:dyDescent="0.25">
      <c r="A15" s="1" t="s">
        <v>9</v>
      </c>
      <c r="B15" s="1">
        <v>7</v>
      </c>
      <c r="C15">
        <v>0</v>
      </c>
      <c r="D15">
        <v>0</v>
      </c>
      <c r="E15" s="1">
        <v>50</v>
      </c>
      <c r="F15" s="1">
        <v>2</v>
      </c>
      <c r="G15" s="1">
        <v>48</v>
      </c>
      <c r="H15">
        <v>0</v>
      </c>
    </row>
    <row r="16" spans="1:13" ht="15.75" customHeight="1" x14ac:dyDescent="0.25">
      <c r="A16" s="1" t="s">
        <v>11</v>
      </c>
      <c r="B16" s="1">
        <v>84</v>
      </c>
      <c r="C16">
        <v>0</v>
      </c>
      <c r="D16">
        <v>0</v>
      </c>
      <c r="E16">
        <v>0</v>
      </c>
      <c r="F16" s="1">
        <v>100</v>
      </c>
      <c r="G16">
        <v>0</v>
      </c>
      <c r="H16">
        <v>0</v>
      </c>
    </row>
    <row r="17" spans="1:8" ht="15.75" customHeight="1" x14ac:dyDescent="0.25">
      <c r="A17" s="1" t="s">
        <v>9</v>
      </c>
      <c r="B17" s="1">
        <v>4</v>
      </c>
      <c r="C17" s="1">
        <v>100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ht="15.75" customHeight="1" x14ac:dyDescent="0.25">
      <c r="A18" s="1" t="s">
        <v>9</v>
      </c>
      <c r="B18" s="1">
        <v>5</v>
      </c>
      <c r="C18" s="1">
        <v>100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1:8" ht="15.75" customHeight="1" x14ac:dyDescent="0.25">
      <c r="A19" s="1" t="s">
        <v>9</v>
      </c>
      <c r="B19" s="1">
        <v>17.2</v>
      </c>
      <c r="C19" s="1">
        <v>10</v>
      </c>
      <c r="D19">
        <v>0</v>
      </c>
      <c r="E19">
        <v>0</v>
      </c>
      <c r="F19" s="1">
        <v>90</v>
      </c>
      <c r="G19">
        <v>0</v>
      </c>
      <c r="H19">
        <v>0</v>
      </c>
    </row>
    <row r="20" spans="1:8" ht="15.75" customHeight="1" x14ac:dyDescent="0.25">
      <c r="A20" s="1" t="s">
        <v>9</v>
      </c>
      <c r="B20" s="1">
        <v>5</v>
      </c>
      <c r="C20">
        <v>0</v>
      </c>
      <c r="D20">
        <v>0</v>
      </c>
      <c r="E20" s="1">
        <v>100</v>
      </c>
      <c r="F20">
        <v>0</v>
      </c>
      <c r="G20">
        <v>0</v>
      </c>
      <c r="H20">
        <v>0</v>
      </c>
    </row>
    <row r="21" spans="1:8" ht="15.75" customHeight="1" x14ac:dyDescent="0.25">
      <c r="A21" s="1" t="s">
        <v>11</v>
      </c>
      <c r="B21" s="1">
        <v>800</v>
      </c>
      <c r="C21">
        <v>0</v>
      </c>
      <c r="D21">
        <v>0</v>
      </c>
      <c r="E21">
        <v>0</v>
      </c>
      <c r="F21" s="1">
        <v>100</v>
      </c>
      <c r="G21">
        <v>0</v>
      </c>
      <c r="H21">
        <v>0</v>
      </c>
    </row>
    <row r="22" spans="1:8" ht="15.75" customHeight="1" x14ac:dyDescent="0.25">
      <c r="A22" s="1" t="s">
        <v>9</v>
      </c>
      <c r="B22" s="1">
        <v>4</v>
      </c>
      <c r="C22" s="1">
        <v>20</v>
      </c>
      <c r="D22" s="1">
        <v>0</v>
      </c>
      <c r="E22" s="1">
        <v>80</v>
      </c>
      <c r="F22" s="1">
        <v>0</v>
      </c>
      <c r="G22" s="1">
        <v>0</v>
      </c>
      <c r="H22" s="1">
        <v>0</v>
      </c>
    </row>
    <row r="23" spans="1:8" ht="15.75" customHeight="1" x14ac:dyDescent="0.25">
      <c r="A23" s="1" t="s">
        <v>9</v>
      </c>
      <c r="B23" s="1">
        <v>1.6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1:8" ht="15.75" customHeight="1" x14ac:dyDescent="0.25">
      <c r="A24" s="1" t="s">
        <v>9</v>
      </c>
      <c r="B24" s="1">
        <v>3</v>
      </c>
      <c r="C24" s="1">
        <v>10</v>
      </c>
      <c r="D24">
        <v>0</v>
      </c>
      <c r="E24">
        <v>0</v>
      </c>
      <c r="F24">
        <v>0</v>
      </c>
      <c r="G24" s="1">
        <v>90</v>
      </c>
      <c r="H24">
        <v>0</v>
      </c>
    </row>
    <row r="25" spans="1:8" ht="15.75" customHeight="1" x14ac:dyDescent="0.25">
      <c r="A25" s="1" t="s">
        <v>9</v>
      </c>
      <c r="B25" s="1">
        <v>59</v>
      </c>
      <c r="C25" s="1">
        <v>0</v>
      </c>
      <c r="D25" s="1">
        <v>94</v>
      </c>
      <c r="E25" s="1">
        <v>5</v>
      </c>
      <c r="F25" s="1">
        <v>1</v>
      </c>
      <c r="G25" s="1">
        <v>0</v>
      </c>
      <c r="H25" s="1">
        <v>0</v>
      </c>
    </row>
    <row r="26" spans="1:8" ht="15.75" customHeight="1" x14ac:dyDescent="0.25">
      <c r="A26" s="1" t="s">
        <v>9</v>
      </c>
      <c r="B26" s="1">
        <v>44</v>
      </c>
      <c r="C26" s="1">
        <v>0</v>
      </c>
      <c r="D26" s="1">
        <v>40</v>
      </c>
      <c r="E26" s="1">
        <v>0</v>
      </c>
      <c r="F26" s="1">
        <v>60</v>
      </c>
      <c r="G26" s="1">
        <v>0</v>
      </c>
      <c r="H26" s="1">
        <v>0</v>
      </c>
    </row>
    <row r="27" spans="1:8" ht="15.75" customHeight="1" x14ac:dyDescent="0.25">
      <c r="A27" s="1" t="s">
        <v>9</v>
      </c>
      <c r="B27" s="1">
        <v>44</v>
      </c>
      <c r="C27">
        <v>0</v>
      </c>
      <c r="D27" s="1">
        <v>75</v>
      </c>
      <c r="E27" s="1">
        <v>5</v>
      </c>
      <c r="F27" s="1">
        <v>20</v>
      </c>
      <c r="G27">
        <v>0</v>
      </c>
      <c r="H27">
        <v>0</v>
      </c>
    </row>
    <row r="28" spans="1:8" ht="13.2" x14ac:dyDescent="0.25">
      <c r="A28" s="1" t="s">
        <v>9</v>
      </c>
      <c r="B28" s="1">
        <v>13</v>
      </c>
      <c r="C28" s="1">
        <v>0</v>
      </c>
      <c r="D28" s="1">
        <v>0</v>
      </c>
      <c r="E28" s="1">
        <v>100</v>
      </c>
      <c r="F28" s="1">
        <v>0</v>
      </c>
      <c r="G28" s="1">
        <v>0</v>
      </c>
      <c r="H28" s="1">
        <v>0</v>
      </c>
    </row>
    <row r="29" spans="1:8" ht="13.2" x14ac:dyDescent="0.25">
      <c r="A29" s="1" t="s">
        <v>9</v>
      </c>
      <c r="B29" s="1">
        <v>25</v>
      </c>
      <c r="C29" s="1">
        <v>10</v>
      </c>
      <c r="D29">
        <v>0</v>
      </c>
      <c r="E29">
        <v>0</v>
      </c>
      <c r="F29" s="1">
        <v>90</v>
      </c>
      <c r="G29">
        <v>0</v>
      </c>
      <c r="H29">
        <v>0</v>
      </c>
    </row>
    <row r="30" spans="1:8" ht="13.2" x14ac:dyDescent="0.25">
      <c r="A30" s="1" t="s">
        <v>9</v>
      </c>
      <c r="B30" s="1">
        <v>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ht="13.2" x14ac:dyDescent="0.25">
      <c r="A31" s="1" t="s">
        <v>9</v>
      </c>
      <c r="B31" s="1">
        <v>6.8</v>
      </c>
      <c r="C31" s="1">
        <v>10</v>
      </c>
      <c r="D31">
        <v>0</v>
      </c>
      <c r="E31" s="1">
        <v>90</v>
      </c>
      <c r="F31">
        <v>0</v>
      </c>
      <c r="G31">
        <v>0</v>
      </c>
      <c r="H31">
        <v>0</v>
      </c>
    </row>
    <row r="32" spans="1:8" ht="13.2" x14ac:dyDescent="0.25">
      <c r="A32" s="1" t="s">
        <v>9</v>
      </c>
      <c r="B32" s="1">
        <v>16</v>
      </c>
      <c r="C32">
        <v>0</v>
      </c>
      <c r="D32">
        <v>0</v>
      </c>
      <c r="E32" s="1">
        <v>60</v>
      </c>
      <c r="F32" s="1">
        <v>40</v>
      </c>
      <c r="G32">
        <v>0</v>
      </c>
      <c r="H32">
        <v>0</v>
      </c>
    </row>
    <row r="33" spans="1:8" ht="13.2" x14ac:dyDescent="0.25">
      <c r="A33" s="1" t="s">
        <v>9</v>
      </c>
      <c r="B33" s="1">
        <v>1.6</v>
      </c>
      <c r="C33" s="1">
        <v>100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8" ht="13.2" x14ac:dyDescent="0.25">
      <c r="A34" s="1" t="s">
        <v>9</v>
      </c>
      <c r="B34" s="1">
        <v>24</v>
      </c>
      <c r="C34" s="1">
        <v>100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1:8" ht="13.2" x14ac:dyDescent="0.25">
      <c r="A35" s="1" t="s">
        <v>9</v>
      </c>
      <c r="B35" s="1">
        <v>0.7</v>
      </c>
      <c r="C35" s="1">
        <v>100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8" ht="13.2" x14ac:dyDescent="0.25">
      <c r="A36" s="1" t="s">
        <v>11</v>
      </c>
      <c r="B36" s="1">
        <v>309</v>
      </c>
      <c r="C36">
        <v>0</v>
      </c>
      <c r="D36">
        <v>0</v>
      </c>
      <c r="E36">
        <v>0</v>
      </c>
      <c r="F36" s="1">
        <v>100</v>
      </c>
      <c r="G36">
        <v>0</v>
      </c>
      <c r="H36">
        <v>0</v>
      </c>
    </row>
    <row r="37" spans="1:8" ht="13.2" x14ac:dyDescent="0.25">
      <c r="A37" s="1" t="s">
        <v>11</v>
      </c>
      <c r="B37" s="1">
        <v>6</v>
      </c>
      <c r="C37">
        <v>0</v>
      </c>
      <c r="D37">
        <v>0</v>
      </c>
      <c r="E37">
        <v>0</v>
      </c>
      <c r="F37" s="1">
        <v>10</v>
      </c>
      <c r="G37">
        <v>0</v>
      </c>
      <c r="H37">
        <v>0</v>
      </c>
    </row>
    <row r="38" spans="1:8" ht="13.2" x14ac:dyDescent="0.25">
      <c r="A38" s="1" t="s">
        <v>10</v>
      </c>
      <c r="B38" s="1">
        <v>106.8</v>
      </c>
      <c r="C38">
        <v>0</v>
      </c>
      <c r="D38">
        <v>0</v>
      </c>
      <c r="E38">
        <v>0</v>
      </c>
      <c r="F38" s="1">
        <v>100</v>
      </c>
      <c r="G38">
        <v>0</v>
      </c>
      <c r="H38">
        <v>0</v>
      </c>
    </row>
    <row r="39" spans="1:8" ht="13.2" x14ac:dyDescent="0.25">
      <c r="A39" s="1" t="s">
        <v>9</v>
      </c>
      <c r="B39" s="1">
        <v>2.6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8" ht="13.2" x14ac:dyDescent="0.25">
      <c r="A40" s="1" t="s">
        <v>9</v>
      </c>
      <c r="B40" s="1">
        <v>0.5</v>
      </c>
      <c r="C40" s="1">
        <v>100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3.2" x14ac:dyDescent="0.25">
      <c r="A41" s="1" t="s">
        <v>11</v>
      </c>
      <c r="B41" s="1">
        <v>610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1:8" ht="13.2" x14ac:dyDescent="0.25">
      <c r="A42" s="1" t="s">
        <v>11</v>
      </c>
      <c r="B42" s="1">
        <v>64</v>
      </c>
      <c r="C42">
        <v>0</v>
      </c>
      <c r="D42">
        <v>0</v>
      </c>
      <c r="E42">
        <v>0</v>
      </c>
      <c r="F42" s="1">
        <v>100</v>
      </c>
      <c r="G42">
        <v>0</v>
      </c>
      <c r="H42">
        <v>0</v>
      </c>
    </row>
    <row r="43" spans="1:8" ht="13.2" x14ac:dyDescent="0.25">
      <c r="A43" s="1" t="s">
        <v>10</v>
      </c>
      <c r="B43" s="1">
        <v>26</v>
      </c>
      <c r="C43">
        <v>0</v>
      </c>
      <c r="D43">
        <v>0</v>
      </c>
      <c r="E43">
        <v>0</v>
      </c>
      <c r="F43" s="1">
        <v>100</v>
      </c>
      <c r="G43">
        <v>0</v>
      </c>
      <c r="H43">
        <v>0</v>
      </c>
    </row>
    <row r="44" spans="1:8" ht="13.2" x14ac:dyDescent="0.25">
      <c r="A44" s="1" t="s">
        <v>11</v>
      </c>
      <c r="B44" s="1">
        <v>1160</v>
      </c>
      <c r="C44">
        <v>0</v>
      </c>
      <c r="D44" s="1">
        <v>15</v>
      </c>
      <c r="E44" s="1">
        <v>4</v>
      </c>
      <c r="F44" s="1">
        <v>0</v>
      </c>
      <c r="G44" s="1">
        <v>1</v>
      </c>
      <c r="H44" s="1">
        <v>0</v>
      </c>
    </row>
    <row r="45" spans="1:8" ht="13.2" x14ac:dyDescent="0.25">
      <c r="A45" s="1" t="s">
        <v>10</v>
      </c>
      <c r="B45" s="1">
        <v>0.5</v>
      </c>
      <c r="C45" s="1">
        <v>100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ht="13.2" x14ac:dyDescent="0.25">
      <c r="A46" s="1" t="s">
        <v>9</v>
      </c>
      <c r="B46" s="1">
        <v>4.5999999999999996</v>
      </c>
      <c r="C46" s="1">
        <v>15</v>
      </c>
      <c r="D46" s="1">
        <v>0</v>
      </c>
      <c r="E46" s="1">
        <v>85</v>
      </c>
      <c r="F46" s="1">
        <v>0</v>
      </c>
      <c r="G46" s="1">
        <v>0</v>
      </c>
      <c r="H46" s="1">
        <v>0</v>
      </c>
    </row>
    <row r="47" spans="1:8" ht="13.2" x14ac:dyDescent="0.25">
      <c r="A47" s="1" t="s">
        <v>11</v>
      </c>
      <c r="B47" s="1">
        <v>1.3</v>
      </c>
      <c r="C47" s="1">
        <v>100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ht="13.2" x14ac:dyDescent="0.25">
      <c r="A48" s="1" t="s">
        <v>11</v>
      </c>
      <c r="B48" s="1">
        <v>4</v>
      </c>
      <c r="C48" s="1">
        <v>30</v>
      </c>
      <c r="D48">
        <v>0</v>
      </c>
      <c r="E48">
        <v>0</v>
      </c>
      <c r="F48">
        <v>0</v>
      </c>
      <c r="G48">
        <v>0</v>
      </c>
      <c r="H48">
        <v>0</v>
      </c>
    </row>
    <row r="49" spans="1:8" ht="13.2" x14ac:dyDescent="0.25">
      <c r="A49" s="1" t="s">
        <v>9</v>
      </c>
      <c r="B49" s="1">
        <v>5</v>
      </c>
      <c r="C49" s="1">
        <v>100</v>
      </c>
      <c r="D49">
        <v>0</v>
      </c>
      <c r="E49">
        <v>0</v>
      </c>
      <c r="F49">
        <v>0</v>
      </c>
      <c r="G49">
        <v>0</v>
      </c>
      <c r="H49">
        <v>0</v>
      </c>
    </row>
    <row r="50" spans="1:8" ht="13.2" x14ac:dyDescent="0.25">
      <c r="A50" s="1" t="s">
        <v>9</v>
      </c>
      <c r="B50" s="1">
        <v>8</v>
      </c>
      <c r="C50" s="1">
        <v>0</v>
      </c>
      <c r="D50" s="1">
        <v>0</v>
      </c>
      <c r="E50" s="1">
        <v>90</v>
      </c>
      <c r="F50" s="1">
        <v>3</v>
      </c>
      <c r="G50" s="1">
        <v>5</v>
      </c>
      <c r="H50" s="1">
        <v>0</v>
      </c>
    </row>
    <row r="51" spans="1:8" ht="13.2" x14ac:dyDescent="0.25">
      <c r="A51" s="1" t="s">
        <v>11</v>
      </c>
      <c r="B51" s="1">
        <v>20</v>
      </c>
      <c r="C51" s="1">
        <v>0</v>
      </c>
      <c r="D51" s="1">
        <v>0</v>
      </c>
      <c r="E51" s="1">
        <v>0</v>
      </c>
      <c r="F51" s="1">
        <v>100</v>
      </c>
      <c r="G51" s="1">
        <v>0</v>
      </c>
      <c r="H51" s="1">
        <v>0</v>
      </c>
    </row>
    <row r="52" spans="1:8" ht="13.2" x14ac:dyDescent="0.25">
      <c r="A52" s="1" t="s">
        <v>10</v>
      </c>
      <c r="B52" s="1">
        <v>10</v>
      </c>
      <c r="C52">
        <v>0</v>
      </c>
      <c r="D52">
        <v>0</v>
      </c>
      <c r="E52">
        <v>0</v>
      </c>
      <c r="F52" s="1">
        <v>100</v>
      </c>
      <c r="G52">
        <v>0</v>
      </c>
      <c r="H52">
        <v>0</v>
      </c>
    </row>
    <row r="53" spans="1:8" ht="13.2" x14ac:dyDescent="0.25">
      <c r="A53" s="1" t="s">
        <v>10</v>
      </c>
      <c r="B53" s="1">
        <v>12</v>
      </c>
      <c r="C53">
        <v>0</v>
      </c>
      <c r="D53">
        <v>0</v>
      </c>
      <c r="E53">
        <v>0</v>
      </c>
      <c r="F53" s="1">
        <v>100</v>
      </c>
      <c r="G53">
        <v>0</v>
      </c>
      <c r="H53">
        <v>0</v>
      </c>
    </row>
    <row r="54" spans="1:8" ht="13.2" x14ac:dyDescent="0.25">
      <c r="A54" s="1" t="s">
        <v>9</v>
      </c>
      <c r="B54" s="1">
        <v>5</v>
      </c>
      <c r="C54" s="1">
        <v>100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1:8" ht="13.2" x14ac:dyDescent="0.25">
      <c r="A55" s="1" t="s">
        <v>9</v>
      </c>
      <c r="B55" s="1">
        <v>20</v>
      </c>
      <c r="C55" s="1">
        <v>5</v>
      </c>
      <c r="D55">
        <v>0</v>
      </c>
      <c r="E55" s="1">
        <v>55</v>
      </c>
      <c r="F55">
        <v>0</v>
      </c>
      <c r="G55" s="1">
        <v>40</v>
      </c>
      <c r="H55">
        <v>0</v>
      </c>
    </row>
    <row r="56" spans="1:8" ht="13.2" x14ac:dyDescent="0.25">
      <c r="A56" s="1" t="s">
        <v>9</v>
      </c>
      <c r="B56" s="1">
        <v>4.4000000000000004</v>
      </c>
      <c r="C56" s="1">
        <v>90</v>
      </c>
      <c r="D56" s="1">
        <v>0</v>
      </c>
      <c r="E56" s="1">
        <v>10</v>
      </c>
      <c r="F56" s="1">
        <v>0</v>
      </c>
      <c r="G56" s="1">
        <v>0</v>
      </c>
      <c r="H56" s="1">
        <v>0</v>
      </c>
    </row>
    <row r="57" spans="1:8" ht="13.2" x14ac:dyDescent="0.25">
      <c r="A57" s="1" t="s">
        <v>9</v>
      </c>
      <c r="B57" s="1">
        <v>10</v>
      </c>
      <c r="C57" s="1">
        <v>0</v>
      </c>
      <c r="D57" s="1">
        <v>0</v>
      </c>
      <c r="E57" s="1">
        <v>80</v>
      </c>
      <c r="F57" s="1">
        <v>0</v>
      </c>
      <c r="G57" s="1">
        <v>80</v>
      </c>
      <c r="H57" s="1">
        <v>0</v>
      </c>
    </row>
    <row r="58" spans="1:8" ht="13.2" x14ac:dyDescent="0.25">
      <c r="A58" s="1" t="s">
        <v>9</v>
      </c>
      <c r="B58" s="1">
        <v>2</v>
      </c>
      <c r="C58" s="1">
        <v>20</v>
      </c>
      <c r="D58" s="1">
        <v>0</v>
      </c>
      <c r="E58" s="1">
        <v>80</v>
      </c>
      <c r="F58" s="1">
        <v>0</v>
      </c>
      <c r="G58" s="1">
        <v>0</v>
      </c>
      <c r="H58" s="1">
        <v>0</v>
      </c>
    </row>
    <row r="59" spans="1:8" ht="13.2" x14ac:dyDescent="0.25">
      <c r="A59" s="1" t="s">
        <v>11</v>
      </c>
      <c r="B59" s="1">
        <v>1.5</v>
      </c>
      <c r="C59" s="1">
        <v>50</v>
      </c>
      <c r="D59">
        <v>0</v>
      </c>
      <c r="E59">
        <v>0</v>
      </c>
      <c r="F59" s="1">
        <v>50</v>
      </c>
      <c r="G59">
        <v>0</v>
      </c>
      <c r="H59">
        <v>0</v>
      </c>
    </row>
    <row r="60" spans="1:8" ht="13.2" x14ac:dyDescent="0.25">
      <c r="A60" s="1" t="s">
        <v>9</v>
      </c>
      <c r="B60" s="1">
        <v>5</v>
      </c>
      <c r="C60" s="1">
        <v>30</v>
      </c>
      <c r="D60">
        <v>0</v>
      </c>
      <c r="E60" s="1">
        <v>70</v>
      </c>
      <c r="F60">
        <v>0</v>
      </c>
      <c r="G60">
        <v>0</v>
      </c>
      <c r="H60">
        <v>0</v>
      </c>
    </row>
    <row r="61" spans="1:8" ht="13.2" x14ac:dyDescent="0.25">
      <c r="A61" s="1" t="s">
        <v>9</v>
      </c>
      <c r="B61" s="1">
        <v>4</v>
      </c>
      <c r="C61" s="1">
        <v>100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ht="13.2" x14ac:dyDescent="0.25">
      <c r="A62" s="1" t="s">
        <v>9</v>
      </c>
      <c r="B62" s="1">
        <v>80</v>
      </c>
      <c r="C62">
        <v>0</v>
      </c>
      <c r="D62" s="1">
        <v>99</v>
      </c>
      <c r="E62">
        <v>0</v>
      </c>
      <c r="F62">
        <v>0</v>
      </c>
      <c r="G62">
        <v>0</v>
      </c>
      <c r="H62">
        <v>0</v>
      </c>
    </row>
    <row r="63" spans="1:8" ht="13.2" x14ac:dyDescent="0.25">
      <c r="A63" s="1" t="s">
        <v>9</v>
      </c>
      <c r="B63" s="1">
        <v>30</v>
      </c>
      <c r="C63">
        <v>0</v>
      </c>
      <c r="D63">
        <v>0</v>
      </c>
      <c r="E63" s="1">
        <v>90</v>
      </c>
      <c r="F63">
        <v>0</v>
      </c>
      <c r="G63" s="1">
        <v>10</v>
      </c>
      <c r="H63">
        <v>0</v>
      </c>
    </row>
    <row r="64" spans="1:8" ht="13.2" x14ac:dyDescent="0.25">
      <c r="A64" s="1" t="s">
        <v>9</v>
      </c>
      <c r="B64" s="1">
        <v>10</v>
      </c>
      <c r="C64" s="1">
        <v>0</v>
      </c>
      <c r="D64" s="1">
        <v>0</v>
      </c>
      <c r="E64" s="1">
        <v>100</v>
      </c>
      <c r="F64" s="1">
        <v>0</v>
      </c>
      <c r="G64" s="1">
        <v>0</v>
      </c>
      <c r="H64" s="1">
        <v>0</v>
      </c>
    </row>
    <row r="65" spans="1:8" ht="13.2" x14ac:dyDescent="0.25">
      <c r="A65" s="1" t="s">
        <v>10</v>
      </c>
      <c r="B65" s="1">
        <v>59.2</v>
      </c>
      <c r="C65" s="1">
        <v>100</v>
      </c>
      <c r="D65" s="1">
        <v>100</v>
      </c>
      <c r="E65">
        <v>0</v>
      </c>
      <c r="F65">
        <v>0</v>
      </c>
      <c r="G65">
        <v>0</v>
      </c>
      <c r="H65">
        <v>0</v>
      </c>
    </row>
    <row r="66" spans="1:8" ht="13.2" x14ac:dyDescent="0.25">
      <c r="A66" s="1" t="s">
        <v>9</v>
      </c>
      <c r="B66" s="1">
        <v>25</v>
      </c>
      <c r="C66" s="1">
        <v>70</v>
      </c>
      <c r="D66">
        <v>0</v>
      </c>
      <c r="E66" s="1">
        <v>30</v>
      </c>
      <c r="F66">
        <v>0</v>
      </c>
      <c r="G66">
        <v>0</v>
      </c>
      <c r="H66">
        <v>0</v>
      </c>
    </row>
    <row r="67" spans="1:8" ht="13.2" x14ac:dyDescent="0.25">
      <c r="A67" s="1" t="s">
        <v>9</v>
      </c>
      <c r="B67" s="1">
        <v>200</v>
      </c>
      <c r="C67">
        <v>0</v>
      </c>
      <c r="D67" s="1">
        <v>95</v>
      </c>
      <c r="E67" s="1">
        <v>4</v>
      </c>
      <c r="F67" s="1">
        <v>1</v>
      </c>
      <c r="G67">
        <v>0</v>
      </c>
      <c r="H67">
        <v>0</v>
      </c>
    </row>
    <row r="68" spans="1:8" ht="13.2" x14ac:dyDescent="0.25">
      <c r="A68" s="1" t="s">
        <v>11</v>
      </c>
      <c r="B68" s="1">
        <v>22</v>
      </c>
      <c r="C68">
        <v>0</v>
      </c>
      <c r="D68">
        <v>0</v>
      </c>
      <c r="E68">
        <v>0</v>
      </c>
      <c r="F68" s="1">
        <v>100</v>
      </c>
      <c r="G68">
        <v>0</v>
      </c>
      <c r="H68">
        <v>0</v>
      </c>
    </row>
    <row r="69" spans="1:8" ht="13.2" x14ac:dyDescent="0.25">
      <c r="A69" s="1" t="s">
        <v>9</v>
      </c>
      <c r="B69" s="1">
        <v>10</v>
      </c>
      <c r="C69" s="1">
        <v>0</v>
      </c>
      <c r="D69" s="1">
        <v>0</v>
      </c>
      <c r="E69" s="1">
        <v>2</v>
      </c>
      <c r="F69" s="1">
        <v>2</v>
      </c>
      <c r="G69" s="1">
        <v>96</v>
      </c>
      <c r="H69" s="1">
        <v>0</v>
      </c>
    </row>
    <row r="70" spans="1:8" ht="13.2" x14ac:dyDescent="0.25">
      <c r="A70" s="1" t="s">
        <v>9</v>
      </c>
      <c r="B70" s="1">
        <v>7</v>
      </c>
      <c r="C70">
        <v>0</v>
      </c>
      <c r="D70">
        <v>0</v>
      </c>
      <c r="E70" s="1">
        <v>50</v>
      </c>
      <c r="F70">
        <v>0</v>
      </c>
      <c r="G70" s="1">
        <v>50</v>
      </c>
      <c r="H70">
        <v>0</v>
      </c>
    </row>
    <row r="71" spans="1:8" ht="13.2" x14ac:dyDescent="0.25">
      <c r="A71" s="1" t="s">
        <v>9</v>
      </c>
      <c r="B71" s="1">
        <v>1.8</v>
      </c>
      <c r="C71" s="1">
        <v>0</v>
      </c>
      <c r="D71" s="1">
        <v>0</v>
      </c>
      <c r="E71" s="1">
        <v>10</v>
      </c>
      <c r="F71" s="1">
        <v>0</v>
      </c>
      <c r="G71" s="1">
        <v>0</v>
      </c>
      <c r="H71" s="1">
        <v>0</v>
      </c>
    </row>
    <row r="72" spans="1:8" ht="13.2" x14ac:dyDescent="0.25">
      <c r="A72" s="1" t="s">
        <v>9</v>
      </c>
      <c r="B72" s="1">
        <v>42</v>
      </c>
      <c r="C72">
        <v>0</v>
      </c>
      <c r="D72">
        <v>0</v>
      </c>
      <c r="E72" s="1">
        <v>50</v>
      </c>
      <c r="F72">
        <v>0</v>
      </c>
      <c r="G72" s="1">
        <v>50</v>
      </c>
      <c r="H72">
        <v>0</v>
      </c>
    </row>
    <row r="73" spans="1:8" ht="13.2" x14ac:dyDescent="0.25">
      <c r="A73" s="1" t="s">
        <v>11</v>
      </c>
      <c r="B73" s="1">
        <v>50</v>
      </c>
      <c r="C73" s="1">
        <v>10</v>
      </c>
      <c r="D73" s="1">
        <v>10</v>
      </c>
      <c r="E73" s="1">
        <v>10</v>
      </c>
      <c r="F73" s="1">
        <v>100</v>
      </c>
      <c r="G73" s="1">
        <v>10</v>
      </c>
      <c r="H73" s="1">
        <v>10</v>
      </c>
    </row>
    <row r="74" spans="1:8" ht="13.2" x14ac:dyDescent="0.25">
      <c r="A74" s="1" t="s">
        <v>10</v>
      </c>
      <c r="B74" s="1">
        <v>4</v>
      </c>
      <c r="C74" s="1">
        <v>0</v>
      </c>
      <c r="D74" s="1">
        <v>50</v>
      </c>
      <c r="E74" s="1">
        <v>0</v>
      </c>
      <c r="F74" s="1">
        <v>25</v>
      </c>
      <c r="G74" s="1">
        <v>0</v>
      </c>
      <c r="H74" s="1">
        <v>0</v>
      </c>
    </row>
    <row r="75" spans="1:8" ht="13.2" x14ac:dyDescent="0.25">
      <c r="A75" s="1" t="s">
        <v>11</v>
      </c>
      <c r="B75" s="1">
        <v>55</v>
      </c>
      <c r="C75" s="1">
        <v>0</v>
      </c>
      <c r="D75" s="1">
        <v>0</v>
      </c>
      <c r="E75" s="1">
        <v>0</v>
      </c>
      <c r="F75" s="1">
        <v>100</v>
      </c>
      <c r="G75" s="1">
        <v>0</v>
      </c>
      <c r="H75" s="1">
        <v>0</v>
      </c>
    </row>
    <row r="76" spans="1:8" ht="13.2" x14ac:dyDescent="0.25">
      <c r="A76" s="1" t="s">
        <v>9</v>
      </c>
      <c r="B76" s="1">
        <v>7.2</v>
      </c>
      <c r="C76" s="1">
        <v>0</v>
      </c>
      <c r="D76" s="1">
        <v>0</v>
      </c>
      <c r="E76" s="1">
        <v>100</v>
      </c>
      <c r="F76" s="1">
        <v>0</v>
      </c>
      <c r="G76" s="1">
        <v>0</v>
      </c>
      <c r="H76" s="1">
        <v>0</v>
      </c>
    </row>
    <row r="77" spans="1:8" ht="13.2" x14ac:dyDescent="0.25">
      <c r="A77" s="1" t="s">
        <v>9</v>
      </c>
      <c r="B77" s="1">
        <v>7</v>
      </c>
      <c r="C77" s="1">
        <v>10</v>
      </c>
      <c r="D77" s="1">
        <v>0</v>
      </c>
      <c r="E77" s="1">
        <v>0</v>
      </c>
      <c r="F77" s="1">
        <v>0</v>
      </c>
      <c r="G77" s="1">
        <v>90</v>
      </c>
      <c r="H77" s="1">
        <v>0</v>
      </c>
    </row>
    <row r="78" spans="1:8" ht="13.2" x14ac:dyDescent="0.25">
      <c r="A78" s="1" t="s">
        <v>11</v>
      </c>
      <c r="B78" s="1">
        <v>158</v>
      </c>
      <c r="C78">
        <v>0</v>
      </c>
      <c r="D78" s="1">
        <v>100</v>
      </c>
      <c r="E78">
        <v>0</v>
      </c>
      <c r="F78">
        <v>0</v>
      </c>
      <c r="G78">
        <v>0</v>
      </c>
      <c r="H78">
        <v>0</v>
      </c>
    </row>
    <row r="79" spans="1:8" ht="13.2" x14ac:dyDescent="0.25">
      <c r="A79" s="1" t="s">
        <v>11</v>
      </c>
      <c r="B79" s="1">
        <v>160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1:8" ht="13.2" x14ac:dyDescent="0.25">
      <c r="A80" s="1" t="s">
        <v>10</v>
      </c>
      <c r="B80" s="1">
        <v>50</v>
      </c>
      <c r="C80">
        <v>0</v>
      </c>
      <c r="D80">
        <v>0</v>
      </c>
      <c r="E80">
        <v>0</v>
      </c>
      <c r="F80" s="1">
        <v>70</v>
      </c>
      <c r="G80">
        <v>0</v>
      </c>
      <c r="H80">
        <v>0</v>
      </c>
    </row>
    <row r="81" spans="1:8" ht="13.2" x14ac:dyDescent="0.25">
      <c r="A81" s="1" t="s">
        <v>9</v>
      </c>
      <c r="B81" s="1">
        <v>5</v>
      </c>
      <c r="C81" s="1">
        <v>100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ht="13.2" x14ac:dyDescent="0.25">
      <c r="A82" s="1" t="s">
        <v>9</v>
      </c>
      <c r="B82" s="1">
        <v>7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</row>
    <row r="83" spans="1:8" ht="13.2" x14ac:dyDescent="0.25">
      <c r="A83" s="1" t="s">
        <v>10</v>
      </c>
      <c r="B83" s="1">
        <v>30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s="42" customFormat="1" ht="13.2" x14ac:dyDescent="0.25">
      <c r="A84" s="41" t="s">
        <v>9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</row>
    <row r="85" spans="1:8" ht="13.2" x14ac:dyDescent="0.25">
      <c r="A85" s="1" t="s">
        <v>9</v>
      </c>
      <c r="B85" s="1">
        <v>1</v>
      </c>
      <c r="C85">
        <v>0</v>
      </c>
      <c r="D85">
        <v>0</v>
      </c>
      <c r="E85" s="1">
        <v>100</v>
      </c>
      <c r="F85">
        <v>0</v>
      </c>
      <c r="G85">
        <v>0</v>
      </c>
      <c r="H85">
        <v>0</v>
      </c>
    </row>
    <row r="86" spans="1:8" ht="13.2" x14ac:dyDescent="0.25">
      <c r="A86" s="1" t="s">
        <v>11</v>
      </c>
      <c r="B86" s="1">
        <v>320</v>
      </c>
      <c r="C86">
        <v>0</v>
      </c>
      <c r="D86">
        <v>0</v>
      </c>
      <c r="E86">
        <v>0</v>
      </c>
      <c r="F86" s="1">
        <v>100</v>
      </c>
      <c r="G86">
        <v>0</v>
      </c>
      <c r="H86">
        <v>0</v>
      </c>
    </row>
    <row r="87" spans="1:8" ht="13.2" x14ac:dyDescent="0.25">
      <c r="A87" s="1" t="s">
        <v>11</v>
      </c>
      <c r="B87" s="1">
        <v>3</v>
      </c>
      <c r="C87" s="1">
        <v>90</v>
      </c>
      <c r="D87">
        <v>0</v>
      </c>
      <c r="E87">
        <v>0</v>
      </c>
      <c r="F87" s="1">
        <v>10</v>
      </c>
      <c r="G87">
        <v>0</v>
      </c>
      <c r="H87">
        <v>0</v>
      </c>
    </row>
    <row r="88" spans="1:8" ht="13.2" x14ac:dyDescent="0.25">
      <c r="A88" s="1" t="s">
        <v>9</v>
      </c>
      <c r="B88" s="1">
        <v>5.2</v>
      </c>
      <c r="C88" s="1">
        <v>100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</row>
    <row r="89" spans="1:8" ht="13.2" x14ac:dyDescent="0.25">
      <c r="A89" s="1" t="s">
        <v>9</v>
      </c>
      <c r="B89" s="1">
        <v>80</v>
      </c>
      <c r="C89">
        <v>0</v>
      </c>
      <c r="D89">
        <v>0</v>
      </c>
      <c r="E89">
        <v>0</v>
      </c>
      <c r="F89" s="1">
        <v>90</v>
      </c>
      <c r="G89">
        <v>0</v>
      </c>
      <c r="H89">
        <v>0</v>
      </c>
    </row>
    <row r="90" spans="1:8" ht="13.2" x14ac:dyDescent="0.25">
      <c r="A90" s="1" t="s">
        <v>10</v>
      </c>
      <c r="B90" s="1">
        <v>110</v>
      </c>
      <c r="C90">
        <v>0</v>
      </c>
      <c r="D90">
        <v>0</v>
      </c>
      <c r="E90">
        <v>0</v>
      </c>
      <c r="F90" s="1">
        <v>100</v>
      </c>
      <c r="G90">
        <v>0</v>
      </c>
      <c r="H90">
        <v>0</v>
      </c>
    </row>
    <row r="91" spans="1:8" ht="13.2" x14ac:dyDescent="0.25">
      <c r="A91" s="1" t="s">
        <v>10</v>
      </c>
      <c r="B91" s="1">
        <v>260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</row>
    <row r="92" spans="1:8" ht="13.2" x14ac:dyDescent="0.25"/>
    <row r="93" spans="1:8" ht="13.2" x14ac:dyDescent="0.25"/>
    <row r="94" spans="1:8" ht="13.2" x14ac:dyDescent="0.25"/>
    <row r="95" spans="1:8" ht="13.2" x14ac:dyDescent="0.25"/>
    <row r="96" spans="1:8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</sheetData>
  <hyperlinks>
    <hyperlink ref="F1" r:id="rId1"/>
  </hyperlinks>
  <pageMargins left="0.7" right="0.7" top="0.75" bottom="0.75" header="0.3" footer="0.3"/>
  <pageSetup paperSize="166" orientation="portrait" r:id="rId2"/>
  <drawing r:id="rId3"/>
  <legacy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pane ySplit="1" topLeftCell="A29" activePane="bottomLeft" state="frozen"/>
      <selection pane="bottomLeft" activeCell="I40" sqref="I40"/>
    </sheetView>
    <sheetView workbookViewId="1"/>
  </sheetViews>
  <sheetFormatPr baseColWidth="10" defaultRowHeight="13.2" x14ac:dyDescent="0.25"/>
  <cols>
    <col min="1" max="1" width="15.77734375" customWidth="1"/>
    <col min="2" max="2" width="20.88671875" customWidth="1"/>
    <col min="3" max="6" width="6.6640625" customWidth="1"/>
    <col min="7" max="7" width="6.44140625" customWidth="1"/>
  </cols>
  <sheetData>
    <row r="1" spans="1:7" x14ac:dyDescent="0.25">
      <c r="A1" s="2" t="s">
        <v>41</v>
      </c>
      <c r="B1" s="2"/>
      <c r="C1" s="2" t="s">
        <v>9</v>
      </c>
      <c r="D1" s="2" t="s">
        <v>13</v>
      </c>
      <c r="E1" s="2" t="s">
        <v>12</v>
      </c>
      <c r="F1" s="5" t="s">
        <v>14</v>
      </c>
      <c r="G1" s="40" t="s">
        <v>45</v>
      </c>
    </row>
    <row r="2" spans="1:7" x14ac:dyDescent="0.25">
      <c r="A2" s="3" t="s">
        <v>21</v>
      </c>
      <c r="B2" s="3"/>
      <c r="C2">
        <f>COUNTIF(Tableau1[Quel est votre lieu de résidence ?],"Lyon")</f>
        <v>61</v>
      </c>
      <c r="D2">
        <f>COUNTIF(Tableau1[Quel est votre lieu de résidence ?],"Reims")</f>
        <v>11</v>
      </c>
      <c r="E2">
        <f>COUNTIF(Tableau1[Quel est votre lieu de résidence ?],"Aix-en-Provence")</f>
        <v>18</v>
      </c>
      <c r="F2" s="6">
        <f t="shared" ref="F2:F8" si="0">SUM(C2:E2)</f>
        <v>90</v>
      </c>
      <c r="G2" s="37"/>
    </row>
    <row r="3" spans="1:7" x14ac:dyDescent="0.25">
      <c r="A3" s="3" t="s">
        <v>39</v>
      </c>
      <c r="B3" s="3"/>
      <c r="C3" s="4">
        <f>SUMIF(RI!A:A,"Lyon",RI!B:B)/C2</f>
        <v>35.019672131147537</v>
      </c>
      <c r="D3" s="4">
        <f>SUMIF(RI!A:A,"Reims",RI!B:B)/D2</f>
        <v>60.772727272727273</v>
      </c>
      <c r="E3" s="4">
        <f>SUMIF(RI!A:A,"Aix-en-Provence",RI!B:B)/E2</f>
        <v>212.65555555555557</v>
      </c>
      <c r="F3" s="7">
        <f t="shared" si="0"/>
        <v>308.44795495943038</v>
      </c>
      <c r="G3" s="37"/>
    </row>
    <row r="4" spans="1:7" x14ac:dyDescent="0.25">
      <c r="A4" s="3" t="s">
        <v>22</v>
      </c>
      <c r="B4" s="3"/>
      <c r="C4">
        <f>COUNTIFS(RI!B:B,"&lt;=10",RI!A:A,"Lyon")</f>
        <v>39</v>
      </c>
      <c r="D4">
        <f>COUNTIFS(RI!B:B,"&lt;=10",RI!A:A,"Reims")</f>
        <v>3</v>
      </c>
      <c r="E4">
        <f>COUNTIFS(RI!B:B,"&lt;=10",RI!A:A,"Aix-en-Provence")</f>
        <v>5</v>
      </c>
      <c r="F4" s="6">
        <f t="shared" si="0"/>
        <v>47</v>
      </c>
      <c r="G4" s="37"/>
    </row>
    <row r="5" spans="1:7" x14ac:dyDescent="0.25">
      <c r="A5" s="3" t="s">
        <v>23</v>
      </c>
      <c r="B5" s="3"/>
      <c r="C5">
        <f>COUNTIFS(RI!B:B,"&gt;=11", RI!B:B,"&lt;=20",RI!A:A,"Lyon")</f>
        <v>6</v>
      </c>
      <c r="D5">
        <f>COUNTIFS(RI!B:B,"&gt;=11", RI!B:B,"&lt;=20",RI!A:A,"Reims")</f>
        <v>1</v>
      </c>
      <c r="E5">
        <f>COUNTIFS(RI!B:B,"&gt;=11", RI!B:B,"&lt;=20",RI!A:A,"Aix-en-Provence")</f>
        <v>1</v>
      </c>
      <c r="F5" s="6">
        <f t="shared" si="0"/>
        <v>8</v>
      </c>
      <c r="G5" s="37"/>
    </row>
    <row r="6" spans="1:7" x14ac:dyDescent="0.25">
      <c r="A6" s="3" t="s">
        <v>24</v>
      </c>
      <c r="B6" s="3"/>
      <c r="C6">
        <f>COUNTIFS(RI!B:B,"&gt;=21", RI!B:B,"&lt;=50",RI!A:A,"Lyon")</f>
        <v>8</v>
      </c>
      <c r="D6">
        <f>COUNTIFS(RI!B:B,"&gt;=21", RI!B:B,"&lt;=50",RI!A:A,"Reims")</f>
        <v>3</v>
      </c>
      <c r="E6">
        <f>COUNTIFS(RI!B:B,"&gt;=21", RI!B:B,"&lt;=50",RI!A:A,"Aix-en-Provence")</f>
        <v>2</v>
      </c>
      <c r="F6" s="6">
        <f t="shared" si="0"/>
        <v>13</v>
      </c>
      <c r="G6" s="37"/>
    </row>
    <row r="7" spans="1:7" x14ac:dyDescent="0.25">
      <c r="A7" s="3" t="s">
        <v>25</v>
      </c>
      <c r="B7" s="3"/>
      <c r="C7">
        <f>COUNTIFS(RI!B:B,"&gt;=51", RI!B:B,"&lt;=99",RI!A:A,"Lyon")</f>
        <v>4</v>
      </c>
      <c r="D7">
        <f>COUNTIFS(RI!B:B,"&gt;=51", RI!B:B,"&lt;=99",RI!A:A,"Reims")</f>
        <v>1</v>
      </c>
      <c r="E7">
        <f>COUNTIFS(RI!B:B,"&gt;=51", RI!B:B,"&lt;=99",RI!A:A,"Aix-en-Provence")</f>
        <v>3</v>
      </c>
      <c r="F7" s="6">
        <f t="shared" si="0"/>
        <v>8</v>
      </c>
      <c r="G7" s="37"/>
    </row>
    <row r="8" spans="1:7" x14ac:dyDescent="0.25">
      <c r="A8" s="3" t="s">
        <v>26</v>
      </c>
      <c r="B8" s="3"/>
      <c r="C8">
        <f>COUNTIFS(RI!B:B,"&gt;=100",RI!A:A,"Lyon")</f>
        <v>3</v>
      </c>
      <c r="D8">
        <f>COUNTIFS(RI!B:B,"&gt;=100",RI!A:A,"Reims")</f>
        <v>3</v>
      </c>
      <c r="E8">
        <f>COUNTIFS(RI!B:B,"&gt;=100",RI!A:A,"Aix-en-Provence")</f>
        <v>7</v>
      </c>
      <c r="F8" s="6">
        <f t="shared" si="0"/>
        <v>13</v>
      </c>
      <c r="G8" s="37"/>
    </row>
    <row r="9" spans="1:7" x14ac:dyDescent="0.25">
      <c r="A9" s="2" t="s">
        <v>40</v>
      </c>
      <c r="B9" s="2"/>
      <c r="C9" s="2"/>
      <c r="D9" s="2"/>
      <c r="E9" s="2"/>
      <c r="F9" s="8"/>
      <c r="G9" s="37"/>
    </row>
    <row r="10" spans="1:7" x14ac:dyDescent="0.25">
      <c r="A10" s="3" t="s">
        <v>30</v>
      </c>
      <c r="B10" s="3"/>
      <c r="C10">
        <f>SUMIF(RI!A:A,"Lyon",RI!C:C)</f>
        <v>1954</v>
      </c>
      <c r="D10">
        <f>SUMIF(RI!A:A,"Reims",RI!C:C)</f>
        <v>200</v>
      </c>
      <c r="E10">
        <f>SUMIF(RI!A:A,"Aix-en-Provence",RI!C:C)</f>
        <v>280</v>
      </c>
      <c r="F10" s="6">
        <f>SUM(C10:E10)</f>
        <v>2434</v>
      </c>
      <c r="G10" s="37"/>
    </row>
    <row r="11" spans="1:7" x14ac:dyDescent="0.25">
      <c r="A11" s="3" t="s">
        <v>42</v>
      </c>
      <c r="B11" s="3"/>
      <c r="C11" s="4">
        <f>SUMIF(RI!A:A,"Lyon",RI!C:C)/C2</f>
        <v>32.032786885245905</v>
      </c>
      <c r="D11" s="4">
        <f>SUMIF(RI!A:A,"Reims",RI!C:C)/D2</f>
        <v>18.181818181818183</v>
      </c>
      <c r="E11" s="4">
        <f>SUMIF(RI!A:A,"Aix-en-Provence",RI!C:C)/E2</f>
        <v>15.555555555555555</v>
      </c>
      <c r="F11" s="7">
        <f t="shared" ref="F11:F27" si="1">SUM(C11:E11)</f>
        <v>65.770160622619642</v>
      </c>
      <c r="G11" s="37"/>
    </row>
    <row r="12" spans="1:7" hidden="1" x14ac:dyDescent="0.25">
      <c r="A12" s="10" t="s">
        <v>27</v>
      </c>
      <c r="B12" s="10"/>
      <c r="C12" s="11" t="e">
        <f>SUM(C13:C18)</f>
        <v>#REF!</v>
      </c>
      <c r="D12" s="11" t="e">
        <f>SUM(D13:D18)</f>
        <v>#REF!</v>
      </c>
      <c r="E12" s="11" t="e">
        <f>SUM(E13:E18)</f>
        <v>#REF!</v>
      </c>
      <c r="F12" s="12"/>
      <c r="G12" s="37"/>
    </row>
    <row r="13" spans="1:7" hidden="1" x14ac:dyDescent="0.25">
      <c r="A13" s="3" t="s">
        <v>15</v>
      </c>
      <c r="B13" s="3"/>
      <c r="C13">
        <f>SUMIF(RI!A:A,"Lyon",RI!D:D)/C2</f>
        <v>7.918032786885246</v>
      </c>
      <c r="D13">
        <f>SUMIF(RI!A:A,"Reims",RI!D:D)/C2</f>
        <v>2.459016393442623</v>
      </c>
      <c r="E13">
        <f>SUMIF(RI!A:A,"Aix-en-Provence",RI!D:D)/C2</f>
        <v>2.0491803278688523</v>
      </c>
      <c r="F13" s="7">
        <f t="shared" si="1"/>
        <v>12.426229508196721</v>
      </c>
      <c r="G13" s="37"/>
    </row>
    <row r="14" spans="1:7" hidden="1" x14ac:dyDescent="0.25">
      <c r="A14" s="3" t="s">
        <v>16</v>
      </c>
      <c r="B14" s="3"/>
      <c r="C14">
        <f>SUMIF(RI!A:A,"Lyon",RI!E:E)/C2</f>
        <v>27.081967213114755</v>
      </c>
      <c r="D14">
        <f>SUMIF(RI!A:A,"Reims",RI!E:E)/C2</f>
        <v>0</v>
      </c>
      <c r="E14">
        <f>SUMIF(RI!A:A,"Aix-en-Provence",RI!E:E)/C2</f>
        <v>0.22950819672131148</v>
      </c>
      <c r="F14" s="7">
        <f t="shared" si="1"/>
        <v>27.311475409836067</v>
      </c>
      <c r="G14" s="37"/>
    </row>
    <row r="15" spans="1:7" hidden="1" x14ac:dyDescent="0.25">
      <c r="A15" s="3" t="s">
        <v>17</v>
      </c>
      <c r="B15" s="3"/>
      <c r="C15">
        <f>SUMIF(RI!A:A,"Lyon",RI!F:F)/C2</f>
        <v>11.704918032786885</v>
      </c>
      <c r="D15">
        <f>SUMIF(RI!A:A,"Reims",RI!F:F)/C2</f>
        <v>9.7540983606557372</v>
      </c>
      <c r="E15">
        <f>SUMIF(RI!A:A,"Aix-en-Provence",RI!F:F)/C2</f>
        <v>15.901639344262295</v>
      </c>
      <c r="F15" s="7">
        <f t="shared" si="1"/>
        <v>37.360655737704917</v>
      </c>
      <c r="G15" s="37"/>
    </row>
    <row r="16" spans="1:7" hidden="1" x14ac:dyDescent="0.25">
      <c r="A16" s="3" t="s">
        <v>18</v>
      </c>
      <c r="B16" s="3"/>
      <c r="C16">
        <f>SUMIF(RI!A:A,"Lyon",RI!G:G)/C2</f>
        <v>10.475409836065573</v>
      </c>
      <c r="D16">
        <f>SUMIF(RI!A:A,"Reims",RI!G:G)/C2</f>
        <v>0</v>
      </c>
      <c r="E16">
        <f>SUMIF(RI!A:A,"Aix-en-Provence",RI!G:G)/C2</f>
        <v>0.18032786885245902</v>
      </c>
      <c r="F16" s="7">
        <f t="shared" si="1"/>
        <v>10.655737704918032</v>
      </c>
      <c r="G16" s="37"/>
    </row>
    <row r="17" spans="1:7" hidden="1" x14ac:dyDescent="0.25">
      <c r="A17" s="3" t="s">
        <v>19</v>
      </c>
      <c r="B17" s="3"/>
      <c r="C17">
        <f>SUMIF(RI!A:A,"Lyon",RI!H:H)/C2</f>
        <v>0.4098360655737705</v>
      </c>
      <c r="D17">
        <f>SUMIF(RI!A:A,"Reims",RI!H:H)/C2</f>
        <v>0</v>
      </c>
      <c r="E17">
        <f>SUMIF(RI!A:A,"Aix-en-Provence",RI!H:H)/C2</f>
        <v>0.16393442622950818</v>
      </c>
      <c r="F17" s="7">
        <f t="shared" si="1"/>
        <v>0.57377049180327866</v>
      </c>
      <c r="G17" s="37"/>
    </row>
    <row r="18" spans="1:7" hidden="1" x14ac:dyDescent="0.25">
      <c r="A18" s="3" t="s">
        <v>20</v>
      </c>
      <c r="B18" s="3"/>
      <c r="C18" t="e">
        <f>SUMIF(RI!A:A,"Lyon",RI!#REF!)/C2</f>
        <v>#REF!</v>
      </c>
      <c r="D18" t="e">
        <f>SUMIF(RI!A:A,"Reims",RI!#REF!)/C2</f>
        <v>#REF!</v>
      </c>
      <c r="E18" t="e">
        <f>SUMIF(RI!A:A,"Aix-en-Provence",RI!#REF!)/C2</f>
        <v>#REF!</v>
      </c>
      <c r="F18" s="7" t="e">
        <f t="shared" si="1"/>
        <v>#REF!</v>
      </c>
      <c r="G18" s="37"/>
    </row>
    <row r="19" spans="1:7" hidden="1" x14ac:dyDescent="0.25">
      <c r="A19" s="3" t="s">
        <v>28</v>
      </c>
      <c r="B19" s="3"/>
      <c r="F19" s="7"/>
      <c r="G19" s="37"/>
    </row>
    <row r="20" spans="1:7" x14ac:dyDescent="0.25">
      <c r="A20" s="10" t="s">
        <v>36</v>
      </c>
      <c r="B20" s="10"/>
      <c r="C20" s="13"/>
      <c r="D20" s="13"/>
      <c r="E20" s="13"/>
      <c r="F20" s="12"/>
      <c r="G20" s="38"/>
    </row>
    <row r="21" spans="1:7" x14ac:dyDescent="0.25">
      <c r="A21" s="3" t="s">
        <v>5</v>
      </c>
      <c r="B21" s="3"/>
      <c r="C21">
        <f>COUNTIFS(RI!A:A,"Lyon",RI!D:D,"&lt;&gt;0")</f>
        <v>6</v>
      </c>
      <c r="D21">
        <f>COUNTIFS(RI!A:A,"Reims",RI!D:D,"&lt;&gt;0")</f>
        <v>2</v>
      </c>
      <c r="E21">
        <f>COUNTIFS(RI!A:A,"Aix-en-Provence",RI!D:D,"&lt;&gt;0")</f>
        <v>3</v>
      </c>
      <c r="F21" s="6">
        <f t="shared" si="1"/>
        <v>11</v>
      </c>
      <c r="G21" s="37"/>
    </row>
    <row r="22" spans="1:7" x14ac:dyDescent="0.25">
      <c r="A22" s="3" t="s">
        <v>6</v>
      </c>
      <c r="B22" s="3"/>
      <c r="C22">
        <f>COUNTIFS(RI!A:A,"Lyon",RI!E:E,"&lt;&gt;0")</f>
        <v>32</v>
      </c>
      <c r="D22">
        <f>COUNTIFS(RI!A:A,"Reims",RI!E:E,"&lt;&gt;0")</f>
        <v>0</v>
      </c>
      <c r="E22">
        <f>COUNTIFS(RI!A:A,"Aix-en-Provence",RI!E:E,"&lt;&gt;0")</f>
        <v>2</v>
      </c>
      <c r="F22" s="6">
        <f t="shared" si="1"/>
        <v>34</v>
      </c>
      <c r="G22" s="37"/>
    </row>
    <row r="23" spans="1:7" x14ac:dyDescent="0.25">
      <c r="A23" s="3" t="s">
        <v>32</v>
      </c>
      <c r="B23" s="3"/>
      <c r="C23">
        <f>COUNTIFS(RI!A:A,"Lyon",RI!F:F,"&lt;&gt;0")</f>
        <v>16</v>
      </c>
      <c r="D23">
        <f>COUNTIFS(RI!A:A,"Reims",RI!F:F,"&lt;&gt;0")</f>
        <v>7</v>
      </c>
      <c r="E23">
        <f>COUNTIFS(RI!A:A,"Aix-en-Provence",RI!F:F,"&lt;&gt;0")</f>
        <v>12</v>
      </c>
      <c r="F23" s="6">
        <f t="shared" si="1"/>
        <v>35</v>
      </c>
      <c r="G23" s="37"/>
    </row>
    <row r="24" spans="1:7" x14ac:dyDescent="0.25">
      <c r="A24" s="3" t="s">
        <v>7</v>
      </c>
      <c r="B24" s="3"/>
      <c r="C24">
        <f>COUNTIFS(RI!A:A,"Lyon",RI!G:G,"&lt;&gt;0")</f>
        <v>14</v>
      </c>
      <c r="D24">
        <f>COUNTIFS(RI!A:A,"Reims",RI!G:G,"&lt;&gt;0")</f>
        <v>0</v>
      </c>
      <c r="E24">
        <f>COUNTIFS(RI!A:A,"Aix-en-Provence",RI!G:G,"&lt;&gt;0")</f>
        <v>2</v>
      </c>
      <c r="F24" s="6">
        <f>SUM(C24:E24)</f>
        <v>16</v>
      </c>
      <c r="G24" s="37"/>
    </row>
    <row r="25" spans="1:7" x14ac:dyDescent="0.25">
      <c r="A25" s="3" t="s">
        <v>8</v>
      </c>
      <c r="B25" s="3"/>
      <c r="C25">
        <f>COUNTIFS(RI!A:A,"Lyon",RI!H:H,"&lt;&gt;0")</f>
        <v>1</v>
      </c>
      <c r="D25">
        <f>COUNTIFS(RI!A:A,"Reims",RI!H:H,"&lt;&gt;0")</f>
        <v>0</v>
      </c>
      <c r="E25">
        <f>COUNTIFS(RI!A:A,"Aix-en-Provence",RI!H:H,"&lt;&gt;0")</f>
        <v>1</v>
      </c>
      <c r="F25" s="6">
        <f t="shared" si="1"/>
        <v>2</v>
      </c>
      <c r="G25" s="37"/>
    </row>
    <row r="26" spans="1:7" x14ac:dyDescent="0.25">
      <c r="A26" s="3" t="s">
        <v>33</v>
      </c>
      <c r="B26" s="3"/>
      <c r="C26">
        <f>COUNTIFS(RI!A:A,"Lyon",RI!H:H,"&lt;&gt;0")</f>
        <v>1</v>
      </c>
      <c r="D26">
        <f>COUNTIFS(RI!A:A,"Reims",RI!H:H,"&lt;&gt;0")</f>
        <v>0</v>
      </c>
      <c r="E26">
        <f>COUNTIFS(RI!A:A,"Aix-en-Provence",RI!H:H,"&lt;&gt;0")</f>
        <v>1</v>
      </c>
      <c r="F26" s="6">
        <f t="shared" si="1"/>
        <v>2</v>
      </c>
      <c r="G26" s="37"/>
    </row>
    <row r="27" spans="1:7" x14ac:dyDescent="0.25">
      <c r="A27" s="3" t="s">
        <v>29</v>
      </c>
      <c r="B27" s="3"/>
      <c r="C27">
        <f>COUNTIFS(RI!A:A,"Lyon",RI!D:D,"0")</f>
        <v>55</v>
      </c>
      <c r="D27">
        <f>COUNTIFS(RI!A:A,"Reims",RI!D:D,"0")</f>
        <v>9</v>
      </c>
      <c r="E27">
        <f>COUNTIFS(RI!A:A,"Aix-en-Provence",RI!D:D,"0")</f>
        <v>15</v>
      </c>
      <c r="F27" s="6">
        <f t="shared" si="1"/>
        <v>79</v>
      </c>
      <c r="G27" s="37"/>
    </row>
    <row r="28" spans="1:7" x14ac:dyDescent="0.25">
      <c r="A28" s="10" t="s">
        <v>31</v>
      </c>
      <c r="B28" s="10"/>
      <c r="C28" s="13"/>
      <c r="D28" s="13"/>
      <c r="E28" s="13"/>
      <c r="F28" s="12"/>
      <c r="G28" s="37"/>
    </row>
    <row r="29" spans="1:7" x14ac:dyDescent="0.25">
      <c r="A29" s="3" t="s">
        <v>7</v>
      </c>
      <c r="B29" s="3"/>
      <c r="C29">
        <f>C24</f>
        <v>14</v>
      </c>
      <c r="D29">
        <f>COUNTIFS(RI!A:A,"Reims",RI!G:G,"&lt;&gt;0")</f>
        <v>0</v>
      </c>
      <c r="E29">
        <f>COUNTIFS(RI!A:A,"Aix-en-Provence",RI!G:G,"&lt;&gt;0")</f>
        <v>2</v>
      </c>
      <c r="F29" s="6">
        <f>SUM(C29:E29)</f>
        <v>16</v>
      </c>
      <c r="G29" s="37"/>
    </row>
    <row r="30" spans="1:7" x14ac:dyDescent="0.25">
      <c r="A30" s="3" t="s">
        <v>34</v>
      </c>
      <c r="B30" s="3"/>
      <c r="C30">
        <f>C22+C23+C25</f>
        <v>49</v>
      </c>
      <c r="D30">
        <f>D22+D23+D25</f>
        <v>7</v>
      </c>
      <c r="E30">
        <f>E22+E23+E25</f>
        <v>15</v>
      </c>
      <c r="F30" s="6">
        <f>SUM(C30:E30)</f>
        <v>71</v>
      </c>
      <c r="G30" s="37"/>
    </row>
    <row r="31" spans="1:7" x14ac:dyDescent="0.25">
      <c r="A31" s="3" t="s">
        <v>35</v>
      </c>
      <c r="B31" s="3"/>
      <c r="C31">
        <f>C21+C26</f>
        <v>7</v>
      </c>
      <c r="D31">
        <f>D21+D26</f>
        <v>2</v>
      </c>
      <c r="E31">
        <f>E21+E26</f>
        <v>4</v>
      </c>
      <c r="F31" s="6">
        <f>SUM(C31:E31)</f>
        <v>13</v>
      </c>
      <c r="G31" s="37"/>
    </row>
    <row r="32" spans="1:7" ht="13.8" x14ac:dyDescent="0.25">
      <c r="A32" s="10" t="s">
        <v>37</v>
      </c>
      <c r="B32" s="10"/>
      <c r="C32" s="13"/>
      <c r="D32" s="13"/>
      <c r="E32" s="13"/>
      <c r="F32" s="12"/>
      <c r="G32" s="43">
        <f>SUM(G33:G47)</f>
        <v>60</v>
      </c>
    </row>
    <row r="33" spans="1:7" x14ac:dyDescent="0.25">
      <c r="A33" s="25" t="s">
        <v>22</v>
      </c>
      <c r="B33" s="3" t="s">
        <v>7</v>
      </c>
      <c r="C33">
        <f>COUNTIFS(RI!B:B,"&lt;=10",RI!A:A,"Lyon",RI!F:F,"&lt;&gt;0")</f>
        <v>4</v>
      </c>
      <c r="D33">
        <f>COUNTIFS(RI!B:B,"&lt;=10",RI!A:A,"Reims",RI!F:F,"&lt;&gt;0")</f>
        <v>2</v>
      </c>
      <c r="E33">
        <f>COUNTIFS(RI!B:B,"&lt;=10",RI!A:A,"Aix-en-Provence",RI!F:F,"&lt;&gt;0")</f>
        <v>3</v>
      </c>
      <c r="F33" s="6"/>
      <c r="G33" s="39">
        <f>COUNTIFS(RI!B:B,"&lt;=10",RI!A:A,"Lyon")</f>
        <v>39</v>
      </c>
    </row>
    <row r="34" spans="1:7" x14ac:dyDescent="0.25">
      <c r="A34" s="25"/>
      <c r="B34" s="3" t="s">
        <v>34</v>
      </c>
      <c r="C34">
        <f>COUNTIFS(RI!D:D,"&lt;&gt;0",RI!E:E,"&lt;&gt;0",RI!G:G,"&lt;&gt;0",RI!A:A,"Lyon",RI!B:B,"&gt;10")</f>
        <v>0</v>
      </c>
      <c r="D34">
        <f>COUNTIFS(RI!B:B,"&lt;=10",RI!A:A,"Reims",RI!D:D,"&lt;&gt;0",RI!E:E,"&lt;&gt;0",RI!G:G,"&lt;&gt;0")</f>
        <v>0</v>
      </c>
      <c r="E34">
        <f>COUNTIFS(RI!B:B,"&lt;=10",RI!A:A,"Aix-en-Provence",RI!D:D,"&lt;&gt;0",RI!E:E,"&lt;&gt;0",RI!G:G,"&lt;&gt;0")</f>
        <v>0</v>
      </c>
      <c r="F34" s="6"/>
      <c r="G34" s="39"/>
    </row>
    <row r="35" spans="1:7" x14ac:dyDescent="0.25">
      <c r="A35" s="26"/>
      <c r="B35" s="14" t="s">
        <v>35</v>
      </c>
      <c r="C35" s="15">
        <f>COUNTIFS(RI!B:B,"&lt;=10",RI!A:A,"Lyon",RI!C:C,"&lt;&gt;0",RI!H:H,"&lt;&gt;0")</f>
        <v>1</v>
      </c>
      <c r="D35" s="15">
        <f>COUNTIFS(RI!B:B,"&lt;=10",RI!A:A,"Reims",RI!C:C,"&lt;&gt;0",RI!H:H,"&lt;&gt;0")</f>
        <v>0</v>
      </c>
      <c r="E35" s="15">
        <f>COUNTIFS(RI!B:B,"&lt;=10",RI!A:A,"Aix-en-Provence",RI!C:C,"&lt;&gt;0",RI!H:H,"&lt;&gt;0")</f>
        <v>0</v>
      </c>
      <c r="F35" s="17"/>
      <c r="G35" s="39"/>
    </row>
    <row r="36" spans="1:7" x14ac:dyDescent="0.25">
      <c r="A36" s="25" t="s">
        <v>23</v>
      </c>
      <c r="B36" s="3" t="s">
        <v>7</v>
      </c>
      <c r="C36">
        <f>COUNTIFS(RI!B:B,"&gt;=11", RI!B:B,"&lt;=20",RI!A:A,"Lyon",RI!F:F,"&lt;&gt;0")</f>
        <v>3</v>
      </c>
      <c r="D36">
        <f>COUNTIFS(RI!B:B,"&gt;=11", RI!B:B,"&lt;=20",RI!A:A,"Reims",RI!F:F,"&lt;&gt;0")</f>
        <v>1</v>
      </c>
      <c r="E36" s="44">
        <f>COUNTIFS(RI!B:B,"&gt;=11", RI!B:B,"&lt;=20",RI!A:A,"Aix-en-Provence",RI!F:F,"&lt;&gt;0")</f>
        <v>1</v>
      </c>
      <c r="F36" s="44"/>
      <c r="G36" s="39">
        <f>COUNTIFS(RI!B:B,"&gt;=11", RI!B:B,"&lt;=20",RI!A:A,"Lyon")</f>
        <v>6</v>
      </c>
    </row>
    <row r="37" spans="1:7" x14ac:dyDescent="0.25">
      <c r="A37" s="25"/>
      <c r="B37" s="3" t="s">
        <v>34</v>
      </c>
      <c r="C37">
        <f>COUNTIFS(RI!B:B,"&gt;=11", RI!B:B,"&lt;=20",RI!A:A,"Lyon",RI!D:D,"&lt;&gt;0",RI!E:E,"&lt;&gt;0",RI!G:G,"&lt;&gt;0")</f>
        <v>0</v>
      </c>
      <c r="D37">
        <f>COUNTIFS(RI!B:B,"&gt;=11", RI!B:B,"&lt;=20",RI!A:A,"Reims",RI!D:D,"&lt;&gt;0",RI!E:E,"&lt;&gt;0",RI!G:G,"&lt;&gt;0")</f>
        <v>0</v>
      </c>
      <c r="E37" s="44">
        <f>COUNTIFS(RI!B:B,"&gt;=11", RI!B:B,"&lt;=20",RI!A:A,"Aix-en-Provence",RI!D:D,"&lt;&gt;0",RI!E:E,"&lt;&gt;0",RI!G:G,"&lt;&gt;0")</f>
        <v>0</v>
      </c>
      <c r="F37" s="44"/>
      <c r="G37" s="39"/>
    </row>
    <row r="38" spans="1:7" x14ac:dyDescent="0.25">
      <c r="A38" s="26"/>
      <c r="B38" s="14" t="s">
        <v>35</v>
      </c>
      <c r="C38" s="15">
        <f>COUNTIFS(RI!B:B,"&gt;=11", RI!B:B,"&lt;=20",RI!A:A,"Lyon",RI!C:C,"&lt;&gt;0",RI!H:H,"&lt;&gt;0")</f>
        <v>0</v>
      </c>
      <c r="D38" s="15">
        <f>COUNTIFS(RI!B:B,"&gt;=11", RI!B:B,"&lt;=20",RI!A:A,"Reims",RI!C:C,"&lt;&gt;0",RI!H:H,"&lt;&gt;0")</f>
        <v>0</v>
      </c>
      <c r="E38" s="16">
        <f>COUNTIFS(RI!B:B,"&gt;=11", RI!B:B,"&lt;=20",RI!A:A,"Aix-en-Provence",RI!C:C,"&lt;&gt;0",RI!H:H,"&lt;&gt;0")</f>
        <v>0</v>
      </c>
      <c r="F38" s="16"/>
      <c r="G38" s="39"/>
    </row>
    <row r="39" spans="1:7" x14ac:dyDescent="0.25">
      <c r="A39" s="25" t="s">
        <v>24</v>
      </c>
      <c r="B39" s="3" t="s">
        <v>7</v>
      </c>
      <c r="C39">
        <f>COUNTIFS(RI!B:B,"&gt;=21", RI!B:B,"&lt;=50",RI!A:A,"Lyon",RI!F:F,"&lt;&gt;0")</f>
        <v>4</v>
      </c>
      <c r="D39">
        <f>COUNTIFS(RI!B:B,"&gt;=21", RI!B:B,"&lt;=50",RI!A:A,"Reims",RI!F:F,"&lt;&gt;0")</f>
        <v>2</v>
      </c>
      <c r="E39" s="44">
        <f>COUNTIFS(RI!B:B,"&gt;=21", RI!B:B,"&lt;=50",RI!A:A,"Aix-en-Provence",RI!F:F,"&lt;&gt;0")</f>
        <v>2</v>
      </c>
      <c r="F39" s="44"/>
      <c r="G39" s="39">
        <f>COUNTIFS(RI!B:B,"&gt;=21", RI!B:B,"&lt;=50",RI!A:A,"Lyon")</f>
        <v>8</v>
      </c>
    </row>
    <row r="40" spans="1:7" x14ac:dyDescent="0.25">
      <c r="A40" s="25"/>
      <c r="B40" s="3" t="s">
        <v>34</v>
      </c>
      <c r="C40">
        <f>COUNTIFS(RI!B:B,"&gt;=21", RI!B:B,"&lt;=50",RI!A:A,"Lyon",RI!D:D,"&lt;&gt;0",RI!E:E,"&lt;&gt;0",RI!G:G,"&lt;&gt;0")</f>
        <v>0</v>
      </c>
      <c r="D40">
        <f>COUNTIFS(RI!B:B,"&gt;=21", RI!B:B,"&lt;=50",RI!A:A,"Reims",RI!D:D,"&lt;&gt;0",RI!E:E,"&lt;&gt;0",RI!G:G,"&lt;&gt;0")</f>
        <v>0</v>
      </c>
      <c r="E40" s="44">
        <f>COUNTIFS(RI!B:B,"&gt;=21", RI!B:B,"&lt;=50",RI!A:A,"Aix-en-Provence",RI!D:D,"&lt;&gt;0",RI!E:E,"&lt;&gt;0",RI!G:G,"&lt;&gt;0")</f>
        <v>1</v>
      </c>
      <c r="F40" s="44"/>
      <c r="G40" s="39"/>
    </row>
    <row r="41" spans="1:7" x14ac:dyDescent="0.25">
      <c r="A41" s="26"/>
      <c r="B41" s="14" t="s">
        <v>35</v>
      </c>
      <c r="C41" s="15">
        <f>COUNTIFS(RI!B:B,"&gt;=21", RI!B:B,"&lt;=50",RI!A:A,"Lyon",RI!C:C,"&lt;&gt;0",RI!H:H,"&lt;&gt;0")</f>
        <v>0</v>
      </c>
      <c r="D41" s="15">
        <f>COUNTIFS(RI!B:B,"&gt;=21", RI!B:B,"&lt;=50",RI!A:A,"Reims",RI!D:D,"&lt;&gt;0",RI!E:E,"&lt;&gt;0",RI!G:G,"&lt;&gt;0")</f>
        <v>0</v>
      </c>
      <c r="E41" s="16">
        <f>COUNTIFS(RI!B:B,"&gt;=21", RI!B:B,"&lt;=50",RI!A:A,"Aix-en-Provence",RI!D:D,"&lt;&gt;0",RI!E:E,"&lt;&gt;0",RI!G:G,"&lt;&gt;0")</f>
        <v>1</v>
      </c>
      <c r="F41" s="16"/>
      <c r="G41" s="39"/>
    </row>
    <row r="42" spans="1:7" x14ac:dyDescent="0.25">
      <c r="A42" s="33" t="s">
        <v>25</v>
      </c>
      <c r="B42" s="34" t="s">
        <v>7</v>
      </c>
      <c r="C42" s="34">
        <f>COUNTIFS(RI!B:B,"&gt;=51", RI!B:B,"&lt;=99",RI!A:A,"Lyon",RI!F:F,"&lt;&gt;0")</f>
        <v>3</v>
      </c>
      <c r="D42">
        <f>COUNTIFS(RI!B:B,"&gt;=51", RI!B:B,"&lt;=99",RI!A:A,"Reims",RI!F:F,"&lt;&gt;0")</f>
        <v>0</v>
      </c>
      <c r="E42" s="44">
        <f>COUNTIFS(RI!B:B,"&gt;=51", RI!B:B,"&lt;=99",RI!A:A,"Aix-en-Provence",RI!F:F,"&lt;&gt;0")</f>
        <v>3</v>
      </c>
      <c r="F42" s="45"/>
      <c r="G42" s="39">
        <f>COUNTIFS(RI!B:B,"&gt;=51", RI!B:B,"&lt;=99",RI!A:A,"Lyon")</f>
        <v>4</v>
      </c>
    </row>
    <row r="43" spans="1:7" x14ac:dyDescent="0.25">
      <c r="A43" s="33"/>
      <c r="B43" s="34" t="s">
        <v>34</v>
      </c>
      <c r="C43" s="34">
        <f>COUNTIFS(RI!B:B,"&gt;=51", RI!B:B,"&lt;=99",RI!A:A,"Lyon",RI!D:D,"&lt;&gt;0",RI!E:E,"&lt;&gt;0",RI!G:G,"&lt;&gt;0")</f>
        <v>0</v>
      </c>
      <c r="D43">
        <f>COUNTIFS(RI!B:B,"&gt;=51", RI!B:B,"&lt;=99",RI!A:A,"Reims",RI!F:F,"&lt;&gt;0")</f>
        <v>0</v>
      </c>
      <c r="E43" s="44">
        <f>COUNTIFS(RI!B:B,"&gt;=51", RI!B:B,"&lt;=99",RI!A:A,"Aix-en-Provence",RI!F:F,"&lt;&gt;0")</f>
        <v>3</v>
      </c>
      <c r="F43" s="45"/>
      <c r="G43" s="39"/>
    </row>
    <row r="44" spans="1:7" x14ac:dyDescent="0.25">
      <c r="A44" s="35"/>
      <c r="B44" s="36" t="s">
        <v>35</v>
      </c>
      <c r="C44" s="36">
        <f>COUNTIFS(RI!B:B,"&gt;=51", RI!B:B,"&lt;=99",RI!A:A,"Lyon",RI!C:C,"&lt;&gt;0",RI!H:H,"&lt;&gt;0")</f>
        <v>0</v>
      </c>
      <c r="D44" s="15">
        <f>COUNTIFS(RI!B:B,"&gt;=51", RI!B:B,"&lt;=99",RI!A:A,"Reims",RI!F:F,"&lt;&gt;0")</f>
        <v>0</v>
      </c>
      <c r="E44" s="46">
        <f>COUNTIFS(RI!B:B,"&gt;=51", RI!B:B,"&lt;=99",RI!A:A,"Aix-en-Provence",RI!F:F,"&lt;&gt;0")</f>
        <v>3</v>
      </c>
      <c r="F44" s="45"/>
      <c r="G44" s="39"/>
    </row>
    <row r="45" spans="1:7" x14ac:dyDescent="0.25">
      <c r="A45" s="27" t="s">
        <v>26</v>
      </c>
      <c r="B45" s="18" t="s">
        <v>7</v>
      </c>
      <c r="C45" s="19">
        <f>COUNTIFS(RI!B:B,"&gt;=100",RI!A:A,"Lyon",RI!F:F,"&lt;&gt;0")</f>
        <v>2</v>
      </c>
      <c r="D45" s="19">
        <f>COUNTIFS(RI!B:B,"&gt;=100",RI!A:A,"Reims",RI!F:F,"&lt;&gt;0")</f>
        <v>2</v>
      </c>
      <c r="E45" s="22">
        <f>COUNTIFS(RI!B:B,"&gt;=100",RI!A:A,"Aix-en-Provence",RI!F:F,"&lt;&gt;0")</f>
        <v>3</v>
      </c>
      <c r="F45" s="20"/>
      <c r="G45" s="39">
        <f>COUNTIFS(RI!B:B,"&gt;=100",RI!A:A,"Lyon")</f>
        <v>3</v>
      </c>
    </row>
    <row r="46" spans="1:7" x14ac:dyDescent="0.25">
      <c r="A46" s="28"/>
      <c r="B46" s="21" t="s">
        <v>34</v>
      </c>
      <c r="C46" s="22">
        <f>COUNTIFS(RI!D:D,"&lt;&gt;0",RI!E:E,"&lt;&gt;0",RI!G:G,"&lt;&gt;0",RI!A:A,"Lyon",RI!B:B,"&gt;=100")</f>
        <v>0</v>
      </c>
      <c r="D46" s="22">
        <f>COUNTIFS(RI!B:B,"&gt;=100",RI!A:A,"Reims",RI!F:F,"&lt;&gt;0")</f>
        <v>2</v>
      </c>
      <c r="E46" s="22">
        <f>COUNTIFS(RI!B:B,"&gt;=100",RI!A:A,"Aix-en-Provence",RI!F:F,"&lt;&gt;0")</f>
        <v>3</v>
      </c>
      <c r="F46" s="6"/>
      <c r="G46" s="39"/>
    </row>
    <row r="47" spans="1:7" x14ac:dyDescent="0.25">
      <c r="A47" s="29"/>
      <c r="B47" s="23" t="s">
        <v>35</v>
      </c>
      <c r="C47" s="24">
        <f>COUNTIFS(RI!B:B,"&gt;=100",RI!A:A,"Lyon",RI!C:C,"&lt;&gt;0",RI!H:H,"&lt;&gt;0")</f>
        <v>0</v>
      </c>
      <c r="D47" s="24">
        <f>COUNTIFS(RI!B:B,"&gt;=100",RI!A:A,"Reims",RI!F:F,"&lt;&gt;0")</f>
        <v>2</v>
      </c>
      <c r="E47" s="24">
        <f>COUNTIFS(RI!B:B,"&gt;=100",RI!A:A,"Aix-en-Provence",RI!F:F,"&lt;&gt;0")</f>
        <v>3</v>
      </c>
      <c r="F47" s="9"/>
      <c r="G47" s="39"/>
    </row>
  </sheetData>
  <mergeCells count="10">
    <mergeCell ref="G42:G44"/>
    <mergeCell ref="G39:G41"/>
    <mergeCell ref="G36:G38"/>
    <mergeCell ref="G33:G35"/>
    <mergeCell ref="G45:G47"/>
    <mergeCell ref="A33:A35"/>
    <mergeCell ref="A36:A38"/>
    <mergeCell ref="A39:A41"/>
    <mergeCell ref="A42:A44"/>
    <mergeCell ref="A45:A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RI</vt:lpstr>
      <vt:lpstr>stats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MORT-BONTEMPS</dc:creator>
  <cp:lastModifiedBy>raymond pentier</cp:lastModifiedBy>
  <dcterms:created xsi:type="dcterms:W3CDTF">2023-06-08T15:20:37Z</dcterms:created>
  <dcterms:modified xsi:type="dcterms:W3CDTF">2023-08-04T01:02:00Z</dcterms:modified>
</cp:coreProperties>
</file>