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tabRatio="556" activeTab="1"/>
  </bookViews>
  <sheets>
    <sheet name="COTISATIONS" sheetId="1" r:id="rId1"/>
    <sheet name="BULLETIN " sheetId="2" r:id="rId2"/>
    <sheet name="Feuil1" sheetId="9" r:id="rId3"/>
    <sheet name="Données 2023" sheetId="4" r:id="rId4"/>
    <sheet name="Réduction génerale" sheetId="3" r:id="rId5"/>
    <sheet name="Smic  " sheetId="6" r:id="rId6"/>
    <sheet name="Formules " sheetId="7" r:id="rId7"/>
    <sheet name="Sbase &amp; HS &amp; Absences " sheetId="8" r:id="rId8"/>
  </sheets>
  <externalReferences>
    <externalReference r:id="rId9"/>
  </externalReferences>
  <definedNames>
    <definedName name="_xlnm._FilterDatabase" localSheetId="0" hidden="1">COTISATIONS!$C$30:$I$30</definedName>
    <definedName name="A.C._trA_pat">[1]COTISATIONS!$B$28</definedName>
    <definedName name="A.C._tra_sal">[1]COTISATIONS!$C$28</definedName>
    <definedName name="A.C._trb_pat">[1]COTISATIONS!$B$29</definedName>
    <definedName name="A.C._trb_sal">[1]COTISATIONS!$C$29</definedName>
    <definedName name="AGFF_cadres_tranche_A_pat">[1]COTISATIONS!$B$46</definedName>
    <definedName name="AGFF_cadres_tranche_A_sal">[1]COTISATIONS!$C$46</definedName>
    <definedName name="AGFF_cadres_tranche_B_pat">[1]COTISATIONS!$B$47</definedName>
    <definedName name="AGFF_cadres_tranche_B_sal">[1]COTISATIONS!$C$47</definedName>
    <definedName name="AGFF_Employés_tranche_1_pat">[1]COTISATIONS!$B$44</definedName>
    <definedName name="AGFF_Employés_tranche_1_sal">[1]COTISATIONS!$C$44</definedName>
    <definedName name="AGFF_Employés_tranche_2_pat">[1]COTISATIONS!$B$45</definedName>
    <definedName name="AGFF_Employés_tranche_2_sal">[1]COTISATIONS!$C$45</definedName>
    <definedName name="Aide_au_logement">[1]COTISATIONS!$B$15</definedName>
    <definedName name="Aide_au_logement___20_salariés">[1]COTISATIONS!#REF!</definedName>
    <definedName name="Aide_au_logement___9_salariés">[1]COTISATIONS!#REF!</definedName>
    <definedName name="Allocations_familiales_100">#REF!</definedName>
    <definedName name="an_logt_mois_inf_plafond">[1]COTISATIONS!$B$79</definedName>
    <definedName name="an_logt_mois_sup_plafond">#REF!</definedName>
    <definedName name="an_logt_sem_sup_plaf">#REF!</definedName>
    <definedName name="an_logt_semaine_inf_plafond">[1]COTISATIONS!$B$78</definedName>
    <definedName name="an_logt_semaine_sup_plafond">#REF!</definedName>
    <definedName name="an_repas_inf_plafond">#REF!</definedName>
    <definedName name="an_repas_sup_plafond">#REF!</definedName>
    <definedName name="APEC_pat">[1]COTISATIONS!$B$38</definedName>
    <definedName name="APEC_sal">[1]COTISATIONS!$C$38</definedName>
    <definedName name="Assurance_maladie_pat">[1]COTISATIONS!$B$9</definedName>
    <definedName name="Assurance_maladie_sal">[1]COTISATIONS!$C$9</definedName>
    <definedName name="Assurance_veuvage">[1]COTISATIONS!#REF!</definedName>
    <definedName name="Assurance_vieillesse_pat">[1]COTISATIONS!$B$12</definedName>
    <definedName name="Assurance_vieillesse_pat_tt">[1]COTISATIONS!#REF!</definedName>
    <definedName name="Assurance_vieillesse_sal">[1]COTISATIONS!$C$12</definedName>
    <definedName name="Assurance_vieillesse_sal_tt">[1]COTISATIONS!#REF!</definedName>
    <definedName name="Cadres_tranche_A_pat">[1]COTISATIONS!$B$35</definedName>
    <definedName name="Cadres_tranche_A_sal">[1]COTISATIONS!$C$35</definedName>
    <definedName name="Cadres_tranche_B_pat">[1]COTISATIONS!$B$36</definedName>
    <definedName name="Cadres_tranche_B_sal">[1]COTISATIONS!$C$36</definedName>
    <definedName name="Cadres_tranche_C_pat">[1]COTISATIONS!$B$37</definedName>
    <definedName name="Cadres_tranche_C_sal">[1]COTISATIONS!$C$37</definedName>
    <definedName name="Carte_Orange">#REF!</definedName>
    <definedName name="CET_pat">[1]COTISATIONS!$B$41</definedName>
    <definedName name="CET_sal">[1]COTISATIONS!$C$41</definedName>
    <definedName name="CODE">#REF!</definedName>
    <definedName name="Coisation_prévoyance">[1]COTISATIONS!$B$23</definedName>
    <definedName name="Contribution_de_solidarité_autonomie">[1]COTISATIONS!#REF!</definedName>
    <definedName name="Contribution_Sociale_Généralisée__déductible">[1]COTISATIONS!$C$20</definedName>
    <definedName name="Contribution_Sociale_Généralisée__non_déductible">[1]COTISATIONS!$C$19</definedName>
    <definedName name="Contribution_solidarité_autonomie">#REF!</definedName>
    <definedName name="essai">#REF!</definedName>
    <definedName name="FNGS">[1]COTISATIONS!$B$30</definedName>
    <definedName name="Forfait_apec_pat">#REF!</definedName>
    <definedName name="Forfait_APEC_sal">#REF!</definedName>
    <definedName name="Logt._mois">#REF!</definedName>
    <definedName name="Logt._semaine">#REF!</definedName>
    <definedName name="Minimum_Garanti">#REF!</definedName>
    <definedName name="Minimum_garanti_actuel">#REF!</definedName>
    <definedName name="Minimum_Garanti_au_1_1">#REF!</definedName>
    <definedName name="Panier_Chantier">#REF!</definedName>
    <definedName name="Panier_jour">#REF!</definedName>
    <definedName name="Panier_nuit">#REF!</definedName>
    <definedName name="Plafond_de_sécurité_Sociale">[1]COTISATIONS!$B$52</definedName>
    <definedName name="plan">#REF!,#REF!,#REF!,#REF!,#REF!,#REF!,#REF!,#REF!,#REF!,#REF!,#REF!,#REF!,#REF!,#REF!,#REF!,#REF!,#REF!,#REF!,#REF!,#REF!,#REF!</definedName>
    <definedName name="Plandescomptes">#REF!</definedName>
    <definedName name="Prévoyance_Cadres_TA_">[1]COTISATIONS!$B$40</definedName>
    <definedName name="RDS__Remboursement_de_la_dette_sociale">[1]COTISATIONS!$C$21</definedName>
    <definedName name="Rest._cadres">#REF!</definedName>
    <definedName name="Rest._employés">#REF!</definedName>
    <definedName name="Retraite_Employés_tranche_1_pat">#REF!</definedName>
    <definedName name="Retraite_Employés_tranche_1_sal">[1]COTISATIONS!$C$42</definedName>
    <definedName name="Retraite_Employés_tranche_2_pat">#REF!</definedName>
    <definedName name="Retraite_Employés_tranche_2_sal">[1]COTISATIONS!$C$43</definedName>
    <definedName name="SMIC_horaire_actuel">#REF!</definedName>
    <definedName name="SMIC_horaire_au_01_01_de_l_année">#REF!</definedName>
    <definedName name="TA___jusqu_au_plafond_de_sécurité_sociale">[1]COTISATIONS!$B$54</definedName>
    <definedName name="Taxe_de_prévoyance">[1]COTISATIONS!$B$22</definedName>
    <definedName name="TB___entre_1_et_4_fois_le_plafond_de_la_sécurité_sociale">[1]COTISATIONS!$B$55</definedName>
    <definedName name="TC___salaire_supérieur_à">[1]COTISATIONS!#REF!</definedName>
    <definedName name="TD___jusqu_à_4_fois_le_plafond_de_la_sécurité_sociale__TA_TB">[1]COTISATIONS!#REF!</definedName>
    <definedName name="TE___jusqu_à_3_fois_le_plafond_de_la_sécurité_sociale">#REF!</definedName>
    <definedName name="TE1___Plafond_de_la_sécurité_sociale">#REF!</definedName>
    <definedName name="TE2___entre_1_et_3_fois_le_plafond_de_la_sécurité_sociale">#REF!</definedName>
    <definedName name="Ticket_restaurant">#REF!</definedName>
    <definedName name="TT___Totalité_du_salaire">#REF!</definedName>
    <definedName name="TX___95___du_salaire_brut_total">#REF!</definedName>
    <definedName name="Versement_transport">[1]COTISATIONS!#REF!</definedName>
    <definedName name="_xlnm.Print_Area" localSheetId="1">'BULLETIN '!$B$1:$J$95</definedName>
  </definedNames>
  <calcPr calcId="124519"/>
</workbook>
</file>

<file path=xl/calcChain.xml><?xml version="1.0" encoding="utf-8"?>
<calcChain xmlns="http://schemas.openxmlformats.org/spreadsheetml/2006/main">
  <c r="O90" i="4"/>
  <c r="O91"/>
  <c r="O92"/>
  <c r="O93"/>
  <c r="O94"/>
  <c r="O95"/>
  <c r="O96"/>
  <c r="O97"/>
  <c r="O98"/>
  <c r="O99"/>
  <c r="O100"/>
  <c r="O89"/>
  <c r="O88"/>
  <c r="N90"/>
  <c r="N91"/>
  <c r="N92"/>
  <c r="N93"/>
  <c r="N94"/>
  <c r="N95"/>
  <c r="N96"/>
  <c r="N97"/>
  <c r="N98"/>
  <c r="N99"/>
  <c r="N100"/>
  <c r="N89"/>
  <c r="N88"/>
  <c r="H100"/>
  <c r="K100"/>
  <c r="J100"/>
  <c r="L100"/>
  <c r="L90"/>
  <c r="L91"/>
  <c r="L92" s="1"/>
  <c r="L93" s="1"/>
  <c r="L94" s="1"/>
  <c r="L95" s="1"/>
  <c r="L96" s="1"/>
  <c r="L97" s="1"/>
  <c r="L98" s="1"/>
  <c r="L99" s="1"/>
  <c r="L89"/>
  <c r="K90"/>
  <c r="K91"/>
  <c r="K92" s="1"/>
  <c r="K93" s="1"/>
  <c r="K94" s="1"/>
  <c r="K95" s="1"/>
  <c r="K96" s="1"/>
  <c r="K97" s="1"/>
  <c r="K98" s="1"/>
  <c r="K99" s="1"/>
  <c r="K89"/>
  <c r="J90"/>
  <c r="J91"/>
  <c r="J92" s="1"/>
  <c r="J93" s="1"/>
  <c r="J94" s="1"/>
  <c r="J95" s="1"/>
  <c r="J96" s="1"/>
  <c r="J97" s="1"/>
  <c r="J98" s="1"/>
  <c r="J99" s="1"/>
  <c r="J89"/>
  <c r="L88"/>
  <c r="K88"/>
  <c r="J88"/>
  <c r="H99"/>
  <c r="H98"/>
  <c r="H97"/>
  <c r="H96"/>
  <c r="H95"/>
  <c r="H94"/>
  <c r="H93"/>
  <c r="H92"/>
  <c r="H91"/>
  <c r="H90"/>
  <c r="H89"/>
  <c r="G93" i="2"/>
  <c r="G6" i="3"/>
  <c r="G4"/>
  <c r="G5"/>
  <c r="G7"/>
  <c r="G8"/>
  <c r="G9"/>
  <c r="G10"/>
  <c r="G11"/>
  <c r="G12"/>
  <c r="G13"/>
  <c r="G14"/>
  <c r="G3"/>
  <c r="I17" i="7"/>
  <c r="I12"/>
  <c r="D20" i="6"/>
  <c r="C20"/>
  <c r="B19"/>
  <c r="F21" i="1"/>
  <c r="F20"/>
  <c r="G38" i="2" l="1"/>
  <c r="I38" s="1"/>
  <c r="F38"/>
  <c r="H21" i="1"/>
  <c r="H20"/>
  <c r="P71" i="4"/>
  <c r="P72" s="1"/>
  <c r="P73" s="1"/>
  <c r="P74" s="1"/>
  <c r="P75" s="1"/>
  <c r="P76" s="1"/>
  <c r="P77" s="1"/>
  <c r="P78" s="1"/>
  <c r="P79" s="1"/>
  <c r="P80" s="1"/>
  <c r="P81" s="1"/>
  <c r="P82" s="1"/>
  <c r="I17" i="1"/>
  <c r="O6" i="2" s="1"/>
  <c r="J72" i="4"/>
  <c r="J73"/>
  <c r="J74"/>
  <c r="J75"/>
  <c r="J76"/>
  <c r="J77"/>
  <c r="J78"/>
  <c r="J79"/>
  <c r="J80"/>
  <c r="J81"/>
  <c r="J82"/>
  <c r="J71"/>
  <c r="I34" i="7" l="1"/>
  <c r="I33"/>
  <c r="L33" s="1"/>
  <c r="N36"/>
  <c r="I32"/>
  <c r="I37"/>
  <c r="M35"/>
  <c r="B71"/>
  <c r="D58"/>
  <c r="J26"/>
  <c r="M24"/>
  <c r="M20"/>
  <c r="L14"/>
  <c r="I9" i="3"/>
  <c r="I7"/>
  <c r="G104" i="1"/>
  <c r="G103"/>
  <c r="G102"/>
  <c r="G101"/>
  <c r="C18" i="3" l="1"/>
  <c r="K7" l="1"/>
  <c r="K9"/>
  <c r="F15"/>
  <c r="D15"/>
  <c r="I4"/>
  <c r="K4" s="1"/>
  <c r="I5"/>
  <c r="K5" s="1"/>
  <c r="I6"/>
  <c r="K6" s="1"/>
  <c r="I8"/>
  <c r="K8" s="1"/>
  <c r="I10"/>
  <c r="K10" s="1"/>
  <c r="I11"/>
  <c r="K11" s="1"/>
  <c r="I12"/>
  <c r="K12" s="1"/>
  <c r="I13"/>
  <c r="K13" s="1"/>
  <c r="I14"/>
  <c r="K14" s="1"/>
  <c r="I3"/>
  <c r="K3" s="1"/>
  <c r="F93" i="2"/>
  <c r="C15" i="3" l="1"/>
  <c r="L3"/>
  <c r="K15"/>
  <c r="I15"/>
  <c r="J3"/>
  <c r="J4" s="1"/>
  <c r="J5" s="1"/>
  <c r="J6" s="1"/>
  <c r="J7" s="1"/>
  <c r="J8" s="1"/>
  <c r="J9" s="1"/>
  <c r="J10" s="1"/>
  <c r="J11" s="1"/>
  <c r="J12" s="1"/>
  <c r="J13" s="1"/>
  <c r="J14" s="1"/>
  <c r="L4" l="1"/>
  <c r="L5" s="1"/>
  <c r="L6" s="1"/>
  <c r="L7" s="1"/>
  <c r="L8" s="1"/>
  <c r="L9" s="1"/>
  <c r="L10" s="1"/>
  <c r="L11" s="1"/>
  <c r="L12" s="1"/>
  <c r="L13" s="1"/>
  <c r="L14" s="1"/>
  <c r="D3" i="6" l="1"/>
  <c r="D4"/>
  <c r="C8"/>
  <c r="D8" s="1"/>
  <c r="C5" l="1"/>
  <c r="D5" s="1"/>
  <c r="C6"/>
  <c r="D6" s="1"/>
  <c r="C7"/>
  <c r="D7" s="1"/>
  <c r="F70" i="2" l="1"/>
  <c r="J70" s="1"/>
  <c r="G17" l="1"/>
  <c r="D89" s="1"/>
  <c r="E17"/>
  <c r="A219" i="4" l="1"/>
  <c r="A218"/>
  <c r="A213"/>
  <c r="C208"/>
  <c r="C207"/>
  <c r="B208" s="1"/>
  <c r="F208" s="1"/>
  <c r="H208" s="1"/>
  <c r="C206"/>
  <c r="C205"/>
  <c r="B206" s="1"/>
  <c r="F206" s="1"/>
  <c r="H206" s="1"/>
  <c r="C204"/>
  <c r="C203"/>
  <c r="B204" s="1"/>
  <c r="B114"/>
  <c r="B113"/>
  <c r="B112"/>
  <c r="B111"/>
  <c r="B110"/>
  <c r="O67"/>
  <c r="K67"/>
  <c r="B67"/>
  <c r="O66"/>
  <c r="B66"/>
  <c r="J60"/>
  <c r="K66" s="1"/>
  <c r="B58"/>
  <c r="B57"/>
  <c r="J56"/>
  <c r="I66" s="1"/>
  <c r="E37"/>
  <c r="C38" s="1"/>
  <c r="E36"/>
  <c r="C37" s="1"/>
  <c r="E35"/>
  <c r="C36" s="1"/>
  <c r="E34"/>
  <c r="C35" s="1"/>
  <c r="E33"/>
  <c r="C34" s="1"/>
  <c r="E32"/>
  <c r="C33" s="1"/>
  <c r="E31"/>
  <c r="C32" s="1"/>
  <c r="B24"/>
  <c r="B19"/>
  <c r="B9"/>
  <c r="F9" s="1"/>
  <c r="B8"/>
  <c r="F8" s="1"/>
  <c r="B7"/>
  <c r="D203" l="1"/>
  <c r="F203" s="1"/>
  <c r="H203" s="1"/>
  <c r="M66"/>
  <c r="Q66" s="1"/>
  <c r="D204"/>
  <c r="F204" s="1"/>
  <c r="H204" s="1"/>
  <c r="D206"/>
  <c r="D208"/>
  <c r="B205"/>
  <c r="B207"/>
  <c r="B209"/>
  <c r="F209" s="1"/>
  <c r="H209" s="1"/>
  <c r="I20" i="2"/>
  <c r="H3" i="3" l="1"/>
  <c r="J83" i="4"/>
  <c r="F207"/>
  <c r="H207" s="1"/>
  <c r="D207"/>
  <c r="F205"/>
  <c r="H205" s="1"/>
  <c r="D205"/>
  <c r="K71"/>
  <c r="C13" i="2"/>
  <c r="G66"/>
  <c r="G65"/>
  <c r="G64"/>
  <c r="G52"/>
  <c r="G45"/>
  <c r="G44"/>
  <c r="G43"/>
  <c r="G42"/>
  <c r="G41"/>
  <c r="G69"/>
  <c r="I57"/>
  <c r="J57" s="1"/>
  <c r="H210" i="4" l="1"/>
  <c r="H4" i="3"/>
  <c r="G15"/>
  <c r="K72" i="4"/>
  <c r="I56" i="2"/>
  <c r="I50"/>
  <c r="I58"/>
  <c r="I55"/>
  <c r="I51"/>
  <c r="N4"/>
  <c r="O5" s="1"/>
  <c r="I63"/>
  <c r="I61"/>
  <c r="J61" s="1"/>
  <c r="I60"/>
  <c r="I59"/>
  <c r="I54"/>
  <c r="I52"/>
  <c r="I48"/>
  <c r="I47"/>
  <c r="I45"/>
  <c r="I44"/>
  <c r="I43"/>
  <c r="I42"/>
  <c r="I41"/>
  <c r="I39"/>
  <c r="I37"/>
  <c r="I36"/>
  <c r="I25"/>
  <c r="J25" s="1"/>
  <c r="I24"/>
  <c r="J24" s="1"/>
  <c r="I23"/>
  <c r="J23" s="1"/>
  <c r="I22"/>
  <c r="J22" s="1"/>
  <c r="J21"/>
  <c r="J26"/>
  <c r="J27"/>
  <c r="J28"/>
  <c r="J29"/>
  <c r="J30"/>
  <c r="J12"/>
  <c r="J11"/>
  <c r="J10"/>
  <c r="H13"/>
  <c r="G12"/>
  <c r="G11"/>
  <c r="G10"/>
  <c r="G9"/>
  <c r="G8"/>
  <c r="G7"/>
  <c r="G6"/>
  <c r="G5"/>
  <c r="G4"/>
  <c r="D14"/>
  <c r="C12"/>
  <c r="C11"/>
  <c r="C10"/>
  <c r="C9"/>
  <c r="C8"/>
  <c r="C7"/>
  <c r="C6"/>
  <c r="C5"/>
  <c r="C4"/>
  <c r="K73" i="4" l="1"/>
  <c r="H38" i="2"/>
  <c r="J38"/>
  <c r="H5" i="3"/>
  <c r="F56" i="2"/>
  <c r="J31"/>
  <c r="H71" i="4" s="1"/>
  <c r="H88" s="1"/>
  <c r="F69" i="2"/>
  <c r="H69" s="1"/>
  <c r="F66"/>
  <c r="L22"/>
  <c r="I88" i="4" l="1"/>
  <c r="I71"/>
  <c r="H83"/>
  <c r="K74"/>
  <c r="K75" s="1"/>
  <c r="K76" s="1"/>
  <c r="K77" s="1"/>
  <c r="K78" s="1"/>
  <c r="K79" s="1"/>
  <c r="K80" s="1"/>
  <c r="K81" s="1"/>
  <c r="K82" s="1"/>
  <c r="H6" i="3"/>
  <c r="F54" i="2"/>
  <c r="J54" s="1"/>
  <c r="J56"/>
  <c r="F60"/>
  <c r="J60" s="1"/>
  <c r="F42"/>
  <c r="J42" s="1"/>
  <c r="F47"/>
  <c r="J47" s="1"/>
  <c r="F36"/>
  <c r="J36" s="1"/>
  <c r="F39"/>
  <c r="J39" s="1"/>
  <c r="F59"/>
  <c r="J59" s="1"/>
  <c r="F58"/>
  <c r="J58" s="1"/>
  <c r="H66"/>
  <c r="F110" i="1"/>
  <c r="M4" i="3" s="1"/>
  <c r="N4" s="1"/>
  <c r="F101" i="1"/>
  <c r="F103" s="1"/>
  <c r="F94"/>
  <c r="F95" s="1"/>
  <c r="F92"/>
  <c r="F93" s="1"/>
  <c r="F90"/>
  <c r="F88"/>
  <c r="H63"/>
  <c r="H62"/>
  <c r="H61"/>
  <c r="H60"/>
  <c r="H59"/>
  <c r="H57"/>
  <c r="H56"/>
  <c r="H51"/>
  <c r="H50"/>
  <c r="H48"/>
  <c r="H47"/>
  <c r="H46"/>
  <c r="H45"/>
  <c r="H44"/>
  <c r="H43"/>
  <c r="H42"/>
  <c r="H41"/>
  <c r="H40"/>
  <c r="H39"/>
  <c r="H38"/>
  <c r="H36"/>
  <c r="H35"/>
  <c r="H34"/>
  <c r="H33"/>
  <c r="H32"/>
  <c r="I89" i="4" l="1"/>
  <c r="M88"/>
  <c r="R71"/>
  <c r="S71" s="1"/>
  <c r="M71"/>
  <c r="I72"/>
  <c r="L71"/>
  <c r="N2" i="2" s="1"/>
  <c r="C93" s="1"/>
  <c r="F63" s="1"/>
  <c r="M5" i="3"/>
  <c r="N5" s="1"/>
  <c r="O5" s="1"/>
  <c r="M6"/>
  <c r="N6" s="1"/>
  <c r="H7"/>
  <c r="F18"/>
  <c r="M3"/>
  <c r="N3" s="1"/>
  <c r="H42" i="2"/>
  <c r="F37"/>
  <c r="J37" s="1"/>
  <c r="F104" i="1"/>
  <c r="F102"/>
  <c r="I90" i="4" l="1"/>
  <c r="M89"/>
  <c r="R72"/>
  <c r="S72" s="1"/>
  <c r="I73"/>
  <c r="L72"/>
  <c r="M72" s="1"/>
  <c r="D93" i="2"/>
  <c r="F45" s="1"/>
  <c r="J45" s="1"/>
  <c r="F43"/>
  <c r="J43" s="1"/>
  <c r="F55"/>
  <c r="J55" s="1"/>
  <c r="F41"/>
  <c r="J41" s="1"/>
  <c r="F52"/>
  <c r="N71" i="4"/>
  <c r="O6" i="3"/>
  <c r="O3"/>
  <c r="L17" s="1"/>
  <c r="J68" i="2" s="1"/>
  <c r="O4" i="3"/>
  <c r="M7"/>
  <c r="N7" s="1"/>
  <c r="O7" s="1"/>
  <c r="H8"/>
  <c r="H41" i="2"/>
  <c r="F48"/>
  <c r="J48" s="1"/>
  <c r="I91" i="4" l="1"/>
  <c r="M90"/>
  <c r="F44" i="2"/>
  <c r="J44" s="1"/>
  <c r="H43"/>
  <c r="F51"/>
  <c r="J51" s="1"/>
  <c r="F50"/>
  <c r="J50" s="1"/>
  <c r="H45"/>
  <c r="O71" i="4"/>
  <c r="Q71"/>
  <c r="N3" i="2" s="1"/>
  <c r="J52"/>
  <c r="H52"/>
  <c r="I74" i="4"/>
  <c r="R73"/>
  <c r="S73" s="1"/>
  <c r="L73"/>
  <c r="M73" s="1"/>
  <c r="M8" i="3"/>
  <c r="N8" s="1"/>
  <c r="O8" s="1"/>
  <c r="H9"/>
  <c r="H44" i="2"/>
  <c r="I92" i="4" l="1"/>
  <c r="M91"/>
  <c r="L74"/>
  <c r="N72"/>
  <c r="Q72" s="1"/>
  <c r="R74"/>
  <c r="S74" s="1"/>
  <c r="I75"/>
  <c r="H10" i="3"/>
  <c r="M9"/>
  <c r="N9" s="1"/>
  <c r="O9" s="1"/>
  <c r="M74" i="4"/>
  <c r="I93" l="1"/>
  <c r="M92"/>
  <c r="O72"/>
  <c r="N73" s="1"/>
  <c r="Q73" s="1"/>
  <c r="R75"/>
  <c r="S75" s="1"/>
  <c r="I76"/>
  <c r="L75"/>
  <c r="M75" s="1"/>
  <c r="H11" i="3"/>
  <c r="M10"/>
  <c r="N10" s="1"/>
  <c r="O10" s="1"/>
  <c r="I94" i="4" l="1"/>
  <c r="M93"/>
  <c r="O73"/>
  <c r="N74" s="1"/>
  <c r="Q74" s="1"/>
  <c r="I77"/>
  <c r="R76"/>
  <c r="S76" s="1"/>
  <c r="L76"/>
  <c r="M76" s="1"/>
  <c r="H12" i="3"/>
  <c r="M11"/>
  <c r="N11" s="1"/>
  <c r="O11" s="1"/>
  <c r="I95" i="4" l="1"/>
  <c r="M94"/>
  <c r="O74"/>
  <c r="N75" s="1"/>
  <c r="Q75" s="1"/>
  <c r="R77"/>
  <c r="S77" s="1"/>
  <c r="I78"/>
  <c r="L77"/>
  <c r="M77" s="1"/>
  <c r="H13" i="3"/>
  <c r="M12"/>
  <c r="N12" s="1"/>
  <c r="O12" s="1"/>
  <c r="I96" i="4" l="1"/>
  <c r="M95"/>
  <c r="O75"/>
  <c r="N76" s="1"/>
  <c r="Q76" s="1"/>
  <c r="I79"/>
  <c r="R78"/>
  <c r="S78" s="1"/>
  <c r="L78"/>
  <c r="M78" s="1"/>
  <c r="H14" i="3"/>
  <c r="M13"/>
  <c r="N13" s="1"/>
  <c r="O13" s="1"/>
  <c r="I97" i="4" l="1"/>
  <c r="M96"/>
  <c r="O76"/>
  <c r="N77" s="1"/>
  <c r="Q77" s="1"/>
  <c r="R79"/>
  <c r="S79" s="1"/>
  <c r="I80"/>
  <c r="L79"/>
  <c r="M79" s="1"/>
  <c r="M14" i="3"/>
  <c r="N14" s="1"/>
  <c r="O14" s="1"/>
  <c r="O15" s="1"/>
  <c r="I98" i="4" l="1"/>
  <c r="M97"/>
  <c r="O77"/>
  <c r="N78" s="1"/>
  <c r="Q78" s="1"/>
  <c r="I81"/>
  <c r="R80"/>
  <c r="S80" s="1"/>
  <c r="L80"/>
  <c r="M80" s="1"/>
  <c r="O78"/>
  <c r="N79" s="1"/>
  <c r="I99" l="1"/>
  <c r="M98"/>
  <c r="R81"/>
  <c r="S81" s="1"/>
  <c r="I82"/>
  <c r="R82" s="1"/>
  <c r="O79"/>
  <c r="N80" s="1"/>
  <c r="Q79"/>
  <c r="L81"/>
  <c r="M81" s="1"/>
  <c r="M99" l="1"/>
  <c r="M100"/>
  <c r="S82"/>
  <c r="O80"/>
  <c r="N81" s="1"/>
  <c r="Q80"/>
  <c r="L82"/>
  <c r="L83" s="1"/>
  <c r="O81" l="1"/>
  <c r="Q81"/>
  <c r="M82"/>
  <c r="N82" s="1"/>
  <c r="O82" l="1"/>
  <c r="N83" s="1"/>
  <c r="Q82"/>
  <c r="J63" i="2"/>
  <c r="J71" s="1"/>
  <c r="I89" s="1"/>
  <c r="F64" l="1"/>
  <c r="F65" l="1"/>
  <c r="H65" s="1"/>
  <c r="H64"/>
  <c r="H71" l="1"/>
  <c r="H77" s="1"/>
  <c r="H82" l="1"/>
  <c r="H85"/>
  <c r="E87" s="1"/>
  <c r="F87" s="1"/>
  <c r="H87" s="1"/>
  <c r="H88" l="1"/>
</calcChain>
</file>

<file path=xl/comments1.xml><?xml version="1.0" encoding="utf-8"?>
<comments xmlns="http://schemas.openxmlformats.org/spreadsheetml/2006/main">
  <authors>
    <author>PC</author>
  </authors>
  <commentList>
    <comment ref="C25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Accident du travail (taux variable par entreprise)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Versement mobilités (variable par ville)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Dans la formule il faut enlever les HS 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Prend en compte laPart patronal des prevoyances AGIRC/ARCO et ne concerne que les entreprise de plus de 11 salariés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ne concerne que les dirigeants</t>
        </r>
      </text>
    </comment>
    <comment ref="F48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Dès lors qu'il est uniquement titulaire d'un mandat social, non d'un contrat de travail, la rémunération d'un Gérant de SARL n'est pas assujettie à cette cotisation.
A contrario, lorsqu'il cumule mandat social et contrat de travail, la rémunération perçue au titre du contrat, et uniquement celle-ci, est assujettie à la cotisation.</t>
        </r>
      </text>
    </comment>
    <comment ref="C50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ne concerne pas les digeants</t>
        </r>
      </text>
    </comment>
    <comment ref="C78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concerne les reductions HS, est en euros et non en % ne concerne que les e/se de - de 20 salariés, prend que les tps pleins, les HC ne sont pas pris en compte, dans le calcul on reprends les heures sup et non pas le montant</t>
        </r>
      </text>
    </comment>
    <comment ref="C83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Son Montant determine si on a droit aux aides sociales ou pas ( ex. prime d'activité, RSA, alloc CAF)</t>
        </r>
      </text>
    </comment>
    <comment ref="C110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se calcul avec le nombre de salarié dans l'entreprise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F12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Date d'entrée dans l'entreprise: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salaire de base =éléments de rémuneration pris en compte lors de chaque paiement du salaires c'est la remuneration prévue à l'embauche entre l'employeur et le salarié</t>
        </r>
      </text>
    </comment>
    <comment ref="I58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Dès lors qu'il est uniquement titulaire d'un mandat social, non d'un contrat de travail, la rémunération d'un Gérant de SARL n'est pas assujettie à cette cotisation.
A contrario, lorsqu'il cumule mandat social et contrat de travail, la rémunération perçue au titre du contrat, et uniquement celle-ci, est assujettie à la cotisation.</t>
        </r>
      </text>
    </comment>
    <comment ref="B70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concerne les reductions HS, est en euros et non en % ne concerne que les e/se de - de 20 salariés, prend que les tps pleins, les HC ne sont pas pris en compte, dans le calcul on reprends les heures sup et non pas le montant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plutard le SB est à recuperer sur le tableau des tranches ici formule changé 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plutard le SB est à recuperer sur le tableau des tranches ici formule changé </t>
        </r>
      </text>
    </comment>
  </commentList>
</comments>
</file>

<file path=xl/sharedStrings.xml><?xml version="1.0" encoding="utf-8"?>
<sst xmlns="http://schemas.openxmlformats.org/spreadsheetml/2006/main" count="856" uniqueCount="615">
  <si>
    <t>Adresse:</t>
  </si>
  <si>
    <t>19 Rue Neuve d'Argenson</t>
  </si>
  <si>
    <t>Prénom:</t>
  </si>
  <si>
    <t>CP/Ville:</t>
  </si>
  <si>
    <t xml:space="preserve">24100 Bergerac </t>
  </si>
  <si>
    <t>Statut:</t>
  </si>
  <si>
    <t>Code APE:</t>
  </si>
  <si>
    <t>Convention collective:</t>
  </si>
  <si>
    <t>2 75 88200000</t>
  </si>
  <si>
    <t>URSSAF:</t>
  </si>
  <si>
    <t xml:space="preserve">Mutuelle cadre </t>
  </si>
  <si>
    <t xml:space="preserve">Mutuelle non cadre </t>
  </si>
  <si>
    <t>Prévoyance T1</t>
  </si>
  <si>
    <t>Prévoyance T2</t>
  </si>
  <si>
    <t xml:space="preserve">Taux AT </t>
  </si>
  <si>
    <t>Taux transport</t>
  </si>
  <si>
    <t>Cotisations Minimales Obligatoires des Employeurs et Salariés</t>
  </si>
  <si>
    <t xml:space="preserve">Nature des cotisations </t>
  </si>
  <si>
    <t>Part Employeur</t>
  </si>
  <si>
    <t>Part Salarié</t>
  </si>
  <si>
    <t>Total</t>
  </si>
  <si>
    <t xml:space="preserve">Assiette maxi </t>
  </si>
  <si>
    <t xml:space="preserve">URSSAF </t>
  </si>
  <si>
    <t xml:space="preserve"> Maladie, maternité, invalidité, décès &gt;2,5smic</t>
  </si>
  <si>
    <t>Totalité Tranches</t>
  </si>
  <si>
    <t>Maladie, maternité, invalidité, décès &lt;2,5smic</t>
  </si>
  <si>
    <t>TT</t>
  </si>
  <si>
    <t>Contribution de solidarité pour autonomie</t>
  </si>
  <si>
    <t>Assurance vieillesse plafonnée
Assurance vieillesse salaire total
Assurance vieillesse plafonnée</t>
  </si>
  <si>
    <t>Tranche A</t>
  </si>
  <si>
    <t>Assurance vieillesse salaire total</t>
  </si>
  <si>
    <t>Allocations familiales 100 % brut &gt; 3,5 smic</t>
  </si>
  <si>
    <t>Allocations familiales 100 % brut &lt; = 3,5 smic</t>
  </si>
  <si>
    <r>
      <t xml:space="preserve">Aide au logement (moins de 50 salariés) </t>
    </r>
    <r>
      <rPr>
        <b/>
        <sz val="11"/>
        <color theme="1"/>
        <rFont val="Calibri"/>
        <family val="2"/>
        <scheme val="minor"/>
      </rPr>
      <t>FNAL</t>
    </r>
  </si>
  <si>
    <t>TA</t>
  </si>
  <si>
    <r>
      <t xml:space="preserve">Aide au logement (50 salariés et plus) </t>
    </r>
    <r>
      <rPr>
        <b/>
        <sz val="11"/>
        <color theme="1"/>
        <rFont val="Calibri"/>
        <family val="2"/>
        <scheme val="minor"/>
      </rPr>
      <t>FNAL</t>
    </r>
  </si>
  <si>
    <r>
      <t xml:space="preserve">Accidents du travail &amp; M.P  </t>
    </r>
    <r>
      <rPr>
        <b/>
        <sz val="11"/>
        <color rgb="FFFF0000"/>
        <rFont val="Calibri"/>
        <family val="2"/>
        <scheme val="minor"/>
      </rPr>
      <t>(taux variable par entreprise)</t>
    </r>
  </si>
  <si>
    <r>
      <t xml:space="preserve">Versement mobilités </t>
    </r>
    <r>
      <rPr>
        <b/>
        <sz val="11"/>
        <color rgb="FFFF0000"/>
        <rFont val="Calibri"/>
        <family val="2"/>
        <scheme val="minor"/>
      </rPr>
      <t>(variable par ville)</t>
    </r>
  </si>
  <si>
    <t>T</t>
  </si>
  <si>
    <r>
      <rPr>
        <b/>
        <sz val="11"/>
        <color theme="1"/>
        <rFont val="Calibri"/>
        <family val="2"/>
        <scheme val="minor"/>
      </rPr>
      <t>CSG</t>
    </r>
    <r>
      <rPr>
        <sz val="11"/>
        <color theme="1"/>
        <rFont val="Calibri"/>
        <family val="2"/>
        <scheme val="minor"/>
      </rPr>
      <t xml:space="preserve"> Contribution Sociale Généralisée </t>
    </r>
    <r>
      <rPr>
        <sz val="11"/>
        <color rgb="FFFF0000"/>
        <rFont val="Calibri"/>
        <family val="2"/>
        <scheme val="minor"/>
      </rPr>
      <t>(non déductible)</t>
    </r>
  </si>
  <si>
    <t>TX base CSG</t>
  </si>
  <si>
    <r>
      <rPr>
        <b/>
        <sz val="11"/>
        <color theme="1"/>
        <rFont val="Calibri"/>
        <family val="2"/>
        <scheme val="minor"/>
      </rPr>
      <t>CSG</t>
    </r>
    <r>
      <rPr>
        <sz val="11"/>
        <color theme="1"/>
        <rFont val="Calibri"/>
        <family val="2"/>
        <scheme val="minor"/>
      </rPr>
      <t xml:space="preserve"> Contribution Sociale Généralisée </t>
    </r>
    <r>
      <rPr>
        <sz val="11"/>
        <color rgb="FFFF0000"/>
        <rFont val="Calibri"/>
        <family val="2"/>
        <scheme val="minor"/>
      </rPr>
      <t>(déductible)</t>
    </r>
  </si>
  <si>
    <t>TX</t>
  </si>
  <si>
    <r>
      <t xml:space="preserve">CRDS (Remboursement de la dette sociale) </t>
    </r>
    <r>
      <rPr>
        <sz val="11"/>
        <color rgb="FFFF0000"/>
        <rFont val="Calibri"/>
        <family val="2"/>
        <scheme val="minor"/>
      </rPr>
      <t>(non deductible)</t>
    </r>
  </si>
  <si>
    <r>
      <t xml:space="preserve">Forfait social (11 salariés et plus)  </t>
    </r>
    <r>
      <rPr>
        <b/>
        <sz val="11"/>
        <color theme="1"/>
        <rFont val="Calibri"/>
        <family val="2"/>
        <scheme val="minor"/>
      </rPr>
      <t xml:space="preserve">PPP </t>
    </r>
    <r>
      <rPr>
        <b/>
        <sz val="11"/>
        <color rgb="FFFF0000"/>
        <rFont val="Calibri"/>
        <family val="2"/>
        <scheme val="minor"/>
      </rPr>
      <t>(taux réduit)</t>
    </r>
  </si>
  <si>
    <t>CPP</t>
  </si>
  <si>
    <t>Contribution au dialogue social</t>
  </si>
  <si>
    <t>POLE EMPLOI</t>
  </si>
  <si>
    <r>
      <t xml:space="preserve">Assurance Chômage tranche A et B  </t>
    </r>
    <r>
      <rPr>
        <sz val="11"/>
        <color rgb="FFFF0000"/>
        <rFont val="Calibri"/>
        <family val="2"/>
        <scheme val="minor"/>
      </rPr>
      <t>(limité à 4 PMSS)</t>
    </r>
  </si>
  <si>
    <r>
      <t xml:space="preserve">AGS (FNGS) tranche A et B </t>
    </r>
    <r>
      <rPr>
        <sz val="11"/>
        <color rgb="FFFF0000"/>
        <rFont val="Calibri"/>
        <family val="2"/>
        <scheme val="minor"/>
      </rPr>
      <t>(limité à 4 PMSS)</t>
    </r>
  </si>
  <si>
    <t>TA + TB</t>
  </si>
  <si>
    <t>CAISSES DE RETRAITES</t>
  </si>
  <si>
    <t>Cadres</t>
  </si>
  <si>
    <t>APEC (T1+T2 limité à 4*T1)</t>
  </si>
  <si>
    <t>Prévoyance Cadres   TA - assurance décès</t>
  </si>
  <si>
    <t xml:space="preserve">Tous status </t>
  </si>
  <si>
    <t>Retraite tranche 1</t>
  </si>
  <si>
    <t>Tranche 1</t>
  </si>
  <si>
    <t>Retraite tranche 2</t>
  </si>
  <si>
    <t>T2</t>
  </si>
  <si>
    <t>Contribution d'Equilibre Technique (CET)</t>
  </si>
  <si>
    <t>T1 + T2</t>
  </si>
  <si>
    <t>Contribution d'Equilibre Générale (CEG) tranche 1</t>
  </si>
  <si>
    <t>T1</t>
  </si>
  <si>
    <t>Contribution d'Equilibre Générale (CEG) tranche 2</t>
  </si>
  <si>
    <t>AUTRES TAXES ET PARTICIPATIONS</t>
  </si>
  <si>
    <t>Effort de construction</t>
  </si>
  <si>
    <t>Forfait social autre</t>
  </si>
  <si>
    <t>Complémentaire AGIRC/ARRCO T1</t>
  </si>
  <si>
    <t>Complémentaire AGIRC/ARRCO T2</t>
  </si>
  <si>
    <t>CUFPA</t>
  </si>
  <si>
    <t>Cotisations statutaires ou prévues par la convention collective</t>
  </si>
  <si>
    <t>CSG non imposable à l'impôt sur le revenu</t>
  </si>
  <si>
    <t>CSG/CRDS imposable à l'impôt sur le revenu</t>
  </si>
  <si>
    <t xml:space="preserve">csg/crds HS imposable à l'impôt sur le revenu </t>
  </si>
  <si>
    <t>Exonérations allègements  cotisations</t>
  </si>
  <si>
    <t>Réduction Générale des cotisations</t>
  </si>
  <si>
    <t>Exonération salariale/HS et HC</t>
  </si>
  <si>
    <t>TEPA</t>
  </si>
  <si>
    <t>Taxe d'apprentissage</t>
  </si>
  <si>
    <t>Formation Professionnelle (moins de 11 salariés)</t>
  </si>
  <si>
    <t>Formation Professionnelle (11 salariés ou plus)</t>
  </si>
  <si>
    <t>Montant net social</t>
  </si>
  <si>
    <t>Remboursement et déductions diverses</t>
  </si>
  <si>
    <t>Total indemnités et retenues</t>
  </si>
  <si>
    <t>DIVERS</t>
  </si>
  <si>
    <r>
      <t xml:space="preserve">Plafond de sécurité sociale mensuel </t>
    </r>
    <r>
      <rPr>
        <sz val="11"/>
        <color rgb="FFFF0000"/>
        <rFont val="Calibri"/>
        <family val="2"/>
        <scheme val="minor"/>
      </rPr>
      <t>(PMSS)</t>
    </r>
  </si>
  <si>
    <r>
      <t xml:space="preserve">Plafond de sécurité sociale Annuell </t>
    </r>
    <r>
      <rPr>
        <sz val="11"/>
        <color rgb="FFFF0000"/>
        <rFont val="Calibri"/>
        <family val="2"/>
        <scheme val="minor"/>
      </rPr>
      <t>(PASS)</t>
    </r>
  </si>
  <si>
    <t>Plafond annuel TB</t>
  </si>
  <si>
    <t>TT= Totalité tranche</t>
  </si>
  <si>
    <t>TA= jusqu'au plafond de SS</t>
  </si>
  <si>
    <t>TB= entre 1 et 4 fois le plafond de la SS</t>
  </si>
  <si>
    <t>T1= plafond de la securité sociale</t>
  </si>
  <si>
    <t>T2= entre 1 et 8 fois le plafond de la SS</t>
  </si>
  <si>
    <t>TX= (98,25% du brut)+Part patronal (prév + mutuelle santé)</t>
  </si>
  <si>
    <t>CPP = Part patronale(prév + mutuelle santé)</t>
  </si>
  <si>
    <t>Minimum Garanti au 1/1</t>
  </si>
  <si>
    <t>Minimum Garanti actuel</t>
  </si>
  <si>
    <t>SMIC horaire actuel</t>
  </si>
  <si>
    <t xml:space="preserve">SMIC MENSUEL </t>
  </si>
  <si>
    <t>Limite 1,6 fois le SMIC</t>
  </si>
  <si>
    <t>Limite 2,5 fois le SMIC</t>
  </si>
  <si>
    <t>Limite 3,5 fois le SMIC</t>
  </si>
  <si>
    <t xml:space="preserve">Avantages en nature: </t>
  </si>
  <si>
    <t>Coeff Fillon (0,3191 si &lt;5 50 salarié;sinon 0,3231)</t>
  </si>
  <si>
    <t xml:space="preserve">BULLETIN DE SALAIRE </t>
  </si>
  <si>
    <t>Element de revenu brut</t>
  </si>
  <si>
    <t>Montant</t>
  </si>
  <si>
    <t>Taux</t>
  </si>
  <si>
    <t>Valeur unitaire</t>
  </si>
  <si>
    <t>Base</t>
  </si>
  <si>
    <t>Cotisation et contrivbution sociales obligatoires</t>
  </si>
  <si>
    <t>Salaire</t>
  </si>
  <si>
    <t>cotisations et contributions sociales</t>
  </si>
  <si>
    <t>Assurance Santé</t>
  </si>
  <si>
    <t>Maladie-Maternité-Invalidite&lt;2,5smic</t>
  </si>
  <si>
    <t>Maladie-Maternité-Invalidite&gt;2,5smic</t>
  </si>
  <si>
    <t>Accident du travail-maladies professionnelles</t>
  </si>
  <si>
    <t>Assurance Retraite</t>
  </si>
  <si>
    <t>Sécurité sociale plafonnée</t>
  </si>
  <si>
    <t>Sécurité Sociale déplafonnée</t>
  </si>
  <si>
    <t xml:space="preserve">CET T1 + T2 (salaire &gt; plafond SS) </t>
  </si>
  <si>
    <t>Famille</t>
  </si>
  <si>
    <t>Allocations familiales 100 % brut (&lt;  3,5 smic)</t>
  </si>
  <si>
    <t>Assurance Chômage</t>
  </si>
  <si>
    <t>Chômage Tr A+ Tr B</t>
  </si>
  <si>
    <t xml:space="preserve">AGS (FNGS) </t>
  </si>
  <si>
    <t>Autres charges dues par l'employeur</t>
  </si>
  <si>
    <t>Versement mobilité ≥ 11 salariés</t>
  </si>
  <si>
    <t>FNAL Aide au logement</t>
  </si>
  <si>
    <t>Forfait Social sur prévoyance</t>
  </si>
  <si>
    <t>Effort construction</t>
  </si>
  <si>
    <t>Assurance décès des cadres</t>
  </si>
  <si>
    <t>Total des cotisations et contributions obligatoires</t>
  </si>
  <si>
    <t>Cotisations et contributions sociales facultatives</t>
  </si>
  <si>
    <t>Prévoyance, incapacités, invalidités, décès, autres</t>
  </si>
  <si>
    <t>Retraite supplémentaire</t>
  </si>
  <si>
    <t>Total des cotisations et contributions facultatives</t>
  </si>
  <si>
    <t>Net à payer avant impôt sur le revenu</t>
  </si>
  <si>
    <t>Impôt sur le revenu</t>
  </si>
  <si>
    <t>Montant net imposable</t>
  </si>
  <si>
    <t>Montant net des HC HS RTT exonérées</t>
  </si>
  <si>
    <t>Cumule  annuel</t>
  </si>
  <si>
    <t>Cotisations Patronales</t>
  </si>
  <si>
    <t>Retenues Salariales</t>
  </si>
  <si>
    <t>Montant net à payer</t>
  </si>
  <si>
    <t>Date de versement</t>
  </si>
  <si>
    <t xml:space="preserve">Total versé par l'employeur </t>
  </si>
  <si>
    <t>Dans votre intérêt et pour vous aider à faire valoir vos droits, conserver ce bulletin de paie sans limitation de durée</t>
  </si>
  <si>
    <t>Pour la définition des termes employées se reporter aux rubriques bulletin de salaire du site internet service public.fr</t>
  </si>
  <si>
    <t>TA/T1</t>
  </si>
  <si>
    <t>cumul m-1</t>
  </si>
  <si>
    <t xml:space="preserve">CET </t>
  </si>
  <si>
    <t>TB</t>
  </si>
  <si>
    <t>effectif</t>
  </si>
  <si>
    <t>cadre</t>
  </si>
  <si>
    <t>Maladie 6%</t>
  </si>
  <si>
    <t>AF 1,80%</t>
  </si>
  <si>
    <t>Net imposable</t>
  </si>
  <si>
    <t xml:space="preserve">HC HS RTT </t>
  </si>
  <si>
    <t>PAS</t>
  </si>
  <si>
    <t xml:space="preserve">Employeur </t>
  </si>
  <si>
    <t>Salarié</t>
  </si>
  <si>
    <t>Nom:</t>
  </si>
  <si>
    <t>Complement:</t>
  </si>
  <si>
    <t>Code postal:</t>
  </si>
  <si>
    <t>Ville:</t>
  </si>
  <si>
    <t>N) SIRET/</t>
  </si>
  <si>
    <t>Site d'emploi:</t>
  </si>
  <si>
    <t>Periode du:</t>
  </si>
  <si>
    <t>N° de S.S.:</t>
  </si>
  <si>
    <t>Emploi:</t>
  </si>
  <si>
    <t>Contrat:</t>
  </si>
  <si>
    <t>Position:</t>
  </si>
  <si>
    <t>Embauche:</t>
  </si>
  <si>
    <t>Horaire Mensualisé:</t>
  </si>
  <si>
    <t>Coefficient:</t>
  </si>
  <si>
    <t>Départ:</t>
  </si>
  <si>
    <t>35h</t>
  </si>
  <si>
    <t xml:space="preserve">Salaire de base </t>
  </si>
  <si>
    <t>Heures supplémentaires  à 10%</t>
  </si>
  <si>
    <t>Heures supplémentaires  à 25%</t>
  </si>
  <si>
    <t>Heures supplémentaires  à 50%</t>
  </si>
  <si>
    <t>Heures supplémentaires  à 100%</t>
  </si>
  <si>
    <t>Congés payes</t>
  </si>
  <si>
    <t>Tranche A/1</t>
  </si>
  <si>
    <t>Tranche B/2</t>
  </si>
  <si>
    <t>PMSS</t>
  </si>
  <si>
    <t xml:space="preserve">Cadre </t>
  </si>
  <si>
    <t xml:space="preserve">Non Cadre </t>
  </si>
  <si>
    <t>Dirigeant</t>
  </si>
  <si>
    <t xml:space="preserve"> </t>
  </si>
  <si>
    <t>SALAIRE BRUT TOTAL</t>
  </si>
  <si>
    <t>Complémentaire garanties frais de santé obligatoires (mutuelle)</t>
  </si>
  <si>
    <t>CUFPA (contribution unique à la formation et à l’alternance)</t>
  </si>
  <si>
    <t>SARL TIQUETAK</t>
  </si>
  <si>
    <t>rue de l'horloge</t>
  </si>
  <si>
    <t>ROUEN</t>
  </si>
  <si>
    <t xml:space="preserve">9525 Z </t>
  </si>
  <si>
    <t>N° SIRET:</t>
  </si>
  <si>
    <t>www.tiquetak.com</t>
  </si>
  <si>
    <t>Réparation d'articles d'horlogerie et de bijouterie</t>
  </si>
  <si>
    <t>Impôt sur le revenu prélevé à la source - PAS</t>
  </si>
  <si>
    <t>Contribution organisations syndicales (CDS)</t>
  </si>
  <si>
    <t>Contribution de solidarité pour autonomie (CSA)</t>
  </si>
  <si>
    <t>SMIC</t>
  </si>
  <si>
    <t>SMIC horaire</t>
  </si>
  <si>
    <t>SMIC Mensuel temps plein</t>
  </si>
  <si>
    <t>SMIC horaire &lt; 17 ans</t>
  </si>
  <si>
    <t>(SMIC horaire x 80%)</t>
  </si>
  <si>
    <t>SMIC horaire entre 17 et 18 ans</t>
  </si>
  <si>
    <t>(SMIC horaire x 90%)</t>
  </si>
  <si>
    <t>Avantages en nature</t>
  </si>
  <si>
    <t>Minimum garanti</t>
  </si>
  <si>
    <t>Avantage en nature Nourriture</t>
  </si>
  <si>
    <t>1 repas</t>
  </si>
  <si>
    <t>2 repas</t>
  </si>
  <si>
    <t>Avantage en nature Nourriture pour les salariés des hôtels, cafés, restaurants et assimilés</t>
  </si>
  <si>
    <t>Avantage en nature Logement selon forfait mensuel</t>
  </si>
  <si>
    <t>Si nous sommes dans le cadre d'un logement de fonction : il faut un besoin professionnel - Necessité absolue de service : abattement de 30%</t>
  </si>
  <si>
    <t>Rémunération brute</t>
  </si>
  <si>
    <t>Pour 1 pièce</t>
  </si>
  <si>
    <t>Par pièce principale (si pls pièces)</t>
  </si>
  <si>
    <t>Tranches en fonction du PSS</t>
  </si>
  <si>
    <t>De</t>
  </si>
  <si>
    <t>à</t>
  </si>
  <si>
    <t>&lt; 0,50 PSS</t>
  </si>
  <si>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</rPr>
      <t>0,50 ET &lt; 0,60 PSS</t>
    </r>
  </si>
  <si>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</rPr>
      <t>0,60 ET &lt; 0,70 PSS</t>
    </r>
  </si>
  <si>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</rPr>
      <t>0,70 ET &lt; 0,90 PSS</t>
    </r>
  </si>
  <si>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</rPr>
      <t>0,90 ET &lt; 1,10 PSS</t>
    </r>
  </si>
  <si>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</rPr>
      <t xml:space="preserve">1,10 </t>
    </r>
    <r>
      <rPr>
        <sz val="11"/>
        <color rgb="FF000000"/>
        <rFont val="Calibri"/>
        <family val="2"/>
      </rPr>
      <t>ET &lt; 1,30 PSS</t>
    </r>
  </si>
  <si>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</rPr>
      <t>1,30 ET &lt; 1,50 PSS</t>
    </r>
  </si>
  <si>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</rPr>
      <t>1,50 PSS</t>
    </r>
  </si>
  <si>
    <t xml:space="preserve">à </t>
  </si>
  <si>
    <t>+</t>
  </si>
  <si>
    <t>Cotisations sociales - Données 2023</t>
  </si>
  <si>
    <t>Plafond de la sécurité sociale</t>
  </si>
  <si>
    <t>Annuel</t>
  </si>
  <si>
    <t>Trimestriel</t>
  </si>
  <si>
    <t>Temps de travail hebdomadaire salarié</t>
  </si>
  <si>
    <t>Mensuel</t>
  </si>
  <si>
    <t>temps partiel -Heures compl. du mois</t>
  </si>
  <si>
    <t>Quinzaine</t>
  </si>
  <si>
    <t>Temps de travail mensuel</t>
  </si>
  <si>
    <t>Semaine</t>
  </si>
  <si>
    <t>Durée légale ou conventionnelle du travail</t>
  </si>
  <si>
    <t>Journalier</t>
  </si>
  <si>
    <t>Nombre jours calendaires de présence</t>
  </si>
  <si>
    <t>Horaire</t>
  </si>
  <si>
    <t>Nombre jours calendaires du mois</t>
  </si>
  <si>
    <t>Tranches (retraites)</t>
  </si>
  <si>
    <t>Calculs</t>
  </si>
  <si>
    <t xml:space="preserve">Tranche 1 </t>
  </si>
  <si>
    <t>1 x PSS</t>
  </si>
  <si>
    <t xml:space="preserve">PMSS du salarié = </t>
  </si>
  <si>
    <t>x</t>
  </si>
  <si>
    <t>=</t>
  </si>
  <si>
    <t>Tranche 2</t>
  </si>
  <si>
    <t>8 X PSS</t>
  </si>
  <si>
    <t>Mois</t>
  </si>
  <si>
    <t>Salaire brut</t>
  </si>
  <si>
    <t>PSS</t>
  </si>
  <si>
    <t xml:space="preserve">TB </t>
  </si>
  <si>
    <t>Du mois</t>
  </si>
  <si>
    <t>Cumulés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</si>
  <si>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</si>
  <si>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</si>
  <si>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</si>
  <si>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</si>
  <si>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</si>
  <si>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</si>
  <si>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</si>
  <si>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</si>
  <si>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</si>
  <si>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</si>
  <si>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</si>
  <si>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</si>
  <si>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Totaux</t>
  </si>
  <si>
    <t>Temps de travail du salarié</t>
  </si>
  <si>
    <t xml:space="preserve">La réduction générale des cotisations patronales est désormais applicable : </t>
  </si>
  <si>
    <t>Employeurs</t>
  </si>
  <si>
    <t>Sources</t>
  </si>
  <si>
    <t>Modalité de réduction</t>
  </si>
  <si>
    <t>Employeurs privés de contrats d'apprentissage</t>
  </si>
  <si>
    <t>Y compris les cotisations d'assurance chômage</t>
  </si>
  <si>
    <t xml:space="preserve">Employeurs de contrats de professionnalisation des demandeurs d'emploi âgés de 45 ans et + </t>
  </si>
  <si>
    <t>Groupements d'employeurs employant des contrats de professionnalisation de bénéficiaires âgés de 16 à 25 ans.</t>
  </si>
  <si>
    <t>Associations intermédiaires</t>
  </si>
  <si>
    <t>Ateliers et chantiers d'insertion</t>
  </si>
  <si>
    <t>Compléments salaire net - Données 2019</t>
  </si>
  <si>
    <t>Titre restaurant</t>
  </si>
  <si>
    <t>La participation patronale au titre restaurant</t>
  </si>
  <si>
    <t>- Doit être comprise entre 50% et 60% de la valeur du titre</t>
  </si>
  <si>
    <t>- Ne doit pas dépasser le montant suivant sous peine d'être soumis à cotisations</t>
  </si>
  <si>
    <t xml:space="preserve">Indemnités kilométriques </t>
  </si>
  <si>
    <t>Indemnités kilométriques Voiture</t>
  </si>
  <si>
    <t xml:space="preserve">Eléments connus en date du 02/01/2019 </t>
  </si>
  <si>
    <t xml:space="preserve">Les changements sont connus généralement fin janvier </t>
  </si>
  <si>
    <t>Kilométrage parcouru à titre professionnel (sur l'année)</t>
  </si>
  <si>
    <t>Puissance fiscale</t>
  </si>
  <si>
    <t>Jusqu’à 5 000 km</t>
  </si>
  <si>
    <t>De 5 001 à 20 000 km</t>
  </si>
  <si>
    <t>Au-delà de 20 000 km</t>
  </si>
  <si>
    <t>3 cv et moins</t>
  </si>
  <si>
    <t>d x 0,410</t>
  </si>
  <si>
    <t>(d x 0,245) + 824</t>
  </si>
  <si>
    <t>d x 0,286</t>
  </si>
  <si>
    <t>4 cv</t>
  </si>
  <si>
    <t>d x 0,493</t>
  </si>
  <si>
    <t>(d x 0,277) + 1 082</t>
  </si>
  <si>
    <t>d x 0,332</t>
  </si>
  <si>
    <t>5 cv</t>
  </si>
  <si>
    <t>d x 0,543</t>
  </si>
  <si>
    <t>(d x 0,305) + 1 188</t>
  </si>
  <si>
    <t>d x 0,364</t>
  </si>
  <si>
    <t>6 cv</t>
  </si>
  <si>
    <t>d x 0,568</t>
  </si>
  <si>
    <t>(d x 0,320) + 1 244</t>
  </si>
  <si>
    <t>d x 0,382</t>
  </si>
  <si>
    <t>7 cv et plus</t>
  </si>
  <si>
    <t>d x 0,595</t>
  </si>
  <si>
    <t>(d x 0,337) + 1 288</t>
  </si>
  <si>
    <t>d x 0,401</t>
  </si>
  <si>
    <t>Indemnités kilométriques Deux roues de cylindrée inférieure à 50 cm3</t>
  </si>
  <si>
    <t>Jusqu’à 2 000 km</t>
  </si>
  <si>
    <t>De 2 001 à 5 000 km</t>
  </si>
  <si>
    <t>Au-delà de 5 000 km</t>
  </si>
  <si>
    <t>d x 0,269</t>
  </si>
  <si>
    <t>(d x 0,063) + 412</t>
  </si>
  <si>
    <t>d x 0,146</t>
  </si>
  <si>
    <t>Indemnités kilométriques Moto</t>
  </si>
  <si>
    <t>Kilométrage parcouru à titre professionnel</t>
  </si>
  <si>
    <t>Jusqu’à 3 000 km</t>
  </si>
  <si>
    <t>De 3 001 à 6 000 km</t>
  </si>
  <si>
    <t>Au-delà de 6 000 km</t>
  </si>
  <si>
    <t>De 1 à 2 cv</t>
  </si>
  <si>
    <t>d x 0,338</t>
  </si>
  <si>
    <t>(d x 0,084) + 760</t>
  </si>
  <si>
    <t>d x 0,211</t>
  </si>
  <si>
    <t>De 3 à 5 cv</t>
  </si>
  <si>
    <t>d x 0,400</t>
  </si>
  <si>
    <t>(d x 0,070) + 989</t>
  </si>
  <si>
    <t>d x 0,235</t>
  </si>
  <si>
    <t>Plus de 5 cv</t>
  </si>
  <si>
    <t>d x 0,518</t>
  </si>
  <si>
    <t>(d x 0,067) + 1 351</t>
  </si>
  <si>
    <t>d x 0,292</t>
  </si>
  <si>
    <t>Indemnités kilométriques Vélo</t>
  </si>
  <si>
    <t xml:space="preserve">IK Vélo </t>
  </si>
  <si>
    <t>Formule = 0,25 € x nb km A/R Domicile - Lieu de travail x Nb jours de travail</t>
  </si>
  <si>
    <t>IK Trottinette ? Non prévue au 25/01/2019</t>
  </si>
  <si>
    <t>Taux neutre applicable</t>
  </si>
  <si>
    <t xml:space="preserve">et inférieure à </t>
  </si>
  <si>
    <t>Saisie - arrêt</t>
  </si>
  <si>
    <r>
      <t xml:space="preserve">Salaire net mensuel </t>
    </r>
    <r>
      <rPr>
        <b/>
        <sz val="8"/>
        <color rgb="FF990000"/>
        <rFont val="Calibri"/>
        <family val="2"/>
      </rPr>
      <t>(salaire brut - cotisations salariales - PAS)</t>
    </r>
    <r>
      <rPr>
        <sz val="11"/>
        <color rgb="FF990000"/>
        <rFont val="Calibri"/>
        <family val="2"/>
      </rPr>
      <t>:</t>
    </r>
  </si>
  <si>
    <t>Nombre de personnes à charge</t>
  </si>
  <si>
    <t>Tranches à majorer par personne à charge :</t>
  </si>
  <si>
    <t>Salaire mensuel net</t>
  </si>
  <si>
    <t>Montant de la tranche</t>
  </si>
  <si>
    <t>Tranche salarié</t>
  </si>
  <si>
    <t>Part saisissable de la tranche</t>
  </si>
  <si>
    <t>Montant saisissable</t>
  </si>
  <si>
    <t>Tranches</t>
  </si>
  <si>
    <t>Tranche 3</t>
  </si>
  <si>
    <t>Tranche 4</t>
  </si>
  <si>
    <t>Tranche 5</t>
  </si>
  <si>
    <t>Tranche 6</t>
  </si>
  <si>
    <t>Tranche 7</t>
  </si>
  <si>
    <t>Au-delà</t>
  </si>
  <si>
    <t>Priorité PAS / Pension alimentaire</t>
  </si>
  <si>
    <t xml:space="preserve">en cours de modif </t>
  </si>
  <si>
    <t>Rémunération brute - Données 2023</t>
  </si>
  <si>
    <t>PMSS 2023</t>
  </si>
  <si>
    <t xml:space="preserve">Tranches </t>
  </si>
  <si>
    <t>Brut Cumulés</t>
  </si>
  <si>
    <t xml:space="preserve">Salaire brut </t>
  </si>
  <si>
    <t xml:space="preserve">Masse salariale </t>
  </si>
  <si>
    <t xml:space="preserve">Avantage en nature </t>
  </si>
  <si>
    <t>Primes (imposables  salarié+ employeur )</t>
  </si>
  <si>
    <t>TEPA (travail, emploi, pouvoir d'achat)</t>
  </si>
  <si>
    <t>autre formule  du montant net social (j31-h71)+j68+j69+j63+j75</t>
  </si>
  <si>
    <t xml:space="preserve">Mutuelle </t>
  </si>
  <si>
    <t>total montant HS</t>
  </si>
  <si>
    <t xml:space="preserve">au: </t>
  </si>
  <si>
    <t xml:space="preserve">Statut </t>
  </si>
  <si>
    <t>Date ancienneté:</t>
  </si>
  <si>
    <t>Michel</t>
  </si>
  <si>
    <t>M. MONSAIN</t>
  </si>
  <si>
    <t>Effectif</t>
  </si>
  <si>
    <t>(J31-H71)+H86+J73+J75</t>
  </si>
  <si>
    <t>Sommes ayant le caractère d’un complément salarial :</t>
  </si>
  <si>
    <t> Compensation pour réduction d’horaire</t>
  </si>
  <si>
    <t> Pourboires, gueltes (pourcentage en sus des appointements accordés aux commis sur le produit de leurs</t>
  </si>
  <si>
    <t>ventes) …</t>
  </si>
  <si>
    <t> Primes de rendement individuelles ou collectives (rendement global d’une équipe), primes de production ou de</t>
  </si>
  <si>
    <t>productivité constituant un élément prévisible de rémunération</t>
  </si>
  <si>
    <t> Primes de fin d’année et de vacances pour le mois où elles sont versées</t>
  </si>
  <si>
    <t> Prime de polyvalence</t>
  </si>
  <si>
    <t> Majorations ayant le caractère d’un complément de salaire (primes, indemnités, remboursements de frais ne</t>
  </si>
  <si>
    <t>correspondant pas à une dépense effective…)</t>
  </si>
  <si>
    <t>Et il convient d’exclure certains éléments de rémunération (non exhaustifs) :</t>
  </si>
  <si>
    <t> Remboursements de frais effectivement supportés par le salarié</t>
  </si>
  <si>
    <t> Primes forfaitaires destinées à compenser les frais exposés par les salariés du fait de leur prestation de travail</t>
  </si>
  <si>
    <t>(primes de panier, d’outillage, de salissure, indemnités de déplacement…)</t>
  </si>
  <si>
    <t> Majorations pour heures supplémentaires, travail du dimanche, de nuit, jours fériés</t>
  </si>
  <si>
    <t> Primes d’ancienneté</t>
  </si>
  <si>
    <t> Primes d’assiduité</t>
  </si>
  <si>
    <t> Primes liées à la situation géographique (barrages, chantiers)</t>
  </si>
  <si>
    <t> Primes collectives liées à la production globale, productivité, résultats, Bilan…</t>
  </si>
  <si>
    <t> Primes de transport</t>
  </si>
  <si>
    <t> Participation, intéressement</t>
  </si>
  <si>
    <t> Indemnités : fin de mission (intérim), Fin CDD, non concurrence, rupture CDI..</t>
  </si>
  <si>
    <t xml:space="preserve"> Avantages en nature** (repas, logement, véhicule) &gt; idem pour minima CCN</t>
  </si>
  <si>
    <t xml:space="preserve"> Commissions</t>
  </si>
  <si>
    <t xml:space="preserve">prime de pénibilié </t>
  </si>
  <si>
    <t xml:space="preserve">Avantage en nature vehicule </t>
  </si>
  <si>
    <t xml:space="preserve">Calcul Heures supplémentaires / heures complémentaires </t>
  </si>
  <si>
    <t>Date</t>
  </si>
  <si>
    <t>SMIC HORAIRE BRUT</t>
  </si>
  <si>
    <t>9,11 euros</t>
  </si>
  <si>
    <t>8,92 euros</t>
  </si>
  <si>
    <t>8,76 euros</t>
  </si>
  <si>
    <t>8,59 euros</t>
  </si>
  <si>
    <t>8,37 euros</t>
  </si>
  <si>
    <t>Smic mensuel brut</t>
  </si>
  <si>
    <t>Smic annuel brut</t>
  </si>
  <si>
    <t>SMIC HORAIRE NET</t>
  </si>
  <si>
    <t>Smic mensuel net</t>
  </si>
  <si>
    <t>Smic annuel net</t>
  </si>
  <si>
    <t>1 383,08 euros</t>
  </si>
  <si>
    <t>16 596,96 euros</t>
  </si>
  <si>
    <t>1 353,07 euros </t>
  </si>
  <si>
    <t>16 236 euros</t>
  </si>
  <si>
    <t>1 329,05 euros</t>
  </si>
  <si>
    <t>15 936 euros</t>
  </si>
  <si>
    <t>1 302,64</t>
  </si>
  <si>
    <t>15 631,68 euros</t>
  </si>
  <si>
    <t>1 269,03 euros</t>
  </si>
  <si>
    <t>15 228,36 euros</t>
  </si>
  <si>
    <t>EVOLUTION DU SMIC BRUT</t>
  </si>
  <si>
    <t>EVOLUTION DU SMIC NET</t>
  </si>
  <si>
    <t>https://emploi.lefigaro.fr/remuneration/guide-de-la-remuneration/103-smic-2023-bientot-une-revalorisation-de-2-decouvrez-quand-le-montant-du-smic-augmentera-16-mars-2023/</t>
  </si>
  <si>
    <t xml:space="preserve">Janvier </t>
  </si>
  <si>
    <t xml:space="preserve">Mois </t>
  </si>
  <si>
    <t xml:space="preserve">Horaire mensuel moyen </t>
  </si>
  <si>
    <t>HS/HC</t>
  </si>
  <si>
    <t xml:space="preserve">TOTAL </t>
  </si>
  <si>
    <t xml:space="preserve">Taux horaire </t>
  </si>
  <si>
    <t xml:space="preserve">Variables  primes </t>
  </si>
  <si>
    <t xml:space="preserve">Salaire bruts </t>
  </si>
  <si>
    <t>1,6 x SMIC</t>
  </si>
  <si>
    <t>1,6 x SMIC cumulé</t>
  </si>
  <si>
    <t>Coefficient cumulé</t>
  </si>
  <si>
    <t xml:space="preserve">Salaires bruts cumulés </t>
  </si>
  <si>
    <t xml:space="preserve">effectif </t>
  </si>
  <si>
    <t>parametre T</t>
  </si>
  <si>
    <t xml:space="preserve">Réductions cumulées </t>
  </si>
  <si>
    <t>Réductions mensuelles régularisées progressivement</t>
  </si>
  <si>
    <t xml:space="preserve">Mois en cours </t>
  </si>
  <si>
    <t xml:space="preserve">réduction du mois </t>
  </si>
  <si>
    <t>Smic cumulé</t>
  </si>
  <si>
    <t>Smic corrigé</t>
  </si>
  <si>
    <t>Smic 1er janvier 2023</t>
  </si>
  <si>
    <t>janvier</t>
  </si>
  <si>
    <t>La loi no 78-49 en date du 19 janvier 1978 relative à la mensualisation</t>
  </si>
  <si>
    <t>durée mensuelle moyenne</t>
  </si>
  <si>
    <t>a durée légale du travail est actuellement fixée à 35 heures par semaine ce qui correspond à une moyenne</t>
  </si>
  <si>
    <t>mensuelle de 35 heures x 52 semaines / 12 mois = 151,67 heures.</t>
  </si>
  <si>
    <t>SB</t>
  </si>
  <si>
    <t>HMM</t>
  </si>
  <si>
    <t>TH</t>
  </si>
  <si>
    <t>La formule de calcul du nombre d'heures mensuelles rémunérées est la suivante</t>
  </si>
  <si>
    <t>Salaire de Base</t>
  </si>
  <si>
    <t>Les 35 heures</t>
  </si>
  <si>
    <t xml:space="preserve">La loi no 1998-461 du 13 juin 1998, dite loi « Aubry </t>
  </si>
  <si>
    <t>durée légale de travail hebdomadaire à 35 heures</t>
  </si>
  <si>
    <t xml:space="preserve">Masse salariale ou </t>
  </si>
  <si>
    <t xml:space="preserve">coût total pour l'employeur </t>
  </si>
  <si>
    <t>Annuellement, on considère qu'un salarié à temps plein travaille 1 607 heures.</t>
  </si>
  <si>
    <t xml:space="preserve">salaire brut </t>
  </si>
  <si>
    <t>Le calcul des 1 607 heures défini par la loi découle des éléments suivants :</t>
  </si>
  <si>
    <t>charges patronales</t>
  </si>
  <si>
    <t xml:space="preserve">ce que vous couter à l'employeur </t>
  </si>
  <si>
    <t xml:space="preserve"> Le temps partiel</t>
  </si>
  <si>
    <t>Tout salarié peut travailler à temps partiel, quelle que soit la durée de son contrat (CDI ou CDD).</t>
  </si>
  <si>
    <t>La rémunération des salariés à temps partiel est basée sur l'horaire mensuel moyen calculé comme suit</t>
  </si>
  <si>
    <t>Code du travail fixe la durée minimale de travail à 24 heures par semaine</t>
  </si>
  <si>
    <t>ou à 104 heures c'est-à-dire la durée mensuelle moyenne équivalente (24 x 52 / 12),</t>
  </si>
  <si>
    <t>Calcule du plafond de la secu  Proratisatioon</t>
  </si>
  <si>
    <t>Regle:: il faudra avoir travailler un mois entier  pour que le plafond soit de 3666</t>
  </si>
  <si>
    <t>cas ou on ne travail pas tout le mois :</t>
  </si>
  <si>
    <t>exemple 1</t>
  </si>
  <si>
    <t>date d'embauche : 15/02/23</t>
  </si>
  <si>
    <t xml:space="preserve">nombre de jours calendaires fevrier 2023: 28 jours </t>
  </si>
  <si>
    <t xml:space="preserve">nombre de jours calendaires de presence: 14 jours </t>
  </si>
  <si>
    <t xml:space="preserve">PMSS de fevrier 2023: </t>
  </si>
  <si>
    <t>(3666/28)*14</t>
  </si>
  <si>
    <t xml:space="preserve">c'est ce plafond qui va servir de base de calcul sur la fiche de paie </t>
  </si>
  <si>
    <t>exemple 2</t>
  </si>
  <si>
    <t>absence du mois de janvier 2023</t>
  </si>
  <si>
    <t>du 5 janvier au 10 janvier inclus</t>
  </si>
  <si>
    <t>soit 5 jours d'absence du 06 a 10 janvier</t>
  </si>
  <si>
    <t>la demi journée d'absence du 5 janvier n'est pas retenue pour la proratisation du PMSS</t>
  </si>
  <si>
    <t>Seules les journées entieres d'absence entrainent la réduction du  PMSS</t>
  </si>
  <si>
    <t xml:space="preserve">Nombre de jours calendaires janvier 2023: 31 jours </t>
  </si>
  <si>
    <t xml:space="preserve">Nombre de jour d'absence: 5 jours </t>
  </si>
  <si>
    <t xml:space="preserve">Nombre de jours calendaires de présence : 26 jours </t>
  </si>
  <si>
    <t>PMSS de janvier 2023:</t>
  </si>
  <si>
    <t>(3666/31)*26</t>
  </si>
  <si>
    <t xml:space="preserve">Reduction = coefficient C x Salaire </t>
  </si>
  <si>
    <t>Taux horaire d'une absence = salaire de base / nb d'heures normales mensuelles</t>
  </si>
  <si>
    <t>HS25%=salaire de base / nb heures normales mensuelles * 1,25</t>
  </si>
  <si>
    <t>Prime de médaille du travail</t>
  </si>
  <si>
    <t>Prime liée à un évènement familial</t>
  </si>
  <si>
    <t>Prime de 13è mois ou de fin d'année</t>
  </si>
  <si>
    <t>productivité</t>
  </si>
  <si>
    <t>production</t>
  </si>
  <si>
    <t>rendement</t>
  </si>
  <si>
    <t>Prime de résultat liée à la productivité générale</t>
  </si>
  <si>
    <t>Prime de résultat liée au rendement individuel</t>
  </si>
  <si>
    <t>Prime d'ancienneté</t>
  </si>
  <si>
    <t>Prime d'assiduité</t>
  </si>
  <si>
    <t>transport</t>
  </si>
  <si>
    <t>prime de dépaysement</t>
  </si>
  <si>
    <t>déplacement</t>
  </si>
  <si>
    <t>situation géographique (ouvriers du bâtiment)</t>
  </si>
  <si>
    <t>bicyclette</t>
  </si>
  <si>
    <t>froid</t>
  </si>
  <si>
    <t>usure de vêtements</t>
  </si>
  <si>
    <t>insalubrité</t>
  </si>
  <si>
    <t>salissure</t>
  </si>
  <si>
    <t>danger</t>
  </si>
  <si>
    <t>outillage</t>
  </si>
  <si>
    <t>travail de nuit, dimanche et jours fériés</t>
  </si>
  <si>
    <t>panier</t>
  </si>
  <si>
    <t>astreinte</t>
  </si>
  <si>
    <t>Primes représentatives de frais</t>
  </si>
  <si>
    <t>Primes inhérentes à la nature du travail</t>
  </si>
  <si>
    <t>Primes à exclure du salaire de base</t>
  </si>
  <si>
    <t>Primes à inclure dans le salaire de base</t>
  </si>
  <si>
    <t>Composition du taux horaire et des heures supplémentaires et absences</t>
  </si>
  <si>
    <t>0,3191 pour les entreprises soumises à une cotisation FNAL de 0,10 % (moins de 50 salariés) ;</t>
  </si>
  <si>
    <t>0,3231 pour les entreprises soumises à une cotisation FNAL de 0,50 % (de 50 salariés et plus)</t>
  </si>
  <si>
    <t>C</t>
  </si>
  <si>
    <t xml:space="preserve">Reduction </t>
  </si>
  <si>
    <t>1,6xSMIC</t>
  </si>
  <si>
    <t>HM</t>
  </si>
  <si>
    <t>SMIC mebnsuel</t>
  </si>
  <si>
    <t xml:space="preserve">salaire de base </t>
  </si>
  <si>
    <t>T 0,6</t>
  </si>
  <si>
    <t xml:space="preserve">fraction </t>
  </si>
  <si>
    <t>HS</t>
  </si>
  <si>
    <t>11,52 </t>
  </si>
  <si>
    <t>11,27 </t>
  </si>
  <si>
    <t>11,06 </t>
  </si>
  <si>
    <t>10,85 </t>
  </si>
  <si>
    <t>10,57 </t>
  </si>
  <si>
    <t xml:space="preserve">1 747,20 </t>
  </si>
  <si>
    <t>1 709,28 </t>
  </si>
  <si>
    <t>1 678,95 </t>
  </si>
  <si>
    <t>1 645,58 </t>
  </si>
  <si>
    <t>1 603,12 </t>
  </si>
  <si>
    <t xml:space="preserve">20 966,4 </t>
  </si>
  <si>
    <t>20 511,36 </t>
  </si>
  <si>
    <t>20 147 </t>
  </si>
  <si>
    <t>19 747 </t>
  </si>
  <si>
    <t>19 237,44 </t>
  </si>
  <si>
    <t>Taux applicable</t>
  </si>
  <si>
    <t xml:space="preserve">Inférieure à </t>
  </si>
  <si>
    <t xml:space="preserve">Supérieure ou égale à </t>
  </si>
  <si>
    <t xml:space="preserve"> et inférieure à </t>
  </si>
  <si>
    <t>et inférieure à</t>
  </si>
  <si>
    <t>Base mensuelle de prélèvement 2023</t>
  </si>
  <si>
    <t>https://bofip.impots.gouv.fr/bofip/11255-PGP.html/identifiant%3DBOI-BAREME-000037-20230621</t>
  </si>
  <si>
    <t xml:space="preserve">janvier 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</si>
  <si>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</si>
  <si>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</si>
  <si>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</si>
  <si>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</si>
  <si>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</si>
  <si>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</si>
  <si>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</si>
  <si>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</si>
  <si>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</si>
  <si>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</si>
  <si>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</si>
  <si>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Plafond SS*8 </t>
  </si>
  <si>
    <t>cumulés TB</t>
  </si>
  <si>
    <t>tranche non soumise  cumulée</t>
  </si>
  <si>
    <t xml:space="preserve">Tranche non soumise du mois </t>
  </si>
  <si>
    <t>TB si depassement cumul</t>
  </si>
  <si>
    <t xml:space="preserve">Caissière </t>
  </si>
  <si>
    <t>Base mensuelle de prélèvement  2023</t>
  </si>
  <si>
    <t>Prélèvement à la source - Données 2023</t>
  </si>
  <si>
    <t xml:space="preserve">régularisation SS / AF / CET </t>
  </si>
  <si>
    <t xml:space="preserve">2,5 smic </t>
  </si>
  <si>
    <t xml:space="preserve">seuild'eligibilité pour beneficier de la RG </t>
  </si>
  <si>
    <t>au 1er mai 2023</t>
  </si>
  <si>
    <t>au 1er janvier 2023</t>
  </si>
  <si>
    <t xml:space="preserve">Majoration qui complètent le salaire habituellement (primes ou gratifications contractuelles  </t>
  </si>
  <si>
    <t> Primes liées à des conditions particulières de travail (danger, froid, insalubrité…), risque,</t>
  </si>
  <si>
    <t xml:space="preserve">Sont exclues les sommes versées à titre de remboursement de frais , les majorations pour heures supplémentaires prévues par la loi et la prime de transport </t>
  </si>
  <si>
    <t>(ex le remboursement d'un pass navigo n'est pas à inclure au salaire brut</t>
  </si>
  <si>
    <t>SS cumulé</t>
  </si>
  <si>
    <t>complement</t>
  </si>
  <si>
    <t>AF Cumulés</t>
  </si>
  <si>
    <t>cumul</t>
  </si>
  <si>
    <t>plafond</t>
  </si>
  <si>
    <t xml:space="preserve">regul SS </t>
  </si>
  <si>
    <t xml:space="preserve">du mois </t>
  </si>
  <si>
    <t xml:space="preserve">regul </t>
  </si>
  <si>
    <t>regul AF</t>
  </si>
  <si>
    <t xml:space="preserve">CET du </t>
  </si>
  <si>
    <t>mois</t>
  </si>
</sst>
</file>

<file path=xl/styles.xml><?xml version="1.0" encoding="utf-8"?>
<styleSheet xmlns="http://schemas.openxmlformats.org/spreadsheetml/2006/main">
  <numFmts count="17">
    <numFmt numFmtId="8" formatCode="#,##0.00\ &quot;€&quot;;[Red]\-#,##0.00\ &quot;€&quot;"/>
    <numFmt numFmtId="43" formatCode="_-* #,##0.00\ _€_-;\-* #,##0.00\ _€_-;_-* &quot;-&quot;??\ _€_-;_-@_-"/>
    <numFmt numFmtId="164" formatCode="0.000%"/>
    <numFmt numFmtId="165" formatCode="0.0%"/>
    <numFmt numFmtId="166" formatCode="_-* #,##0\ _€_-;\-* #,##0\ _€_-;_-* &quot;-&quot;??\ _€_-;_-@_-"/>
    <numFmt numFmtId="167" formatCode="#,##0.00\ &quot;€&quot;"/>
    <numFmt numFmtId="168" formatCode="_-* #,##0.00\ &quot;€&quot;_-;\-* #,##0.00\ &quot;€&quot;_-;_-* &quot;-&quot;??\ &quot;€&quot;_-;_-@"/>
    <numFmt numFmtId="169" formatCode="#,##0.00&quot;€&quot;"/>
    <numFmt numFmtId="170" formatCode="0.000"/>
    <numFmt numFmtId="171" formatCode="00000"/>
    <numFmt numFmtId="172" formatCode="[&gt;=3000000000000]#&quot; &quot;##&quot; &quot;##&quot; &quot;##&quot; &quot;###&quot; &quot;###&quot; | &quot;##;#&quot; &quot;##&quot; &quot;##&quot; &quot;##&quot; &quot;###&quot; &quot;###"/>
    <numFmt numFmtId="173" formatCode="#,##0.00\ _€"/>
    <numFmt numFmtId="174" formatCode="#,##0.0000"/>
    <numFmt numFmtId="175" formatCode="[$-40C]mmmm\-yy;@"/>
    <numFmt numFmtId="176" formatCode="0.0000"/>
    <numFmt numFmtId="177" formatCode="[$-40C]d\ mmmm\ yyyy;@"/>
    <numFmt numFmtId="178" formatCode="[$-F800]dddd\,\ mmmm\ dd\,\ yyyy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u/>
      <sz val="11"/>
      <color rgb="FF0000FF"/>
      <name val="Calibri"/>
      <family val="2"/>
    </font>
    <font>
      <b/>
      <i/>
      <sz val="11"/>
      <color rgb="FF0000FF"/>
      <name val="Calibri"/>
      <family val="2"/>
    </font>
    <font>
      <b/>
      <sz val="14"/>
      <name val="Calibri"/>
      <family val="2"/>
    </font>
    <font>
      <b/>
      <sz val="8"/>
      <color rgb="FF990000"/>
      <name val="Calibri"/>
      <family val="2"/>
    </font>
    <font>
      <sz val="11"/>
      <color rgb="FF990000"/>
      <name val="Calibri"/>
      <family val="2"/>
    </font>
    <font>
      <b/>
      <sz val="8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5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1"/>
      <color rgb="FF000000"/>
      <name val="Times New Roman"/>
      <family val="1"/>
    </font>
    <font>
      <b/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rgb="FFFF0000"/>
      <name val="Calibri"/>
      <family val="2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DB380"/>
        <bgColor rgb="FFCDB38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CDB38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A7F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BFBFBF"/>
      </bottom>
      <diagonal/>
    </border>
    <border>
      <left/>
      <right/>
      <top style="thin">
        <color rgb="FF000000"/>
      </top>
      <bottom style="thin">
        <color rgb="FFBFBFBF"/>
      </bottom>
      <diagonal/>
    </border>
    <border>
      <left/>
      <right style="thin">
        <color rgb="FF000000"/>
      </right>
      <top style="thin">
        <color rgb="FF000000"/>
      </top>
      <bottom style="thin">
        <color rgb="FFBFBFBF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 style="medium">
        <color indexed="64"/>
      </top>
      <bottom/>
      <diagonal/>
    </border>
    <border>
      <left style="thin">
        <color rgb="FF7F7F7F"/>
      </left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9" fontId="22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1" fillId="0" borderId="0"/>
  </cellStyleXfs>
  <cellXfs count="646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0" fillId="2" borderId="5" xfId="0" applyFill="1" applyBorder="1"/>
    <xf numFmtId="0" fontId="0" fillId="2" borderId="9" xfId="0" applyFill="1" applyBorder="1"/>
    <xf numFmtId="0" fontId="0" fillId="2" borderId="0" xfId="0" applyFill="1" applyBorder="1"/>
    <xf numFmtId="0" fontId="0" fillId="4" borderId="4" xfId="0" applyFill="1" applyBorder="1"/>
    <xf numFmtId="0" fontId="0" fillId="0" borderId="4" xfId="0" applyBorder="1"/>
    <xf numFmtId="0" fontId="0" fillId="5" borderId="0" xfId="0" applyFill="1" applyBorder="1"/>
    <xf numFmtId="0" fontId="0" fillId="6" borderId="8" xfId="0" applyFill="1" applyBorder="1"/>
    <xf numFmtId="0" fontId="0" fillId="6" borderId="4" xfId="0" applyFill="1" applyBorder="1"/>
    <xf numFmtId="10" fontId="0" fillId="6" borderId="4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5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10" fontId="0" fillId="0" borderId="14" xfId="0" applyNumberFormat="1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0" fontId="0" fillId="0" borderId="13" xfId="0" applyNumberFormat="1" applyBorder="1"/>
    <xf numFmtId="0" fontId="7" fillId="0" borderId="13" xfId="0" applyFont="1" applyBorder="1" applyAlignment="1">
      <alignment horizontal="center"/>
    </xf>
    <xf numFmtId="0" fontId="0" fillId="0" borderId="15" xfId="0" applyBorder="1"/>
    <xf numFmtId="0" fontId="0" fillId="0" borderId="3" xfId="0" applyBorder="1"/>
    <xf numFmtId="0" fontId="7" fillId="0" borderId="9" xfId="0" applyFont="1" applyFill="1" applyBorder="1" applyAlignment="1">
      <alignment horizontal="center"/>
    </xf>
    <xf numFmtId="0" fontId="0" fillId="6" borderId="14" xfId="0" applyFill="1" applyBorder="1"/>
    <xf numFmtId="43" fontId="0" fillId="0" borderId="14" xfId="0" applyNumberFormat="1" applyBorder="1"/>
    <xf numFmtId="0" fontId="0" fillId="0" borderId="12" xfId="0" applyBorder="1"/>
    <xf numFmtId="0" fontId="0" fillId="0" borderId="5" xfId="0" applyBorder="1"/>
    <xf numFmtId="0" fontId="0" fillId="0" borderId="0" xfId="0" applyBorder="1"/>
    <xf numFmtId="0" fontId="0" fillId="0" borderId="9" xfId="0" applyBorder="1"/>
    <xf numFmtId="0" fontId="0" fillId="6" borderId="7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9" xfId="0" applyFill="1" applyBorder="1"/>
    <xf numFmtId="0" fontId="0" fillId="0" borderId="3" xfId="0" applyBorder="1"/>
    <xf numFmtId="0" fontId="3" fillId="6" borderId="4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 vertical="center" wrapText="1"/>
    </xf>
    <xf numFmtId="0" fontId="0" fillId="6" borderId="16" xfId="0" applyFill="1" applyBorder="1"/>
    <xf numFmtId="0" fontId="0" fillId="6" borderId="17" xfId="0" applyFill="1" applyBorder="1"/>
    <xf numFmtId="0" fontId="0" fillId="6" borderId="18" xfId="0" applyFill="1" applyBorder="1" applyAlignment="1">
      <alignment horizontal="right"/>
    </xf>
    <xf numFmtId="0" fontId="0" fillId="6" borderId="19" xfId="0" applyFill="1" applyBorder="1"/>
    <xf numFmtId="0" fontId="0" fillId="6" borderId="21" xfId="0" applyFill="1" applyBorder="1"/>
    <xf numFmtId="0" fontId="0" fillId="5" borderId="9" xfId="0" applyFill="1" applyBorder="1"/>
    <xf numFmtId="2" fontId="0" fillId="0" borderId="4" xfId="0" applyNumberFormat="1" applyBorder="1"/>
    <xf numFmtId="0" fontId="0" fillId="3" borderId="14" xfId="0" applyFill="1" applyBorder="1"/>
    <xf numFmtId="10" fontId="0" fillId="3" borderId="14" xfId="0" applyNumberFormat="1" applyFill="1" applyBorder="1"/>
    <xf numFmtId="10" fontId="0" fillId="3" borderId="15" xfId="0" applyNumberForma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0" fontId="0" fillId="3" borderId="13" xfId="0" applyNumberFormat="1" applyFill="1" applyBorder="1"/>
    <xf numFmtId="0" fontId="0" fillId="3" borderId="15" xfId="0" applyFill="1" applyBorder="1"/>
    <xf numFmtId="0" fontId="0" fillId="3" borderId="13" xfId="0" applyFill="1" applyBorder="1"/>
    <xf numFmtId="164" fontId="0" fillId="3" borderId="14" xfId="0" applyNumberFormat="1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9" xfId="0" applyFill="1" applyBorder="1"/>
    <xf numFmtId="10" fontId="0" fillId="2" borderId="0" xfId="0" applyNumberFormat="1" applyFill="1" applyBorder="1"/>
    <xf numFmtId="0" fontId="7" fillId="3" borderId="14" xfId="0" applyFont="1" applyFill="1" applyBorder="1" applyAlignment="1">
      <alignment horizontal="center"/>
    </xf>
    <xf numFmtId="164" fontId="0" fillId="3" borderId="13" xfId="0" applyNumberFormat="1" applyFill="1" applyBorder="1"/>
    <xf numFmtId="164" fontId="0" fillId="3" borderId="15" xfId="0" applyNumberFormat="1" applyFill="1" applyBorder="1"/>
    <xf numFmtId="0" fontId="0" fillId="5" borderId="13" xfId="0" applyFill="1" applyBorder="1"/>
    <xf numFmtId="10" fontId="0" fillId="5" borderId="14" xfId="2" applyNumberFormat="1" applyFont="1" applyFill="1" applyBorder="1"/>
    <xf numFmtId="10" fontId="0" fillId="5" borderId="14" xfId="0" applyNumberFormat="1" applyFill="1" applyBorder="1"/>
    <xf numFmtId="10" fontId="0" fillId="5" borderId="15" xfId="0" applyNumberFormat="1" applyFill="1" applyBorder="1"/>
    <xf numFmtId="10" fontId="0" fillId="5" borderId="13" xfId="0" applyNumberFormat="1" applyFill="1" applyBorder="1"/>
    <xf numFmtId="0" fontId="0" fillId="5" borderId="14" xfId="0" applyFill="1" applyBorder="1"/>
    <xf numFmtId="164" fontId="0" fillId="5" borderId="14" xfId="0" applyNumberFormat="1" applyFill="1" applyBorder="1"/>
    <xf numFmtId="0" fontId="0" fillId="5" borderId="15" xfId="0" applyFill="1" applyBorder="1"/>
    <xf numFmtId="0" fontId="0" fillId="5" borderId="14" xfId="0" applyNumberFormat="1" applyFill="1" applyBorder="1"/>
    <xf numFmtId="165" fontId="0" fillId="5" borderId="14" xfId="0" applyNumberFormat="1" applyFill="1" applyBorder="1"/>
    <xf numFmtId="164" fontId="0" fillId="2" borderId="0" xfId="0" applyNumberFormat="1" applyFill="1" applyBorder="1"/>
    <xf numFmtId="10" fontId="0" fillId="6" borderId="0" xfId="0" applyNumberFormat="1" applyFill="1" applyBorder="1"/>
    <xf numFmtId="43" fontId="0" fillId="0" borderId="4" xfId="0" applyNumberFormat="1" applyBorder="1"/>
    <xf numFmtId="0" fontId="3" fillId="0" borderId="4" xfId="0" applyFont="1" applyBorder="1"/>
    <xf numFmtId="10" fontId="0" fillId="2" borderId="0" xfId="2" applyNumberFormat="1" applyFont="1" applyFill="1" applyBorder="1"/>
    <xf numFmtId="2" fontId="0" fillId="4" borderId="6" xfId="0" applyNumberFormat="1" applyFill="1" applyBorder="1"/>
    <xf numFmtId="2" fontId="0" fillId="4" borderId="8" xfId="0" applyNumberFormat="1" applyFill="1" applyBorder="1"/>
    <xf numFmtId="0" fontId="0" fillId="4" borderId="8" xfId="0" applyFill="1" applyBorder="1"/>
    <xf numFmtId="0" fontId="0" fillId="4" borderId="6" xfId="0" applyFill="1" applyBorder="1"/>
    <xf numFmtId="0" fontId="11" fillId="10" borderId="1" xfId="0" applyFont="1" applyFill="1" applyBorder="1"/>
    <xf numFmtId="0" fontId="11" fillId="10" borderId="2" xfId="0" applyFont="1" applyFill="1" applyBorder="1"/>
    <xf numFmtId="0" fontId="11" fillId="10" borderId="3" xfId="0" applyFont="1" applyFill="1" applyBorder="1"/>
    <xf numFmtId="0" fontId="11" fillId="10" borderId="10" xfId="0" applyFont="1" applyFill="1" applyBorder="1"/>
    <xf numFmtId="0" fontId="11" fillId="10" borderId="11" xfId="0" applyFont="1" applyFill="1" applyBorder="1"/>
    <xf numFmtId="0" fontId="11" fillId="10" borderId="12" xfId="0" applyFont="1" applyFill="1" applyBorder="1"/>
    <xf numFmtId="0" fontId="3" fillId="5" borderId="0" xfId="0" applyFont="1" applyFill="1" applyBorder="1"/>
    <xf numFmtId="0" fontId="3" fillId="5" borderId="9" xfId="0" applyFont="1" applyFill="1" applyBorder="1"/>
    <xf numFmtId="0" fontId="0" fillId="9" borderId="12" xfId="0" applyFill="1" applyBorder="1"/>
    <xf numFmtId="165" fontId="0" fillId="2" borderId="0" xfId="0" applyNumberFormat="1" applyFill="1" applyBorder="1"/>
    <xf numFmtId="0" fontId="15" fillId="0" borderId="0" xfId="4" applyFont="1" applyAlignment="1">
      <alignment vertical="center"/>
    </xf>
    <xf numFmtId="0" fontId="13" fillId="0" borderId="0" xfId="4" applyFont="1" applyAlignment="1"/>
    <xf numFmtId="0" fontId="14" fillId="12" borderId="0" xfId="4" applyFont="1" applyFill="1" applyAlignment="1">
      <alignment horizontal="center" vertical="center"/>
    </xf>
    <xf numFmtId="0" fontId="13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167" fontId="13" fillId="0" borderId="0" xfId="4" applyNumberFormat="1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9" fillId="0" borderId="0" xfId="4" applyFont="1" applyAlignment="1">
      <alignment horizontal="left" vertical="center"/>
    </xf>
    <xf numFmtId="168" fontId="19" fillId="0" borderId="0" xfId="4" applyNumberFormat="1" applyFont="1" applyAlignment="1">
      <alignment horizontal="center" vertical="center"/>
    </xf>
    <xf numFmtId="0" fontId="19" fillId="0" borderId="0" xfId="4" applyFont="1" applyAlignment="1">
      <alignment vertical="center"/>
    </xf>
    <xf numFmtId="168" fontId="18" fillId="0" borderId="0" xfId="4" applyNumberFormat="1" applyFont="1" applyAlignment="1">
      <alignment vertical="center"/>
    </xf>
    <xf numFmtId="168" fontId="13" fillId="0" borderId="0" xfId="4" applyNumberFormat="1" applyFont="1" applyAlignment="1">
      <alignment vertical="center"/>
    </xf>
    <xf numFmtId="0" fontId="21" fillId="0" borderId="29" xfId="4" applyFont="1" applyBorder="1" applyAlignment="1">
      <alignment horizontal="center" vertical="center" wrapText="1"/>
    </xf>
    <xf numFmtId="0" fontId="19" fillId="12" borderId="24" xfId="4" applyFont="1" applyFill="1" applyBorder="1" applyAlignment="1">
      <alignment vertical="center"/>
    </xf>
    <xf numFmtId="0" fontId="19" fillId="12" borderId="25" xfId="4" applyFont="1" applyFill="1" applyBorder="1" applyAlignment="1">
      <alignment horizontal="center" vertical="center"/>
    </xf>
    <xf numFmtId="0" fontId="19" fillId="12" borderId="26" xfId="4" applyFont="1" applyFill="1" applyBorder="1" applyAlignment="1">
      <alignment horizontal="center" vertical="center"/>
    </xf>
    <xf numFmtId="0" fontId="13" fillId="12" borderId="32" xfId="4" applyFont="1" applyFill="1" applyBorder="1" applyAlignment="1">
      <alignment vertical="center"/>
    </xf>
    <xf numFmtId="0" fontId="13" fillId="12" borderId="33" xfId="4" applyFont="1" applyFill="1" applyBorder="1" applyAlignment="1">
      <alignment vertical="center"/>
    </xf>
    <xf numFmtId="168" fontId="13" fillId="12" borderId="0" xfId="4" applyNumberFormat="1" applyFont="1" applyFill="1" applyBorder="1" applyAlignment="1">
      <alignment vertical="center"/>
    </xf>
    <xf numFmtId="0" fontId="13" fillId="12" borderId="0" xfId="4" applyFont="1" applyFill="1" applyBorder="1" applyAlignment="1">
      <alignment horizontal="center" vertical="center"/>
    </xf>
    <xf numFmtId="8" fontId="13" fillId="12" borderId="34" xfId="4" applyNumberFormat="1" applyFont="1" applyFill="1" applyBorder="1" applyAlignment="1">
      <alignment vertical="center"/>
    </xf>
    <xf numFmtId="168" fontId="13" fillId="11" borderId="0" xfId="4" applyNumberFormat="1" applyFont="1" applyFill="1" applyBorder="1" applyAlignment="1">
      <alignment vertical="center"/>
    </xf>
    <xf numFmtId="168" fontId="13" fillId="11" borderId="32" xfId="4" applyNumberFormat="1" applyFont="1" applyFill="1" applyBorder="1" applyAlignment="1">
      <alignment vertical="center"/>
    </xf>
    <xf numFmtId="8" fontId="13" fillId="12" borderId="0" xfId="4" applyNumberFormat="1" applyFont="1" applyFill="1" applyBorder="1" applyAlignment="1">
      <alignment vertical="center"/>
    </xf>
    <xf numFmtId="0" fontId="13" fillId="12" borderId="31" xfId="4" applyFont="1" applyFill="1" applyBorder="1" applyAlignment="1">
      <alignment vertical="center"/>
    </xf>
    <xf numFmtId="0" fontId="13" fillId="12" borderId="30" xfId="4" applyFont="1" applyFill="1" applyBorder="1" applyAlignment="1">
      <alignment vertical="center"/>
    </xf>
    <xf numFmtId="8" fontId="13" fillId="12" borderId="35" xfId="4" applyNumberFormat="1" applyFont="1" applyFill="1" applyBorder="1" applyAlignment="1">
      <alignment vertical="center"/>
    </xf>
    <xf numFmtId="0" fontId="13" fillId="12" borderId="35" xfId="4" applyFont="1" applyFill="1" applyBorder="1" applyAlignment="1">
      <alignment horizontal="center" vertical="center"/>
    </xf>
    <xf numFmtId="0" fontId="13" fillId="12" borderId="36" xfId="4" applyFont="1" applyFill="1" applyBorder="1" applyAlignment="1">
      <alignment horizontal="center" vertical="center"/>
    </xf>
    <xf numFmtId="168" fontId="13" fillId="11" borderId="35" xfId="4" applyNumberFormat="1" applyFont="1" applyFill="1" applyBorder="1" applyAlignment="1">
      <alignment vertical="center"/>
    </xf>
    <xf numFmtId="168" fontId="13" fillId="11" borderId="31" xfId="4" applyNumberFormat="1" applyFont="1" applyFill="1" applyBorder="1" applyAlignment="1">
      <alignment vertical="center"/>
    </xf>
    <xf numFmtId="0" fontId="19" fillId="11" borderId="29" xfId="4" applyFont="1" applyFill="1" applyBorder="1" applyAlignment="1">
      <alignment vertical="center"/>
    </xf>
    <xf numFmtId="0" fontId="19" fillId="13" borderId="0" xfId="4" applyFont="1" applyFill="1" applyBorder="1" applyAlignment="1">
      <alignment vertical="center"/>
    </xf>
    <xf numFmtId="0" fontId="13" fillId="13" borderId="0" xfId="4" applyFont="1" applyFill="1" applyBorder="1" applyAlignment="1">
      <alignment vertical="center"/>
    </xf>
    <xf numFmtId="4" fontId="13" fillId="13" borderId="0" xfId="4" applyNumberFormat="1" applyFont="1" applyFill="1" applyBorder="1" applyAlignment="1">
      <alignment vertical="center"/>
    </xf>
    <xf numFmtId="0" fontId="13" fillId="0" borderId="28" xfId="4" applyFont="1" applyBorder="1" applyAlignment="1">
      <alignment vertical="center"/>
    </xf>
    <xf numFmtId="4" fontId="13" fillId="0" borderId="28" xfId="4" applyNumberFormat="1" applyFont="1" applyBorder="1" applyAlignment="1">
      <alignment vertical="center"/>
    </xf>
    <xf numFmtId="0" fontId="13" fillId="0" borderId="32" xfId="4" applyFont="1" applyBorder="1" applyAlignment="1">
      <alignment vertical="center"/>
    </xf>
    <xf numFmtId="4" fontId="13" fillId="0" borderId="32" xfId="4" applyNumberFormat="1" applyFont="1" applyBorder="1" applyAlignment="1">
      <alignment vertical="center"/>
    </xf>
    <xf numFmtId="0" fontId="19" fillId="13" borderId="0" xfId="4" applyFont="1" applyFill="1" applyBorder="1" applyAlignment="1">
      <alignment horizontal="left" vertical="center"/>
    </xf>
    <xf numFmtId="0" fontId="13" fillId="13" borderId="0" xfId="4" applyFont="1" applyFill="1" applyBorder="1" applyAlignment="1">
      <alignment horizontal="center" vertical="center"/>
    </xf>
    <xf numFmtId="4" fontId="13" fillId="13" borderId="0" xfId="4" applyNumberFormat="1" applyFont="1" applyFill="1" applyBorder="1" applyAlignment="1">
      <alignment horizontal="center" vertical="center"/>
    </xf>
    <xf numFmtId="4" fontId="23" fillId="13" borderId="0" xfId="4" applyNumberFormat="1" applyFont="1" applyFill="1" applyBorder="1" applyAlignment="1">
      <alignment horizontal="center" vertical="center"/>
    </xf>
    <xf numFmtId="4" fontId="13" fillId="12" borderId="0" xfId="4" applyNumberFormat="1" applyFont="1" applyFill="1" applyBorder="1" applyAlignment="1">
      <alignment vertical="center"/>
    </xf>
    <xf numFmtId="0" fontId="13" fillId="11" borderId="0" xfId="4" applyFont="1" applyFill="1" applyBorder="1" applyAlignment="1">
      <alignment vertical="center"/>
    </xf>
    <xf numFmtId="0" fontId="13" fillId="0" borderId="31" xfId="4" applyFont="1" applyBorder="1" applyAlignment="1">
      <alignment vertical="center"/>
    </xf>
    <xf numFmtId="0" fontId="13" fillId="12" borderId="0" xfId="4" applyFont="1" applyFill="1" applyBorder="1" applyAlignment="1">
      <alignment vertical="center"/>
    </xf>
    <xf numFmtId="0" fontId="13" fillId="0" borderId="29" xfId="4" applyFont="1" applyBorder="1" applyAlignment="1">
      <alignment vertical="center"/>
    </xf>
    <xf numFmtId="4" fontId="13" fillId="0" borderId="29" xfId="4" applyNumberFormat="1" applyFont="1" applyBorder="1" applyAlignment="1">
      <alignment vertical="center"/>
    </xf>
    <xf numFmtId="0" fontId="13" fillId="0" borderId="29" xfId="4" applyFont="1" applyBorder="1" applyAlignment="1">
      <alignment horizontal="center" vertical="center"/>
    </xf>
    <xf numFmtId="0" fontId="23" fillId="13" borderId="0" xfId="4" applyFont="1" applyFill="1" applyBorder="1" applyAlignment="1">
      <alignment horizontal="center" vertical="center"/>
    </xf>
    <xf numFmtId="0" fontId="19" fillId="11" borderId="23" xfId="4" applyFont="1" applyFill="1" applyBorder="1" applyAlignment="1">
      <alignment horizontal="center" vertical="center"/>
    </xf>
    <xf numFmtId="0" fontId="19" fillId="0" borderId="23" xfId="4" applyFont="1" applyBorder="1" applyAlignment="1">
      <alignment horizontal="left" vertical="center"/>
    </xf>
    <xf numFmtId="4" fontId="13" fillId="0" borderId="23" xfId="4" applyNumberFormat="1" applyFont="1" applyBorder="1" applyAlignment="1">
      <alignment horizontal="center" vertical="center"/>
    </xf>
    <xf numFmtId="4" fontId="19" fillId="0" borderId="23" xfId="4" applyNumberFormat="1" applyFont="1" applyBorder="1" applyAlignment="1">
      <alignment horizontal="center" vertical="center"/>
    </xf>
    <xf numFmtId="0" fontId="24" fillId="0" borderId="0" xfId="4" applyFont="1" applyAlignment="1">
      <alignment vertical="center"/>
    </xf>
    <xf numFmtId="0" fontId="15" fillId="0" borderId="0" xfId="4" applyFont="1" applyAlignment="1">
      <alignment vertical="center" wrapText="1"/>
    </xf>
    <xf numFmtId="0" fontId="13" fillId="0" borderId="0" xfId="4" quotePrefix="1" applyFont="1" applyAlignment="1">
      <alignment vertical="center"/>
    </xf>
    <xf numFmtId="168" fontId="17" fillId="11" borderId="0" xfId="4" applyNumberFormat="1" applyFont="1" applyFill="1" applyBorder="1" applyAlignment="1">
      <alignment vertical="center"/>
    </xf>
    <xf numFmtId="0" fontId="27" fillId="0" borderId="0" xfId="4" applyFont="1" applyAlignment="1">
      <alignment vertical="center"/>
    </xf>
    <xf numFmtId="0" fontId="19" fillId="0" borderId="29" xfId="4" applyFont="1" applyBorder="1" applyAlignment="1">
      <alignment horizontal="center" vertical="center" wrapText="1"/>
    </xf>
    <xf numFmtId="0" fontId="13" fillId="0" borderId="29" xfId="4" applyFont="1" applyBorder="1" applyAlignment="1">
      <alignment horizontal="center" vertical="center" wrapText="1"/>
    </xf>
    <xf numFmtId="0" fontId="19" fillId="0" borderId="29" xfId="4" applyFont="1" applyBorder="1" applyAlignment="1">
      <alignment vertical="center"/>
    </xf>
    <xf numFmtId="0" fontId="19" fillId="12" borderId="0" xfId="4" applyFont="1" applyFill="1" applyAlignment="1">
      <alignment vertical="center"/>
    </xf>
    <xf numFmtId="0" fontId="19" fillId="0" borderId="33" xfId="4" applyFont="1" applyBorder="1" applyAlignment="1">
      <alignment vertical="center" wrapText="1"/>
    </xf>
    <xf numFmtId="0" fontId="19" fillId="12" borderId="0" xfId="4" applyFont="1" applyFill="1" applyBorder="1" applyAlignment="1">
      <alignment horizontal="center" vertical="center" wrapText="1"/>
    </xf>
    <xf numFmtId="0" fontId="19" fillId="12" borderId="34" xfId="4" applyFont="1" applyFill="1" applyBorder="1" applyAlignment="1">
      <alignment horizontal="center" vertical="center" wrapText="1"/>
    </xf>
    <xf numFmtId="0" fontId="13" fillId="0" borderId="44" xfId="4" applyFont="1" applyBorder="1" applyAlignment="1">
      <alignment vertical="center"/>
    </xf>
    <xf numFmtId="4" fontId="13" fillId="0" borderId="45" xfId="4" applyNumberFormat="1" applyFont="1" applyBorder="1" applyAlignment="1">
      <alignment horizontal="right" vertical="center"/>
    </xf>
    <xf numFmtId="0" fontId="25" fillId="11" borderId="45" xfId="4" applyFont="1" applyFill="1" applyBorder="1" applyAlignment="1">
      <alignment horizontal="right" vertical="center"/>
    </xf>
    <xf numFmtId="10" fontId="13" fillId="0" borderId="45" xfId="4" applyNumberFormat="1" applyFont="1" applyBorder="1" applyAlignment="1">
      <alignment horizontal="right" vertical="center"/>
    </xf>
    <xf numFmtId="2" fontId="13" fillId="0" borderId="47" xfId="4" applyNumberFormat="1" applyFont="1" applyBorder="1" applyAlignment="1">
      <alignment horizontal="right" vertical="center"/>
    </xf>
    <xf numFmtId="0" fontId="13" fillId="0" borderId="48" xfId="4" applyFont="1" applyBorder="1" applyAlignment="1">
      <alignment vertical="center"/>
    </xf>
    <xf numFmtId="4" fontId="13" fillId="0" borderId="49" xfId="4" applyNumberFormat="1" applyFont="1" applyBorder="1" applyAlignment="1">
      <alignment horizontal="right" vertical="center"/>
    </xf>
    <xf numFmtId="0" fontId="25" fillId="11" borderId="49" xfId="4" applyFont="1" applyFill="1" applyBorder="1" applyAlignment="1">
      <alignment horizontal="right" vertical="center"/>
    </xf>
    <xf numFmtId="10" fontId="13" fillId="0" borderId="49" xfId="4" applyNumberFormat="1" applyFont="1" applyBorder="1" applyAlignment="1">
      <alignment horizontal="right" vertical="center"/>
    </xf>
    <xf numFmtId="2" fontId="13" fillId="0" borderId="51" xfId="4" applyNumberFormat="1" applyFont="1" applyBorder="1" applyAlignment="1">
      <alignment horizontal="right" vertical="center"/>
    </xf>
    <xf numFmtId="10" fontId="22" fillId="0" borderId="49" xfId="4" applyNumberFormat="1" applyFont="1" applyBorder="1" applyAlignment="1">
      <alignment horizontal="right" vertical="center"/>
    </xf>
    <xf numFmtId="2" fontId="25" fillId="11" borderId="49" xfId="4" applyNumberFormat="1" applyFont="1" applyFill="1" applyBorder="1" applyAlignment="1">
      <alignment horizontal="right" vertical="center"/>
    </xf>
    <xf numFmtId="0" fontId="13" fillId="0" borderId="52" xfId="4" applyFont="1" applyBorder="1" applyAlignment="1">
      <alignment vertical="center"/>
    </xf>
    <xf numFmtId="4" fontId="13" fillId="0" borderId="53" xfId="4" applyNumberFormat="1" applyFont="1" applyBorder="1" applyAlignment="1">
      <alignment horizontal="right" vertical="center"/>
    </xf>
    <xf numFmtId="2" fontId="25" fillId="11" borderId="53" xfId="4" applyNumberFormat="1" applyFont="1" applyFill="1" applyBorder="1" applyAlignment="1">
      <alignment horizontal="right" vertical="center"/>
    </xf>
    <xf numFmtId="10" fontId="13" fillId="0" borderId="53" xfId="4" applyNumberFormat="1" applyFont="1" applyBorder="1" applyAlignment="1">
      <alignment horizontal="right" vertical="center"/>
    </xf>
    <xf numFmtId="2" fontId="13" fillId="0" borderId="55" xfId="4" applyNumberFormat="1" applyFont="1" applyBorder="1" applyAlignment="1">
      <alignment horizontal="right" vertical="center"/>
    </xf>
    <xf numFmtId="0" fontId="15" fillId="12" borderId="0" xfId="4" applyFont="1" applyFill="1"/>
    <xf numFmtId="0" fontId="25" fillId="12" borderId="0" xfId="4" applyFont="1" applyFill="1" applyAlignment="1">
      <alignment horizontal="right" vertical="center"/>
    </xf>
    <xf numFmtId="0" fontId="19" fillId="11" borderId="0" xfId="4" applyFont="1" applyFill="1" applyAlignment="1">
      <alignment vertical="center"/>
    </xf>
    <xf numFmtId="0" fontId="25" fillId="11" borderId="34" xfId="4" applyFont="1" applyFill="1" applyBorder="1" applyAlignment="1">
      <alignment horizontal="right" vertical="center"/>
    </xf>
    <xf numFmtId="2" fontId="25" fillId="11" borderId="31" xfId="4" applyNumberFormat="1" applyFont="1" applyFill="1" applyBorder="1" applyAlignment="1">
      <alignment horizontal="right" vertical="center"/>
    </xf>
    <xf numFmtId="167" fontId="17" fillId="14" borderId="0" xfId="4" applyNumberFormat="1" applyFont="1" applyFill="1" applyBorder="1" applyAlignment="1">
      <alignment vertical="center"/>
    </xf>
    <xf numFmtId="168" fontId="17" fillId="14" borderId="0" xfId="4" applyNumberFormat="1" applyFont="1" applyFill="1" applyBorder="1" applyAlignment="1">
      <alignment horizontal="center" vertical="center"/>
    </xf>
    <xf numFmtId="0" fontId="19" fillId="14" borderId="29" xfId="4" applyFont="1" applyFill="1" applyBorder="1" applyAlignment="1">
      <alignment vertical="center"/>
    </xf>
    <xf numFmtId="4" fontId="19" fillId="14" borderId="32" xfId="4" applyNumberFormat="1" applyFont="1" applyFill="1" applyBorder="1" applyAlignment="1">
      <alignment vertical="center"/>
    </xf>
    <xf numFmtId="4" fontId="13" fillId="14" borderId="32" xfId="4" applyNumberFormat="1" applyFont="1" applyFill="1" applyBorder="1" applyAlignment="1">
      <alignment vertical="center"/>
    </xf>
    <xf numFmtId="4" fontId="13" fillId="14" borderId="31" xfId="4" applyNumberFormat="1" applyFont="1" applyFill="1" applyBorder="1" applyAlignment="1">
      <alignment vertical="center"/>
    </xf>
    <xf numFmtId="0" fontId="25" fillId="14" borderId="29" xfId="4" applyFont="1" applyFill="1" applyBorder="1" applyAlignment="1">
      <alignment vertical="center"/>
    </xf>
    <xf numFmtId="4" fontId="17" fillId="14" borderId="0" xfId="4" applyNumberFormat="1" applyFont="1" applyFill="1" applyBorder="1" applyAlignment="1">
      <alignment vertical="center"/>
    </xf>
    <xf numFmtId="4" fontId="13" fillId="14" borderId="0" xfId="4" applyNumberFormat="1" applyFont="1" applyFill="1" applyBorder="1" applyAlignment="1">
      <alignment vertical="center"/>
    </xf>
    <xf numFmtId="0" fontId="0" fillId="6" borderId="6" xfId="0" applyFill="1" applyBorder="1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8" fillId="6" borderId="7" xfId="0" applyFont="1" applyFill="1" applyBorder="1"/>
    <xf numFmtId="0" fontId="0" fillId="0" borderId="6" xfId="0" applyBorder="1" applyAlignment="1"/>
    <xf numFmtId="0" fontId="0" fillId="0" borderId="8" xfId="0" applyBorder="1" applyAlignment="1"/>
    <xf numFmtId="9" fontId="0" fillId="0" borderId="0" xfId="0" applyNumberFormat="1"/>
    <xf numFmtId="170" fontId="0" fillId="0" borderId="4" xfId="0" applyNumberFormat="1" applyBorder="1"/>
    <xf numFmtId="10" fontId="0" fillId="0" borderId="4" xfId="0" applyNumberFormat="1" applyBorder="1"/>
    <xf numFmtId="0" fontId="0" fillId="0" borderId="0" xfId="0" applyFill="1" applyBorder="1"/>
    <xf numFmtId="0" fontId="0" fillId="3" borderId="0" xfId="0" applyFill="1" applyBorder="1"/>
    <xf numFmtId="0" fontId="0" fillId="3" borderId="9" xfId="0" applyFill="1" applyBorder="1"/>
    <xf numFmtId="0" fontId="0" fillId="0" borderId="5" xfId="0" applyBorder="1"/>
    <xf numFmtId="0" fontId="0" fillId="0" borderId="0" xfId="0" applyBorder="1"/>
    <xf numFmtId="0" fontId="0" fillId="0" borderId="9" xfId="0" applyBorder="1"/>
    <xf numFmtId="0" fontId="0" fillId="0" borderId="5" xfId="0" applyFont="1" applyBorder="1"/>
    <xf numFmtId="0" fontId="3" fillId="0" borderId="1" xfId="0" applyFont="1" applyBorder="1"/>
    <xf numFmtId="0" fontId="3" fillId="0" borderId="0" xfId="0" applyFont="1" applyBorder="1"/>
    <xf numFmtId="0" fontId="0" fillId="3" borderId="11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4" xfId="0" applyBorder="1"/>
    <xf numFmtId="0" fontId="3" fillId="0" borderId="8" xfId="0" applyFont="1" applyBorder="1"/>
    <xf numFmtId="0" fontId="0" fillId="6" borderId="8" xfId="0" applyFill="1" applyBorder="1"/>
    <xf numFmtId="0" fontId="0" fillId="2" borderId="0" xfId="0" applyFill="1" applyBorder="1"/>
    <xf numFmtId="0" fontId="0" fillId="4" borderId="0" xfId="0" applyFill="1" applyBorder="1"/>
    <xf numFmtId="0" fontId="0" fillId="9" borderId="11" xfId="0" applyFill="1" applyBorder="1"/>
    <xf numFmtId="0" fontId="3" fillId="0" borderId="0" xfId="0" applyFont="1" applyBorder="1" applyAlignment="1">
      <alignment horizontal="left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0" xfId="0" applyFill="1" applyBorder="1"/>
    <xf numFmtId="0" fontId="31" fillId="10" borderId="2" xfId="0" applyFont="1" applyFill="1" applyBorder="1"/>
    <xf numFmtId="0" fontId="31" fillId="10" borderId="11" xfId="0" applyFont="1" applyFill="1" applyBorder="1"/>
    <xf numFmtId="14" fontId="0" fillId="5" borderId="18" xfId="0" applyNumberFormat="1" applyFill="1" applyBorder="1"/>
    <xf numFmtId="0" fontId="3" fillId="6" borderId="19" xfId="0" applyFont="1" applyFill="1" applyBorder="1" applyAlignment="1">
      <alignment horizontal="center"/>
    </xf>
    <xf numFmtId="14" fontId="0" fillId="5" borderId="18" xfId="0" applyNumberFormat="1" applyFont="1" applyFill="1" applyBorder="1"/>
    <xf numFmtId="0" fontId="3" fillId="3" borderId="11" xfId="0" applyFont="1" applyFill="1" applyBorder="1"/>
    <xf numFmtId="0" fontId="0" fillId="6" borderId="20" xfId="0" applyFill="1" applyBorder="1"/>
    <xf numFmtId="14" fontId="0" fillId="4" borderId="8" xfId="0" applyNumberFormat="1" applyFill="1" applyBorder="1"/>
    <xf numFmtId="0" fontId="0" fillId="15" borderId="4" xfId="0" applyFill="1" applyBorder="1"/>
    <xf numFmtId="166" fontId="0" fillId="15" borderId="4" xfId="1" applyNumberFormat="1" applyFont="1" applyFill="1" applyBorder="1" applyAlignment="1"/>
    <xf numFmtId="0" fontId="12" fillId="15" borderId="4" xfId="3" applyFill="1" applyBorder="1" applyAlignment="1" applyProtection="1"/>
    <xf numFmtId="0" fontId="0" fillId="15" borderId="4" xfId="0" applyFill="1" applyBorder="1" applyAlignment="1">
      <alignment wrapText="1"/>
    </xf>
    <xf numFmtId="0" fontId="8" fillId="0" borderId="4" xfId="0" applyFont="1" applyBorder="1"/>
    <xf numFmtId="0" fontId="8" fillId="0" borderId="4" xfId="0" applyFont="1" applyFill="1" applyBorder="1"/>
    <xf numFmtId="0" fontId="8" fillId="15" borderId="4" xfId="0" applyFont="1" applyFill="1" applyBorder="1"/>
    <xf numFmtId="0" fontId="2" fillId="0" borderId="4" xfId="0" applyFont="1" applyBorder="1"/>
    <xf numFmtId="2" fontId="2" fillId="0" borderId="4" xfId="0" applyNumberFormat="1" applyFont="1" applyBorder="1"/>
    <xf numFmtId="0" fontId="0" fillId="6" borderId="4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171" fontId="3" fillId="0" borderId="0" xfId="0" applyNumberFormat="1" applyFont="1" applyBorder="1" applyAlignment="1">
      <alignment horizontal="left"/>
    </xf>
    <xf numFmtId="171" fontId="0" fillId="15" borderId="4" xfId="0" applyNumberFormat="1" applyFill="1" applyBorder="1" applyAlignment="1">
      <alignment horizontal="left"/>
    </xf>
    <xf numFmtId="172" fontId="0" fillId="0" borderId="4" xfId="0" applyNumberFormat="1" applyBorder="1"/>
    <xf numFmtId="173" fontId="0" fillId="8" borderId="9" xfId="0" applyNumberFormat="1" applyFill="1" applyBorder="1" applyAlignment="1">
      <alignment horizontal="right"/>
    </xf>
    <xf numFmtId="173" fontId="0" fillId="8" borderId="0" xfId="0" applyNumberFormat="1" applyFill="1" applyBorder="1"/>
    <xf numFmtId="0" fontId="3" fillId="5" borderId="9" xfId="0" applyNumberFormat="1" applyFont="1" applyFill="1" applyBorder="1" applyAlignment="1">
      <alignment horizontal="right"/>
    </xf>
    <xf numFmtId="173" fontId="0" fillId="0" borderId="4" xfId="0" applyNumberFormat="1" applyBorder="1"/>
    <xf numFmtId="173" fontId="3" fillId="0" borderId="8" xfId="0" applyNumberFormat="1" applyFont="1" applyBorder="1"/>
    <xf numFmtId="173" fontId="3" fillId="3" borderId="12" xfId="0" applyNumberFormat="1" applyFont="1" applyFill="1" applyBorder="1"/>
    <xf numFmtId="173" fontId="3" fillId="3" borderId="11" xfId="0" applyNumberFormat="1" applyFont="1" applyFill="1" applyBorder="1"/>
    <xf numFmtId="173" fontId="0" fillId="7" borderId="0" xfId="0" applyNumberFormat="1" applyFill="1" applyBorder="1"/>
    <xf numFmtId="173" fontId="0" fillId="7" borderId="0" xfId="0" applyNumberFormat="1" applyFill="1" applyBorder="1" applyAlignment="1">
      <alignment horizontal="right"/>
    </xf>
    <xf numFmtId="173" fontId="2" fillId="7" borderId="0" xfId="0" applyNumberFormat="1" applyFont="1" applyFill="1" applyBorder="1"/>
    <xf numFmtId="173" fontId="0" fillId="3" borderId="8" xfId="0" applyNumberFormat="1" applyFill="1" applyBorder="1"/>
    <xf numFmtId="173" fontId="4" fillId="0" borderId="8" xfId="0" applyNumberFormat="1" applyFont="1" applyBorder="1"/>
    <xf numFmtId="49" fontId="0" fillId="0" borderId="4" xfId="0" applyNumberFormat="1" applyBorder="1"/>
    <xf numFmtId="173" fontId="0" fillId="0" borderId="0" xfId="0" applyNumberFormat="1"/>
    <xf numFmtId="165" fontId="0" fillId="0" borderId="0" xfId="2" applyNumberFormat="1" applyFont="1"/>
    <xf numFmtId="173" fontId="15" fillId="0" borderId="0" xfId="4" applyNumberFormat="1" applyFont="1" applyAlignment="1">
      <alignment vertical="center"/>
    </xf>
    <xf numFmtId="14" fontId="0" fillId="5" borderId="20" xfId="0" applyNumberFormat="1" applyFont="1" applyFill="1" applyBorder="1"/>
    <xf numFmtId="0" fontId="0" fillId="6" borderId="8" xfId="0" applyFill="1" applyBorder="1"/>
    <xf numFmtId="0" fontId="0" fillId="16" borderId="4" xfId="0" applyFill="1" applyBorder="1"/>
    <xf numFmtId="173" fontId="0" fillId="0" borderId="4" xfId="0" applyNumberFormat="1" applyBorder="1" applyAlignment="1"/>
    <xf numFmtId="0" fontId="3" fillId="16" borderId="4" xfId="0" applyFont="1" applyFill="1" applyBorder="1" applyAlignment="1">
      <alignment horizontal="center"/>
    </xf>
    <xf numFmtId="0" fontId="3" fillId="17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wrapText="1"/>
    </xf>
    <xf numFmtId="0" fontId="12" fillId="0" borderId="0" xfId="3" applyAlignment="1" applyProtection="1"/>
    <xf numFmtId="174" fontId="0" fillId="6" borderId="9" xfId="0" applyNumberFormat="1" applyFill="1" applyBorder="1" applyAlignment="1">
      <alignment horizontal="right"/>
    </xf>
    <xf numFmtId="0" fontId="3" fillId="0" borderId="57" xfId="0" applyFont="1" applyBorder="1"/>
    <xf numFmtId="2" fontId="0" fillId="0" borderId="13" xfId="0" applyNumberFormat="1" applyBorder="1"/>
    <xf numFmtId="0" fontId="3" fillId="0" borderId="63" xfId="0" applyFont="1" applyBorder="1"/>
    <xf numFmtId="2" fontId="3" fillId="0" borderId="57" xfId="0" applyNumberFormat="1" applyFont="1" applyBorder="1"/>
    <xf numFmtId="2" fontId="3" fillId="16" borderId="57" xfId="0" applyNumberFormat="1" applyFont="1" applyFill="1" applyBorder="1"/>
    <xf numFmtId="0" fontId="0" fillId="0" borderId="58" xfId="0" applyBorder="1"/>
    <xf numFmtId="0" fontId="0" fillId="0" borderId="59" xfId="0" applyBorder="1"/>
    <xf numFmtId="0" fontId="0" fillId="0" borderId="64" xfId="0" applyBorder="1"/>
    <xf numFmtId="175" fontId="0" fillId="6" borderId="65" xfId="0" applyNumberFormat="1" applyFill="1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10" xfId="0" applyBorder="1"/>
    <xf numFmtId="0" fontId="0" fillId="0" borderId="12" xfId="0" applyBorder="1"/>
    <xf numFmtId="0" fontId="0" fillId="3" borderId="6" xfId="0" applyFill="1" applyBorder="1"/>
    <xf numFmtId="173" fontId="0" fillId="0" borderId="8" xfId="0" applyNumberFormat="1" applyBorder="1"/>
    <xf numFmtId="4" fontId="13" fillId="0" borderId="50" xfId="4" applyNumberFormat="1" applyFont="1" applyBorder="1" applyAlignment="1">
      <alignment horizontal="right" vertical="center"/>
    </xf>
    <xf numFmtId="0" fontId="15" fillId="0" borderId="49" xfId="4" applyFont="1" applyBorder="1"/>
    <xf numFmtId="4" fontId="13" fillId="0" borderId="54" xfId="4" applyNumberFormat="1" applyFont="1" applyBorder="1" applyAlignment="1">
      <alignment horizontal="right" vertical="center"/>
    </xf>
    <xf numFmtId="0" fontId="15" fillId="0" borderId="53" xfId="4" applyFont="1" applyBorder="1"/>
    <xf numFmtId="0" fontId="19" fillId="0" borderId="28" xfId="4" applyFont="1" applyBorder="1" applyAlignment="1">
      <alignment horizontal="center" vertical="center" wrapText="1"/>
    </xf>
    <xf numFmtId="0" fontId="15" fillId="0" borderId="32" xfId="4" applyFont="1" applyBorder="1"/>
    <xf numFmtId="4" fontId="13" fillId="0" borderId="46" xfId="4" applyNumberFormat="1" applyFont="1" applyBorder="1" applyAlignment="1">
      <alignment horizontal="right" vertical="center"/>
    </xf>
    <xf numFmtId="0" fontId="15" fillId="0" borderId="45" xfId="4" applyFont="1" applyBorder="1"/>
    <xf numFmtId="0" fontId="13" fillId="12" borderId="0" xfId="4" applyFont="1" applyFill="1" applyAlignment="1">
      <alignment horizontal="left" vertical="center"/>
    </xf>
    <xf numFmtId="0" fontId="13" fillId="0" borderId="0" xfId="4" applyFont="1" applyAlignment="1"/>
    <xf numFmtId="169" fontId="13" fillId="11" borderId="0" xfId="4" applyNumberFormat="1" applyFont="1" applyFill="1" applyAlignment="1">
      <alignment horizontal="right" vertical="center"/>
    </xf>
    <xf numFmtId="0" fontId="19" fillId="12" borderId="41" xfId="4" applyFont="1" applyFill="1" applyBorder="1" applyAlignment="1">
      <alignment horizontal="center" vertical="center" wrapText="1"/>
    </xf>
    <xf numFmtId="0" fontId="15" fillId="0" borderId="42" xfId="4" applyFont="1" applyBorder="1"/>
    <xf numFmtId="0" fontId="15" fillId="0" borderId="43" xfId="4" applyFont="1" applyBorder="1"/>
    <xf numFmtId="0" fontId="19" fillId="0" borderId="27" xfId="4" applyFont="1" applyBorder="1" applyAlignment="1">
      <alignment horizontal="center" vertical="center" wrapText="1"/>
    </xf>
    <xf numFmtId="0" fontId="15" fillId="0" borderId="37" xfId="4" applyFont="1" applyBorder="1"/>
    <xf numFmtId="0" fontId="15" fillId="0" borderId="33" xfId="4" applyFont="1" applyBorder="1"/>
    <xf numFmtId="0" fontId="15" fillId="0" borderId="34" xfId="4" applyFont="1" applyBorder="1"/>
    <xf numFmtId="0" fontId="28" fillId="11" borderId="0" xfId="4" applyFont="1" applyFill="1" applyAlignment="1">
      <alignment horizontal="center" vertical="center"/>
    </xf>
    <xf numFmtId="0" fontId="13" fillId="12" borderId="0" xfId="4" applyFont="1" applyFill="1" applyAlignment="1">
      <alignment vertical="center"/>
    </xf>
    <xf numFmtId="0" fontId="13" fillId="12" borderId="24" xfId="4" applyFont="1" applyFill="1" applyBorder="1" applyAlignment="1">
      <alignment horizontal="right" vertical="center"/>
    </xf>
    <xf numFmtId="0" fontId="15" fillId="0" borderId="26" xfId="4" applyFont="1" applyBorder="1"/>
    <xf numFmtId="0" fontId="13" fillId="0" borderId="24" xfId="4" applyFont="1" applyBorder="1" applyAlignment="1">
      <alignment horizontal="center" vertical="center"/>
    </xf>
    <xf numFmtId="0" fontId="15" fillId="0" borderId="0" xfId="4" applyFont="1" applyBorder="1"/>
    <xf numFmtId="0" fontId="13" fillId="0" borderId="24" xfId="4" applyFont="1" applyBorder="1" applyAlignment="1">
      <alignment horizontal="center" vertical="center" wrapText="1"/>
    </xf>
    <xf numFmtId="0" fontId="19" fillId="0" borderId="24" xfId="4" applyFont="1" applyBorder="1" applyAlignment="1">
      <alignment horizontal="center" vertical="center"/>
    </xf>
    <xf numFmtId="0" fontId="15" fillId="0" borderId="25" xfId="4" applyFont="1" applyBorder="1"/>
    <xf numFmtId="0" fontId="19" fillId="0" borderId="24" xfId="4" applyFont="1" applyBorder="1" applyAlignment="1">
      <alignment horizontal="center" vertical="center" wrapText="1"/>
    </xf>
    <xf numFmtId="0" fontId="19" fillId="11" borderId="0" xfId="4" applyFont="1" applyFill="1" applyBorder="1" applyAlignment="1">
      <alignment horizontal="center" vertical="center"/>
    </xf>
    <xf numFmtId="0" fontId="26" fillId="0" borderId="0" xfId="4" applyFont="1" applyAlignment="1">
      <alignment vertical="center"/>
    </xf>
    <xf numFmtId="0" fontId="15" fillId="0" borderId="0" xfId="4" applyFont="1" applyAlignment="1">
      <alignment horizontal="center" vertical="center" wrapText="1"/>
    </xf>
    <xf numFmtId="0" fontId="25" fillId="11" borderId="0" xfId="4" applyFont="1" applyFill="1" applyAlignment="1">
      <alignment vertical="center"/>
    </xf>
    <xf numFmtId="4" fontId="19" fillId="13" borderId="28" xfId="4" applyNumberFormat="1" applyFont="1" applyFill="1" applyBorder="1" applyAlignment="1">
      <alignment horizontal="center" vertical="center"/>
    </xf>
    <xf numFmtId="0" fontId="15" fillId="0" borderId="31" xfId="4" applyFont="1" applyBorder="1"/>
    <xf numFmtId="4" fontId="19" fillId="11" borderId="27" xfId="4" applyNumberFormat="1" applyFont="1" applyFill="1" applyBorder="1" applyAlignment="1">
      <alignment horizontal="center" vertical="center"/>
    </xf>
    <xf numFmtId="0" fontId="15" fillId="0" borderId="30" xfId="4" applyFont="1" applyBorder="1"/>
    <xf numFmtId="0" fontId="14" fillId="14" borderId="0" xfId="4" applyFont="1" applyFill="1" applyBorder="1" applyAlignment="1">
      <alignment horizontal="center" vertical="center"/>
    </xf>
    <xf numFmtId="0" fontId="16" fillId="14" borderId="0" xfId="4" applyFont="1" applyFill="1" applyBorder="1" applyAlignment="1">
      <alignment horizontal="center" vertical="center"/>
    </xf>
    <xf numFmtId="0" fontId="15" fillId="6" borderId="0" xfId="4" applyFont="1" applyFill="1" applyBorder="1"/>
    <xf numFmtId="0" fontId="19" fillId="12" borderId="24" xfId="4" applyFont="1" applyFill="1" applyBorder="1" applyAlignment="1">
      <alignment horizontal="center" vertical="center"/>
    </xf>
    <xf numFmtId="0" fontId="20" fillId="12" borderId="27" xfId="4" applyFont="1" applyFill="1" applyBorder="1" applyAlignment="1">
      <alignment horizontal="center" vertical="center" wrapText="1"/>
    </xf>
    <xf numFmtId="0" fontId="20" fillId="12" borderId="28" xfId="4" applyFont="1" applyFill="1" applyBorder="1" applyAlignment="1">
      <alignment horizontal="center" vertical="center" wrapText="1"/>
    </xf>
    <xf numFmtId="176" fontId="0" fillId="0" borderId="4" xfId="0" applyNumberFormat="1" applyBorder="1"/>
    <xf numFmtId="176" fontId="0" fillId="0" borderId="13" xfId="0" applyNumberFormat="1" applyBorder="1"/>
    <xf numFmtId="176" fontId="0" fillId="16" borderId="4" xfId="0" applyNumberFormat="1" applyFill="1" applyBorder="1"/>
    <xf numFmtId="176" fontId="0" fillId="16" borderId="13" xfId="0" applyNumberFormat="1" applyFill="1" applyBorder="1"/>
    <xf numFmtId="176" fontId="3" fillId="16" borderId="57" xfId="0" applyNumberFormat="1" applyFont="1" applyFill="1" applyBorder="1"/>
    <xf numFmtId="14" fontId="0" fillId="6" borderId="6" xfId="0" applyNumberFormat="1" applyFont="1" applyFill="1" applyBorder="1"/>
    <xf numFmtId="177" fontId="3" fillId="0" borderId="4" xfId="0" applyNumberFormat="1" applyFont="1" applyBorder="1" applyAlignment="1">
      <alignment horizontal="right" vertical="center" wrapText="1"/>
    </xf>
    <xf numFmtId="0" fontId="3" fillId="6" borderId="14" xfId="0" applyFont="1" applyFill="1" applyBorder="1"/>
    <xf numFmtId="0" fontId="37" fillId="6" borderId="0" xfId="6" applyFont="1" applyFill="1"/>
    <xf numFmtId="0" fontId="36" fillId="6" borderId="0" xfId="6" applyFill="1"/>
    <xf numFmtId="0" fontId="36" fillId="0" borderId="0" xfId="6"/>
    <xf numFmtId="0" fontId="36" fillId="0" borderId="0" xfId="6" applyFont="1"/>
    <xf numFmtId="2" fontId="36" fillId="0" borderId="0" xfId="6" applyNumberFormat="1"/>
    <xf numFmtId="43" fontId="0" fillId="0" borderId="0" xfId="7" applyNumberFormat="1" applyFont="1"/>
    <xf numFmtId="0" fontId="38" fillId="0" borderId="0" xfId="6" applyFont="1"/>
    <xf numFmtId="0" fontId="36" fillId="16" borderId="4" xfId="6" applyFont="1" applyFill="1" applyBorder="1"/>
    <xf numFmtId="0" fontId="36" fillId="16" borderId="4" xfId="6" applyFill="1" applyBorder="1"/>
    <xf numFmtId="0" fontId="37" fillId="16" borderId="4" xfId="6" applyFont="1" applyFill="1" applyBorder="1"/>
    <xf numFmtId="2" fontId="37" fillId="16" borderId="4" xfId="6" applyNumberFormat="1" applyFont="1" applyFill="1" applyBorder="1"/>
    <xf numFmtId="0" fontId="36" fillId="18" borderId="4" xfId="6" applyFont="1" applyFill="1" applyBorder="1"/>
    <xf numFmtId="0" fontId="36" fillId="18" borderId="4" xfId="6" applyFill="1" applyBorder="1"/>
    <xf numFmtId="0" fontId="37" fillId="18" borderId="4" xfId="6" applyFont="1" applyFill="1" applyBorder="1"/>
    <xf numFmtId="2" fontId="37" fillId="18" borderId="4" xfId="6" applyNumberFormat="1" applyFont="1" applyFill="1" applyBorder="1"/>
    <xf numFmtId="0" fontId="36" fillId="6" borderId="0" xfId="6" applyFont="1" applyFill="1"/>
    <xf numFmtId="0" fontId="39" fillId="0" borderId="0" xfId="6" applyFont="1"/>
    <xf numFmtId="0" fontId="36" fillId="0" borderId="8" xfId="6" applyBorder="1"/>
    <xf numFmtId="0" fontId="36" fillId="0" borderId="15" xfId="6" applyBorder="1"/>
    <xf numFmtId="0" fontId="37" fillId="0" borderId="4" xfId="6" applyFont="1" applyBorder="1"/>
    <xf numFmtId="0" fontId="37" fillId="0" borderId="0" xfId="6" applyFont="1"/>
    <xf numFmtId="2" fontId="36" fillId="0" borderId="0" xfId="6" applyNumberFormat="1" applyFont="1" applyAlignment="1">
      <alignment horizontal="left" indent="1"/>
    </xf>
    <xf numFmtId="0" fontId="1" fillId="0" borderId="0" xfId="8"/>
    <xf numFmtId="0" fontId="3" fillId="0" borderId="0" xfId="8" applyFont="1"/>
    <xf numFmtId="0" fontId="3" fillId="0" borderId="4" xfId="8" applyFont="1" applyFill="1" applyBorder="1"/>
    <xf numFmtId="0" fontId="3" fillId="0" borderId="4" xfId="8" applyFont="1" applyBorder="1"/>
    <xf numFmtId="0" fontId="1" fillId="0" borderId="4" xfId="8" applyBorder="1"/>
    <xf numFmtId="0" fontId="32" fillId="0" borderId="4" xfId="8" applyFont="1" applyBorder="1"/>
    <xf numFmtId="0" fontId="36" fillId="0" borderId="0" xfId="6" applyBorder="1"/>
    <xf numFmtId="0" fontId="36" fillId="0" borderId="71" xfId="6" applyBorder="1"/>
    <xf numFmtId="0" fontId="36" fillId="0" borderId="72" xfId="6" applyBorder="1"/>
    <xf numFmtId="0" fontId="36" fillId="0" borderId="73" xfId="6" applyBorder="1"/>
    <xf numFmtId="0" fontId="36" fillId="0" borderId="74" xfId="6" applyBorder="1"/>
    <xf numFmtId="0" fontId="36" fillId="0" borderId="75" xfId="6" applyBorder="1"/>
    <xf numFmtId="0" fontId="36" fillId="0" borderId="76" xfId="6" applyBorder="1"/>
    <xf numFmtId="0" fontId="36" fillId="0" borderId="77" xfId="6" applyBorder="1"/>
    <xf numFmtId="0" fontId="36" fillId="0" borderId="78" xfId="6" applyBorder="1"/>
    <xf numFmtId="176" fontId="37" fillId="0" borderId="0" xfId="6" applyNumberFormat="1" applyFont="1" applyBorder="1"/>
    <xf numFmtId="2" fontId="36" fillId="0" borderId="0" xfId="6" applyNumberFormat="1" applyFont="1" applyBorder="1"/>
    <xf numFmtId="0" fontId="37" fillId="0" borderId="0" xfId="6" applyFont="1" applyBorder="1"/>
    <xf numFmtId="0" fontId="36" fillId="0" borderId="0" xfId="6" applyFont="1" applyBorder="1"/>
    <xf numFmtId="0" fontId="37" fillId="0" borderId="75" xfId="6" applyFont="1" applyBorder="1"/>
    <xf numFmtId="0" fontId="3" fillId="0" borderId="0" xfId="0" applyFont="1" applyBorder="1" applyAlignment="1">
      <alignment horizontal="left"/>
    </xf>
    <xf numFmtId="0" fontId="38" fillId="0" borderId="79" xfId="6" applyFont="1" applyBorder="1"/>
    <xf numFmtId="0" fontId="38" fillId="0" borderId="80" xfId="6" applyFont="1" applyBorder="1"/>
    <xf numFmtId="0" fontId="36" fillId="0" borderId="81" xfId="6" applyBorder="1"/>
    <xf numFmtId="0" fontId="38" fillId="0" borderId="68" xfId="6" applyFont="1" applyBorder="1"/>
    <xf numFmtId="0" fontId="38" fillId="0" borderId="0" xfId="6" applyFont="1" applyBorder="1"/>
    <xf numFmtId="0" fontId="36" fillId="0" borderId="82" xfId="6" applyBorder="1"/>
    <xf numFmtId="0" fontId="36" fillId="0" borderId="83" xfId="6" applyFont="1" applyBorder="1"/>
    <xf numFmtId="43" fontId="0" fillId="0" borderId="84" xfId="7" applyFont="1" applyBorder="1" applyAlignment="1"/>
    <xf numFmtId="0" fontId="36" fillId="0" borderId="85" xfId="6" applyFont="1" applyBorder="1"/>
    <xf numFmtId="43" fontId="0" fillId="0" borderId="86" xfId="7" applyFont="1" applyBorder="1" applyAlignment="1"/>
    <xf numFmtId="0" fontId="37" fillId="0" borderId="87" xfId="6" applyFont="1" applyBorder="1"/>
    <xf numFmtId="43" fontId="37" fillId="0" borderId="86" xfId="7" applyFont="1" applyBorder="1" applyAlignment="1"/>
    <xf numFmtId="0" fontId="36" fillId="0" borderId="88" xfId="6" applyFont="1" applyBorder="1"/>
    <xf numFmtId="0" fontId="36" fillId="0" borderId="69" xfId="6" applyBorder="1"/>
    <xf numFmtId="0" fontId="36" fillId="0" borderId="89" xfId="6" applyBorder="1"/>
    <xf numFmtId="0" fontId="0" fillId="0" borderId="0" xfId="0"/>
    <xf numFmtId="0" fontId="40" fillId="19" borderId="4" xfId="0" applyFont="1" applyFill="1" applyBorder="1" applyAlignment="1">
      <alignment horizontal="center" vertical="center" wrapText="1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3" xfId="2" applyNumberFormat="1" applyFont="1" applyBorder="1"/>
    <xf numFmtId="165" fontId="0" fillId="0" borderId="14" xfId="2" applyNumberFormat="1" applyFont="1" applyBorder="1"/>
    <xf numFmtId="165" fontId="0" fillId="0" borderId="15" xfId="2" applyNumberFormat="1" applyFont="1" applyBorder="1"/>
    <xf numFmtId="165" fontId="0" fillId="0" borderId="8" xfId="0" applyNumberFormat="1" applyBorder="1"/>
    <xf numFmtId="2" fontId="0" fillId="6" borderId="4" xfId="0" applyNumberFormat="1" applyFill="1" applyBorder="1"/>
    <xf numFmtId="0" fontId="0" fillId="0" borderId="7" xfId="0" applyBorder="1"/>
    <xf numFmtId="178" fontId="0" fillId="6" borderId="17" xfId="0" applyNumberFormat="1" applyFill="1" applyBorder="1"/>
    <xf numFmtId="177" fontId="0" fillId="5" borderId="18" xfId="0" applyNumberFormat="1" applyFill="1" applyBorder="1"/>
    <xf numFmtId="177" fontId="0" fillId="5" borderId="20" xfId="0" applyNumberFormat="1" applyFill="1" applyBorder="1"/>
    <xf numFmtId="0" fontId="3" fillId="20" borderId="57" xfId="0" applyFont="1" applyFill="1" applyBorder="1" applyAlignment="1">
      <alignment horizontal="center" vertical="center"/>
    </xf>
    <xf numFmtId="0" fontId="3" fillId="20" borderId="57" xfId="0" applyFont="1" applyFill="1" applyBorder="1" applyAlignment="1">
      <alignment horizontal="center" vertical="center" wrapText="1"/>
    </xf>
    <xf numFmtId="0" fontId="3" fillId="20" borderId="61" xfId="0" applyFont="1" applyFill="1" applyBorder="1" applyAlignment="1">
      <alignment horizontal="center" vertical="center" wrapText="1"/>
    </xf>
    <xf numFmtId="0" fontId="3" fillId="20" borderId="62" xfId="0" applyFont="1" applyFill="1" applyBorder="1" applyAlignment="1">
      <alignment horizontal="center" vertical="center" wrapText="1"/>
    </xf>
    <xf numFmtId="2" fontId="0" fillId="4" borderId="15" xfId="0" applyNumberFormat="1" applyFill="1" applyBorder="1"/>
    <xf numFmtId="176" fontId="0" fillId="4" borderId="15" xfId="0" applyNumberFormat="1" applyFill="1" applyBorder="1"/>
    <xf numFmtId="2" fontId="0" fillId="4" borderId="4" xfId="0" applyNumberFormat="1" applyFill="1" applyBorder="1"/>
    <xf numFmtId="2" fontId="0" fillId="4" borderId="13" xfId="0" applyNumberFormat="1" applyFill="1" applyBorder="1"/>
    <xf numFmtId="176" fontId="0" fillId="4" borderId="4" xfId="0" applyNumberFormat="1" applyFill="1" applyBorder="1"/>
    <xf numFmtId="2" fontId="3" fillId="20" borderId="57" xfId="0" applyNumberFormat="1" applyFont="1" applyFill="1" applyBorder="1"/>
    <xf numFmtId="0" fontId="3" fillId="20" borderId="57" xfId="0" applyFont="1" applyFill="1" applyBorder="1"/>
    <xf numFmtId="0" fontId="0" fillId="4" borderId="15" xfId="0" applyFill="1" applyBorder="1"/>
    <xf numFmtId="0" fontId="3" fillId="0" borderId="60" xfId="0" applyFont="1" applyBorder="1"/>
    <xf numFmtId="176" fontId="3" fillId="6" borderId="59" xfId="0" applyNumberFormat="1" applyFont="1" applyFill="1" applyBorder="1"/>
    <xf numFmtId="0" fontId="13" fillId="0" borderId="99" xfId="4" applyFont="1" applyBorder="1" applyAlignment="1">
      <alignment horizontal="left" vertical="center"/>
    </xf>
    <xf numFmtId="4" fontId="13" fillId="0" borderId="100" xfId="4" applyNumberFormat="1" applyFont="1" applyBorder="1" applyAlignment="1">
      <alignment horizontal="center" vertical="center"/>
    </xf>
    <xf numFmtId="4" fontId="13" fillId="0" borderId="101" xfId="4" applyNumberFormat="1" applyFont="1" applyBorder="1" applyAlignment="1">
      <alignment horizontal="center" vertical="center"/>
    </xf>
    <xf numFmtId="4" fontId="13" fillId="0" borderId="102" xfId="4" applyNumberFormat="1" applyFont="1" applyBorder="1" applyAlignment="1">
      <alignment horizontal="center" vertical="center"/>
    </xf>
    <xf numFmtId="0" fontId="13" fillId="0" borderId="4" xfId="4" applyFont="1" applyBorder="1" applyAlignment="1">
      <alignment horizontal="left" vertical="center"/>
    </xf>
    <xf numFmtId="4" fontId="13" fillId="0" borderId="4" xfId="4" applyNumberFormat="1" applyFont="1" applyBorder="1" applyAlignment="1">
      <alignment horizontal="center" vertical="center"/>
    </xf>
    <xf numFmtId="0" fontId="19" fillId="0" borderId="4" xfId="4" applyFont="1" applyBorder="1" applyAlignment="1">
      <alignment horizontal="left" vertical="center"/>
    </xf>
    <xf numFmtId="4" fontId="19" fillId="0" borderId="4" xfId="4" applyNumberFormat="1" applyFont="1" applyBorder="1" applyAlignment="1">
      <alignment horizontal="center" vertical="center"/>
    </xf>
    <xf numFmtId="0" fontId="15" fillId="0" borderId="4" xfId="4" applyFont="1" applyBorder="1" applyAlignment="1">
      <alignment vertical="center"/>
    </xf>
    <xf numFmtId="2" fontId="15" fillId="0" borderId="5" xfId="4" applyNumberFormat="1" applyFont="1" applyBorder="1" applyAlignment="1">
      <alignment vertical="center"/>
    </xf>
    <xf numFmtId="0" fontId="19" fillId="14" borderId="92" xfId="4" applyFont="1" applyFill="1" applyBorder="1" applyAlignment="1">
      <alignment horizontal="center" vertical="center"/>
    </xf>
    <xf numFmtId="0" fontId="19" fillId="14" borderId="93" xfId="4" applyFont="1" applyFill="1" applyBorder="1" applyAlignment="1">
      <alignment horizontal="center" vertical="center"/>
    </xf>
    <xf numFmtId="0" fontId="19" fillId="14" borderId="95" xfId="4" applyFont="1" applyFill="1" applyBorder="1" applyAlignment="1">
      <alignment horizontal="center" vertical="center"/>
    </xf>
    <xf numFmtId="0" fontId="19" fillId="14" borderId="96" xfId="4" applyFont="1" applyFill="1" applyBorder="1" applyAlignment="1">
      <alignment horizontal="center" vertical="center"/>
    </xf>
    <xf numFmtId="0" fontId="19" fillId="14" borderId="79" xfId="4" applyFont="1" applyFill="1" applyBorder="1" applyAlignment="1">
      <alignment horizontal="center" vertical="center"/>
    </xf>
    <xf numFmtId="0" fontId="19" fillId="14" borderId="88" xfId="4" applyFont="1" applyFill="1" applyBorder="1" applyAlignment="1">
      <alignment horizontal="center" vertical="center"/>
    </xf>
    <xf numFmtId="4" fontId="19" fillId="14" borderId="4" xfId="4" applyNumberFormat="1" applyFont="1" applyFill="1" applyBorder="1" applyAlignment="1">
      <alignment horizontal="center" vertical="center"/>
    </xf>
    <xf numFmtId="4" fontId="13" fillId="16" borderId="100" xfId="4" applyNumberFormat="1" applyFont="1" applyFill="1" applyBorder="1" applyAlignment="1">
      <alignment horizontal="center" vertical="center"/>
    </xf>
    <xf numFmtId="4" fontId="13" fillId="16" borderId="4" xfId="4" applyNumberFormat="1" applyFont="1" applyFill="1" applyBorder="1" applyAlignment="1">
      <alignment horizontal="center" vertical="center"/>
    </xf>
    <xf numFmtId="4" fontId="15" fillId="21" borderId="4" xfId="4" applyNumberFormat="1" applyFont="1" applyFill="1" applyBorder="1" applyAlignment="1">
      <alignment vertical="center"/>
    </xf>
    <xf numFmtId="10" fontId="0" fillId="6" borderId="4" xfId="2" applyNumberFormat="1" applyFont="1" applyFill="1" applyBorder="1"/>
    <xf numFmtId="43" fontId="0" fillId="6" borderId="4" xfId="0" applyNumberFormat="1" applyFill="1" applyBorder="1"/>
    <xf numFmtId="0" fontId="14" fillId="14" borderId="0" xfId="4" applyFont="1" applyFill="1" applyBorder="1" applyAlignment="1">
      <alignment horizontal="left" vertical="center"/>
    </xf>
    <xf numFmtId="0" fontId="15" fillId="6" borderId="0" xfId="4" applyFont="1" applyFill="1" applyBorder="1" applyAlignment="1">
      <alignment horizontal="left"/>
    </xf>
    <xf numFmtId="0" fontId="19" fillId="11" borderId="29" xfId="4" applyFont="1" applyFill="1" applyBorder="1" applyAlignment="1">
      <alignment horizontal="center" vertical="center"/>
    </xf>
    <xf numFmtId="0" fontId="12" fillId="0" borderId="0" xfId="3" applyAlignment="1" applyProtection="1">
      <alignment vertical="center"/>
    </xf>
    <xf numFmtId="167" fontId="6" fillId="6" borderId="8" xfId="0" applyNumberFormat="1" applyFont="1" applyFill="1" applyBorder="1"/>
    <xf numFmtId="0" fontId="0" fillId="3" borderId="0" xfId="0" applyFill="1" applyBorder="1"/>
    <xf numFmtId="0" fontId="0" fillId="3" borderId="9" xfId="0" applyFill="1" applyBorder="1"/>
    <xf numFmtId="172" fontId="3" fillId="0" borderId="0" xfId="0" applyNumberFormat="1" applyFont="1" applyBorder="1"/>
    <xf numFmtId="172" fontId="3" fillId="0" borderId="0" xfId="0" applyNumberFormat="1" applyFont="1" applyBorder="1" applyAlignment="1">
      <alignment horizontal="left"/>
    </xf>
    <xf numFmtId="0" fontId="0" fillId="22" borderId="4" xfId="0" applyFill="1" applyBorder="1"/>
    <xf numFmtId="0" fontId="0" fillId="3" borderId="7" xfId="0" applyFill="1" applyBorder="1"/>
    <xf numFmtId="0" fontId="42" fillId="0" borderId="0" xfId="4" applyFont="1" applyAlignment="1">
      <alignment vertical="center"/>
    </xf>
    <xf numFmtId="167" fontId="0" fillId="2" borderId="0" xfId="0" applyNumberFormat="1" applyFill="1" applyBorder="1"/>
    <xf numFmtId="0" fontId="14" fillId="11" borderId="0" xfId="4" applyFont="1" applyFill="1" applyBorder="1" applyAlignment="1">
      <alignment horizontal="left" vertical="center"/>
    </xf>
    <xf numFmtId="0" fontId="0" fillId="16" borderId="14" xfId="0" applyFill="1" applyBorder="1"/>
    <xf numFmtId="0" fontId="3" fillId="16" borderId="14" xfId="0" applyFont="1" applyFill="1" applyBorder="1"/>
    <xf numFmtId="43" fontId="0" fillId="9" borderId="14" xfId="1" applyFont="1" applyFill="1" applyBorder="1"/>
    <xf numFmtId="0" fontId="0" fillId="9" borderId="14" xfId="0" applyFill="1" applyBorder="1"/>
    <xf numFmtId="43" fontId="0" fillId="23" borderId="14" xfId="1" applyFont="1" applyFill="1" applyBorder="1"/>
    <xf numFmtId="170" fontId="0" fillId="4" borderId="15" xfId="0" applyNumberFormat="1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0" xfId="0" applyBorder="1"/>
    <xf numFmtId="0" fontId="0" fillId="0" borderId="11" xfId="0" applyBorder="1"/>
    <xf numFmtId="0" fontId="3" fillId="16" borderId="5" xfId="0" applyFont="1" applyFill="1" applyBorder="1"/>
    <xf numFmtId="0" fontId="3" fillId="16" borderId="0" xfId="0" applyFont="1" applyFill="1" applyBorder="1"/>
    <xf numFmtId="0" fontId="3" fillId="16" borderId="9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0" fillId="9" borderId="5" xfId="0" applyFill="1" applyBorder="1"/>
    <xf numFmtId="0" fontId="0" fillId="9" borderId="0" xfId="0" applyFill="1" applyBorder="1"/>
    <xf numFmtId="0" fontId="0" fillId="9" borderId="9" xfId="0" applyFill="1" applyBorder="1"/>
    <xf numFmtId="0" fontId="0" fillId="0" borderId="9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9" xfId="0" applyFill="1" applyBorder="1"/>
    <xf numFmtId="0" fontId="0" fillId="9" borderId="14" xfId="0" applyFill="1" applyBorder="1"/>
    <xf numFmtId="0" fontId="0" fillId="0" borderId="5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5" xfId="0" applyBorder="1"/>
    <xf numFmtId="0" fontId="0" fillId="0" borderId="12" xfId="0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0" xfId="0" applyBorder="1"/>
    <xf numFmtId="0" fontId="0" fillId="0" borderId="9" xfId="0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0" borderId="9" xfId="0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3" fillId="3" borderId="5" xfId="0" applyFont="1" applyFill="1" applyBorder="1"/>
    <xf numFmtId="0" fontId="3" fillId="3" borderId="0" xfId="0" applyFont="1" applyFill="1" applyBorder="1"/>
    <xf numFmtId="0" fontId="3" fillId="3" borderId="9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3" fillId="3" borderId="14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3" borderId="5" xfId="0" applyFill="1" applyBorder="1" applyAlignment="1">
      <alignment wrapText="1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22" borderId="2" xfId="0" applyFont="1" applyFill="1" applyBorder="1" applyAlignment="1">
      <alignment horizontal="center"/>
    </xf>
    <xf numFmtId="0" fontId="3" fillId="22" borderId="3" xfId="0" applyFont="1" applyFill="1" applyBorder="1" applyAlignment="1">
      <alignment horizontal="center"/>
    </xf>
    <xf numFmtId="0" fontId="8" fillId="0" borderId="4" xfId="0" applyFont="1" applyFill="1" applyBorder="1"/>
    <xf numFmtId="0" fontId="8" fillId="15" borderId="4" xfId="0" applyFont="1" applyFill="1" applyBorder="1"/>
    <xf numFmtId="0" fontId="41" fillId="19" borderId="6" xfId="0" applyFont="1" applyFill="1" applyBorder="1" applyAlignment="1">
      <alignment horizontal="center" vertical="center" wrapText="1"/>
    </xf>
    <xf numFmtId="0" fontId="41" fillId="19" borderId="7" xfId="0" applyFont="1" applyFill="1" applyBorder="1" applyAlignment="1">
      <alignment horizontal="center" vertical="center" wrapText="1"/>
    </xf>
    <xf numFmtId="0" fontId="41" fillId="19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173" fontId="0" fillId="4" borderId="6" xfId="0" applyNumberFormat="1" applyFont="1" applyFill="1" applyBorder="1" applyAlignment="1">
      <alignment horizontal="right"/>
    </xf>
    <xf numFmtId="173" fontId="0" fillId="4" borderId="8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2" fontId="0" fillId="6" borderId="6" xfId="0" applyNumberFormat="1" applyFill="1" applyBorder="1"/>
    <xf numFmtId="0" fontId="0" fillId="6" borderId="8" xfId="0" applyFill="1" applyBorder="1"/>
    <xf numFmtId="0" fontId="0" fillId="6" borderId="6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2" fillId="0" borderId="5" xfId="0" applyFont="1" applyBorder="1"/>
    <xf numFmtId="0" fontId="2" fillId="0" borderId="0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2" borderId="1" xfId="0" applyFont="1" applyFill="1" applyBorder="1"/>
    <xf numFmtId="0" fontId="10" fillId="2" borderId="2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10" fillId="0" borderId="5" xfId="0" applyFont="1" applyBorder="1"/>
    <xf numFmtId="0" fontId="10" fillId="0" borderId="0" xfId="0" applyFont="1" applyBorder="1"/>
    <xf numFmtId="0" fontId="0" fillId="2" borderId="5" xfId="0" applyFill="1" applyBorder="1"/>
    <xf numFmtId="0" fontId="0" fillId="2" borderId="0" xfId="0" applyFill="1" applyBorder="1"/>
    <xf numFmtId="0" fontId="10" fillId="2" borderId="10" xfId="0" applyFont="1" applyFill="1" applyBorder="1"/>
    <xf numFmtId="0" fontId="10" fillId="2" borderId="11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9" fillId="4" borderId="5" xfId="0" applyFont="1" applyFill="1" applyBorder="1"/>
    <xf numFmtId="0" fontId="9" fillId="4" borderId="0" xfId="0" applyFont="1" applyFill="1" applyBorder="1"/>
    <xf numFmtId="0" fontId="0" fillId="9" borderId="10" xfId="0" applyFill="1" applyBorder="1"/>
    <xf numFmtId="0" fontId="0" fillId="9" borderId="11" xfId="0" applyFill="1" applyBorder="1"/>
    <xf numFmtId="0" fontId="32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3" fillId="6" borderId="56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69" xfId="0" applyFont="1" applyFill="1" applyBorder="1" applyAlignment="1">
      <alignment horizontal="center"/>
    </xf>
    <xf numFmtId="0" fontId="3" fillId="6" borderId="7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6" xfId="0" applyFont="1" applyBorder="1"/>
    <xf numFmtId="0" fontId="3" fillId="0" borderId="8" xfId="0" applyFont="1" applyBorder="1"/>
    <xf numFmtId="1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19" fillId="14" borderId="97" xfId="4" applyFont="1" applyFill="1" applyBorder="1" applyAlignment="1">
      <alignment horizontal="center" vertical="center" wrapText="1"/>
    </xf>
    <xf numFmtId="0" fontId="19" fillId="14" borderId="98" xfId="4" applyFont="1" applyFill="1" applyBorder="1" applyAlignment="1">
      <alignment horizontal="center" vertical="center" wrapText="1"/>
    </xf>
    <xf numFmtId="0" fontId="19" fillId="14" borderId="97" xfId="4" applyFont="1" applyFill="1" applyBorder="1" applyAlignment="1">
      <alignment horizontal="center" vertical="center"/>
    </xf>
    <xf numFmtId="0" fontId="19" fillId="14" borderId="98" xfId="4" applyFont="1" applyFill="1" applyBorder="1" applyAlignment="1">
      <alignment horizontal="center" vertical="center"/>
    </xf>
    <xf numFmtId="0" fontId="19" fillId="14" borderId="90" xfId="4" applyFont="1" applyFill="1" applyBorder="1" applyAlignment="1">
      <alignment horizontal="center" vertical="center"/>
    </xf>
    <xf numFmtId="0" fontId="19" fillId="14" borderId="91" xfId="4" applyFont="1" applyFill="1" applyBorder="1" applyAlignment="1">
      <alignment horizontal="center" vertical="center"/>
    </xf>
    <xf numFmtId="0" fontId="19" fillId="14" borderId="90" xfId="4" applyFont="1" applyFill="1" applyBorder="1" applyAlignment="1">
      <alignment horizontal="center" vertical="center" wrapText="1"/>
    </xf>
    <xf numFmtId="0" fontId="19" fillId="14" borderId="91" xfId="4" applyFont="1" applyFill="1" applyBorder="1" applyAlignment="1">
      <alignment horizontal="center" vertical="center" wrapText="1"/>
    </xf>
    <xf numFmtId="0" fontId="19" fillId="14" borderId="94" xfId="4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/>
    </xf>
    <xf numFmtId="0" fontId="35" fillId="3" borderId="7" xfId="0" applyFont="1" applyFill="1" applyBorder="1"/>
    <xf numFmtId="0" fontId="35" fillId="3" borderId="8" xfId="0" applyFont="1" applyFill="1" applyBorder="1"/>
    <xf numFmtId="2" fontId="3" fillId="0" borderId="0" xfId="0" applyNumberFormat="1" applyFont="1" applyFill="1" applyBorder="1" applyAlignment="1">
      <alignment horizontal="right" vertical="center" wrapText="1"/>
    </xf>
    <xf numFmtId="0" fontId="6" fillId="24" borderId="0" xfId="0" applyFont="1" applyFill="1" applyAlignment="1">
      <alignment horizontal="center"/>
    </xf>
    <xf numFmtId="0" fontId="6" fillId="24" borderId="0" xfId="0" applyFont="1" applyFill="1" applyAlignment="1">
      <alignment horizontal="left"/>
    </xf>
    <xf numFmtId="0" fontId="1" fillId="24" borderId="0" xfId="8" applyFill="1"/>
    <xf numFmtId="0" fontId="0" fillId="0" borderId="0" xfId="8" applyFont="1"/>
    <xf numFmtId="173" fontId="43" fillId="4" borderId="4" xfId="0" applyNumberFormat="1" applyFont="1" applyFill="1" applyBorder="1"/>
    <xf numFmtId="2" fontId="36" fillId="16" borderId="4" xfId="6" applyNumberFormat="1" applyFill="1" applyBorder="1"/>
    <xf numFmtId="0" fontId="19" fillId="11" borderId="39" xfId="4" applyFont="1" applyFill="1" applyBorder="1" applyAlignment="1">
      <alignment horizontal="center" vertical="center"/>
    </xf>
    <xf numFmtId="0" fontId="19" fillId="11" borderId="103" xfId="4" applyFont="1" applyFill="1" applyBorder="1" applyAlignment="1">
      <alignment horizontal="center" vertical="center"/>
    </xf>
    <xf numFmtId="0" fontId="19" fillId="11" borderId="104" xfId="4" applyFont="1" applyFill="1" applyBorder="1" applyAlignment="1">
      <alignment horizontal="center" vertical="center" wrapText="1"/>
    </xf>
    <xf numFmtId="4" fontId="13" fillId="0" borderId="40" xfId="4" applyNumberFormat="1" applyFont="1" applyBorder="1" applyAlignment="1">
      <alignment horizontal="center" vertical="center"/>
    </xf>
    <xf numFmtId="0" fontId="19" fillId="11" borderId="105" xfId="4" applyFont="1" applyFill="1" applyBorder="1" applyAlignment="1">
      <alignment horizontal="center" vertical="center"/>
    </xf>
    <xf numFmtId="0" fontId="19" fillId="11" borderId="106" xfId="4" applyFont="1" applyFill="1" applyBorder="1" applyAlignment="1">
      <alignment horizontal="center" vertical="center"/>
    </xf>
    <xf numFmtId="0" fontId="19" fillId="11" borderId="107" xfId="4" applyFont="1" applyFill="1" applyBorder="1" applyAlignment="1">
      <alignment horizontal="center" vertical="center"/>
    </xf>
    <xf numFmtId="0" fontId="19" fillId="11" borderId="108" xfId="4" applyFont="1" applyFill="1" applyBorder="1" applyAlignment="1">
      <alignment horizontal="center" vertical="center"/>
    </xf>
    <xf numFmtId="0" fontId="19" fillId="11" borderId="103" xfId="4" applyFont="1" applyFill="1" applyBorder="1" applyAlignment="1">
      <alignment horizontal="left" vertical="center"/>
    </xf>
    <xf numFmtId="4" fontId="13" fillId="4" borderId="23" xfId="4" applyNumberFormat="1" applyFont="1" applyFill="1" applyBorder="1" applyAlignment="1">
      <alignment horizontal="center" vertical="center"/>
    </xf>
    <xf numFmtId="4" fontId="13" fillId="25" borderId="38" xfId="4" applyNumberFormat="1" applyFont="1" applyFill="1" applyBorder="1" applyAlignment="1">
      <alignment horizontal="center" vertical="center"/>
    </xf>
    <xf numFmtId="2" fontId="15" fillId="15" borderId="4" xfId="5" applyNumberFormat="1" applyFont="1" applyFill="1" applyBorder="1" applyAlignment="1">
      <alignment vertical="center"/>
    </xf>
    <xf numFmtId="0" fontId="15" fillId="4" borderId="4" xfId="4" applyFont="1" applyFill="1" applyBorder="1" applyAlignment="1">
      <alignment vertical="center"/>
    </xf>
    <xf numFmtId="0" fontId="15" fillId="25" borderId="4" xfId="4" applyFont="1" applyFill="1" applyBorder="1" applyAlignment="1">
      <alignment vertical="center"/>
    </xf>
    <xf numFmtId="0" fontId="15" fillId="15" borderId="4" xfId="4" applyFont="1" applyFill="1" applyBorder="1" applyAlignment="1">
      <alignment vertical="center"/>
    </xf>
  </cellXfs>
  <cellStyles count="9">
    <cellStyle name="Lien hypertexte" xfId="3" builtinId="8"/>
    <cellStyle name="Milliers" xfId="1" builtinId="3"/>
    <cellStyle name="Milliers 2" xfId="7"/>
    <cellStyle name="Normal" xfId="0" builtinId="0"/>
    <cellStyle name="Normal 2" xfId="4"/>
    <cellStyle name="Normal 3" xfId="6"/>
    <cellStyle name="Normal 3 2" xfId="8"/>
    <cellStyle name="Pourcentage" xfId="2" builtinId="5"/>
    <cellStyle name="Pourcentage 2" xfId="5"/>
  </cellStyles>
  <dxfs count="7">
    <dxf>
      <fill>
        <patternFill>
          <bgColor rgb="FFFF000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colors>
    <mruColors>
      <color rgb="FFCDB380"/>
      <color rgb="FFF5A7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14</xdr:row>
      <xdr:rowOff>19095</xdr:rowOff>
    </xdr:from>
    <xdr:to>
      <xdr:col>5</xdr:col>
      <xdr:colOff>384900</xdr:colOff>
      <xdr:row>17</xdr:row>
      <xdr:rowOff>51779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2286045"/>
          <a:ext cx="3852000" cy="5184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20</xdr:row>
      <xdr:rowOff>19050</xdr:rowOff>
    </xdr:from>
    <xdr:to>
      <xdr:col>5</xdr:col>
      <xdr:colOff>219750</xdr:colOff>
      <xdr:row>21</xdr:row>
      <xdr:rowOff>142744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3257550"/>
          <a:ext cx="3744000" cy="295144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25</xdr:row>
      <xdr:rowOff>71</xdr:rowOff>
    </xdr:from>
    <xdr:to>
      <xdr:col>5</xdr:col>
      <xdr:colOff>255750</xdr:colOff>
      <xdr:row>38</xdr:row>
      <xdr:rowOff>51113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4076771"/>
          <a:ext cx="3780000" cy="2203692"/>
        </a:xfrm>
        <a:prstGeom prst="rect">
          <a:avLst/>
        </a:prstGeom>
        <a:noFill/>
        <a:ln w="1">
          <a:solidFill>
            <a:schemeClr val="tx1">
              <a:lumMod val="85000"/>
              <a:lumOff val="15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43</xdr:row>
      <xdr:rowOff>28</xdr:rowOff>
    </xdr:from>
    <xdr:to>
      <xdr:col>6</xdr:col>
      <xdr:colOff>253950</xdr:colOff>
      <xdr:row>44</xdr:row>
      <xdr:rowOff>158345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6991378"/>
          <a:ext cx="4464000" cy="320242"/>
        </a:xfrm>
        <a:prstGeom prst="rect">
          <a:avLst/>
        </a:prstGeom>
        <a:noFill/>
        <a:ln w="28575">
          <a:solidFill>
            <a:srgbClr val="00B050"/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209550</xdr:colOff>
      <xdr:row>8</xdr:row>
      <xdr:rowOff>47625</xdr:rowOff>
    </xdr:from>
    <xdr:to>
      <xdr:col>4</xdr:col>
      <xdr:colOff>609600</xdr:colOff>
      <xdr:row>11</xdr:row>
      <xdr:rowOff>114300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09550" y="1343025"/>
          <a:ext cx="3238500" cy="552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6</xdr:row>
      <xdr:rowOff>152400</xdr:rowOff>
    </xdr:from>
    <xdr:to>
      <xdr:col>6</xdr:col>
      <xdr:colOff>257175</xdr:colOff>
      <xdr:row>8</xdr:row>
      <xdr:rowOff>66675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050" y="1123950"/>
          <a:ext cx="444817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8</xdr:col>
      <xdr:colOff>276225</xdr:colOff>
      <xdr:row>7</xdr:row>
      <xdr:rowOff>0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809625"/>
          <a:ext cx="5857875" cy="323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e/AppData/Local/Temp/Outil_pai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e d'emploi"/>
      <sheetName val="COTISATIONS"/>
      <sheetName val="Non cadre  "/>
      <sheetName val="Cadre "/>
    </sheetNames>
    <sheetDataSet>
      <sheetData sheetId="0" refreshError="1"/>
      <sheetData sheetId="1">
        <row r="9">
          <cell r="B9">
            <v>0.128</v>
          </cell>
          <cell r="C9">
            <v>7.4999999999999997E-3</v>
          </cell>
        </row>
        <row r="12">
          <cell r="B12">
            <v>1.7999999999999999E-2</v>
          </cell>
          <cell r="C12">
            <v>3.0000000000000001E-3</v>
          </cell>
        </row>
        <row r="15">
          <cell r="B15">
            <v>1E-3</v>
          </cell>
        </row>
        <row r="19">
          <cell r="C19">
            <v>2.4E-2</v>
          </cell>
        </row>
        <row r="20">
          <cell r="C20">
            <v>5.0999999999999997E-2</v>
          </cell>
        </row>
        <row r="21">
          <cell r="C21">
            <v>5.0000000000000001E-3</v>
          </cell>
        </row>
        <row r="22">
          <cell r="B22">
            <v>0.08</v>
          </cell>
        </row>
        <row r="23">
          <cell r="B23">
            <v>1.6000000000000001E-4</v>
          </cell>
        </row>
        <row r="28">
          <cell r="B28">
            <v>0.04</v>
          </cell>
          <cell r="C28">
            <v>2.4E-2</v>
          </cell>
        </row>
        <row r="29">
          <cell r="B29">
            <v>0.04</v>
          </cell>
          <cell r="C29">
            <v>2.4E-2</v>
          </cell>
        </row>
        <row r="30">
          <cell r="B30">
            <v>3.0000000000000001E-3</v>
          </cell>
        </row>
        <row r="35">
          <cell r="B35">
            <v>4.58E-2</v>
          </cell>
          <cell r="C35">
            <v>3.0499999999999999E-2</v>
          </cell>
        </row>
        <row r="36">
          <cell r="B36">
            <v>0.1268</v>
          </cell>
          <cell r="C36">
            <v>7.7499999999999999E-2</v>
          </cell>
        </row>
        <row r="37">
          <cell r="B37">
            <v>0.1268</v>
          </cell>
          <cell r="C37">
            <v>7.7499999999999999E-2</v>
          </cell>
        </row>
        <row r="38">
          <cell r="B38">
            <v>3.6000000000000002E-4</v>
          </cell>
          <cell r="C38">
            <v>2.4000000000000001E-4</v>
          </cell>
        </row>
        <row r="40">
          <cell r="B40">
            <v>1.4999999999999999E-2</v>
          </cell>
        </row>
        <row r="41">
          <cell r="B41">
            <v>2.2000000000000001E-3</v>
          </cell>
          <cell r="C41">
            <v>1.2999999999999999E-3</v>
          </cell>
        </row>
        <row r="42">
          <cell r="C42">
            <v>3.0499999999999999E-2</v>
          </cell>
        </row>
        <row r="43">
          <cell r="C43">
            <v>8.0500000000000002E-2</v>
          </cell>
        </row>
        <row r="44">
          <cell r="B44">
            <v>1.2E-2</v>
          </cell>
          <cell r="C44">
            <v>8.0000000000000002E-3</v>
          </cell>
        </row>
        <row r="45">
          <cell r="B45">
            <v>1.2999999999999999E-2</v>
          </cell>
          <cell r="C45">
            <v>8.9999999999999993E-3</v>
          </cell>
        </row>
        <row r="46">
          <cell r="B46">
            <v>1.2E-2</v>
          </cell>
          <cell r="C46">
            <v>8.0000000000000002E-3</v>
          </cell>
        </row>
        <row r="47">
          <cell r="B47">
            <v>1.2999999999999999E-2</v>
          </cell>
          <cell r="C47">
            <v>8.9999999999999993E-3</v>
          </cell>
        </row>
        <row r="52">
          <cell r="B52">
            <v>3170</v>
          </cell>
        </row>
        <row r="54">
          <cell r="B54">
            <v>3170</v>
          </cell>
        </row>
        <row r="55">
          <cell r="B55">
            <v>9510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Tableau1" displayName="Tableau1" ref="M2:M7" totalsRowShown="0" headerRowDxfId="6" dataDxfId="4" headerRowBorderDxfId="5" tableBorderDxfId="3" totalsRowBorderDxfId="2">
  <autoFilter ref="M2:M7"/>
  <tableColumns count="1">
    <tableColumn id="1" name="Statut 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quetak.com/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mploi.lefigaro.fr/remuneration/guide-de-la-remuneration/103-smic-2023-bientot-une-revalorisation-de-2-decouvrez-quand-le-montant-du-smic-augmentera-16-mars-2023/" TargetMode="External"/><Relationship Id="rId1" Type="http://schemas.openxmlformats.org/officeDocument/2006/relationships/hyperlink" Target="https://bofip.impots.gouv.fr/bofip/11255-PGP.html/identifiant%3DBOI-BAREME-000037-2023062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bofip.impots.gouv.fr/bofip/11255-PGP.html/identifiant%3DBOI-BAREME-000037-20230621" TargetMode="External"/><Relationship Id="rId1" Type="http://schemas.openxmlformats.org/officeDocument/2006/relationships/hyperlink" Target="https://emploi.lefigaro.fr/remuneration/guide-de-la-remuneration/103-smic-2023-bientot-une-revalorisation-de-2-decouvrez-quand-le-montant-du-smic-augmentera-16-mars-2023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2:M110"/>
  <sheetViews>
    <sheetView showGridLines="0" topLeftCell="C88" workbookViewId="0">
      <selection activeCell="L8" sqref="L8"/>
    </sheetView>
  </sheetViews>
  <sheetFormatPr baseColWidth="10" defaultRowHeight="15"/>
  <cols>
    <col min="1" max="1" width="5" customWidth="1"/>
    <col min="2" max="2" width="14.42578125" customWidth="1"/>
    <col min="3" max="3" width="21" customWidth="1"/>
    <col min="4" max="4" width="27.28515625" customWidth="1"/>
    <col min="5" max="5" width="13" bestFit="1" customWidth="1"/>
    <col min="6" max="6" width="16.28515625" customWidth="1"/>
    <col min="7" max="7" width="20.28515625" customWidth="1"/>
    <col min="8" max="8" width="14.7109375" customWidth="1"/>
    <col min="9" max="9" width="20.85546875" customWidth="1"/>
  </cols>
  <sheetData>
    <row r="2" spans="2:13">
      <c r="B2" s="526" t="s">
        <v>105</v>
      </c>
      <c r="C2" s="527"/>
      <c r="D2" s="527"/>
      <c r="E2" s="527"/>
      <c r="F2" s="527"/>
      <c r="G2" s="527"/>
      <c r="H2" s="527"/>
      <c r="I2" s="527"/>
      <c r="J2" s="528"/>
      <c r="M2" s="234" t="s">
        <v>385</v>
      </c>
    </row>
    <row r="3" spans="2:13">
      <c r="B3" s="529" t="s">
        <v>161</v>
      </c>
      <c r="C3" s="530"/>
      <c r="D3" s="530"/>
      <c r="E3" s="531"/>
      <c r="F3" s="532" t="s">
        <v>162</v>
      </c>
      <c r="G3" s="533"/>
      <c r="H3" s="533"/>
      <c r="I3" s="533"/>
      <c r="J3" s="534"/>
      <c r="M3" s="215" t="s">
        <v>189</v>
      </c>
    </row>
    <row r="4" spans="2:13">
      <c r="B4" s="243" t="s">
        <v>163</v>
      </c>
      <c r="C4" s="237" t="s">
        <v>195</v>
      </c>
      <c r="D4" s="237"/>
      <c r="E4" s="237"/>
      <c r="F4" s="241" t="s">
        <v>163</v>
      </c>
      <c r="G4" s="263" t="s">
        <v>388</v>
      </c>
      <c r="H4" s="460"/>
      <c r="I4" s="460"/>
      <c r="J4" s="460"/>
      <c r="M4" s="461" t="s">
        <v>190</v>
      </c>
    </row>
    <row r="5" spans="2:13">
      <c r="B5" s="243" t="s">
        <v>0</v>
      </c>
      <c r="C5" s="237" t="s">
        <v>196</v>
      </c>
      <c r="D5" s="237"/>
      <c r="E5" s="237"/>
      <c r="F5" s="241" t="s">
        <v>2</v>
      </c>
      <c r="G5" s="227" t="s">
        <v>387</v>
      </c>
      <c r="H5" s="460"/>
      <c r="I5" s="460"/>
      <c r="J5" s="460"/>
      <c r="M5" s="461" t="s">
        <v>188</v>
      </c>
    </row>
    <row r="6" spans="2:13">
      <c r="B6" s="243" t="s">
        <v>164</v>
      </c>
      <c r="C6" s="237"/>
      <c r="D6" s="237"/>
      <c r="E6" s="237"/>
      <c r="F6" s="241" t="s">
        <v>170</v>
      </c>
      <c r="G6" s="250" t="s">
        <v>8</v>
      </c>
      <c r="H6" s="460"/>
      <c r="I6" s="460"/>
      <c r="J6" s="460"/>
      <c r="M6" s="461" t="s">
        <v>188</v>
      </c>
    </row>
    <row r="7" spans="2:13">
      <c r="B7" s="243" t="s">
        <v>164</v>
      </c>
      <c r="C7" s="237"/>
      <c r="D7" s="237"/>
      <c r="E7" s="237"/>
      <c r="F7" s="242" t="s">
        <v>0</v>
      </c>
      <c r="G7" s="8" t="s">
        <v>1</v>
      </c>
      <c r="H7" s="460"/>
      <c r="I7" s="460"/>
      <c r="J7" s="460"/>
      <c r="M7" s="461" t="s">
        <v>188</v>
      </c>
    </row>
    <row r="8" spans="2:13">
      <c r="B8" s="243" t="s">
        <v>165</v>
      </c>
      <c r="C8" s="249">
        <v>76000</v>
      </c>
      <c r="D8" s="237"/>
      <c r="E8" s="237"/>
      <c r="F8" s="242" t="s">
        <v>3</v>
      </c>
      <c r="G8" s="8" t="s">
        <v>4</v>
      </c>
      <c r="H8" s="460"/>
      <c r="I8" s="460"/>
      <c r="J8" s="460"/>
    </row>
    <row r="9" spans="2:13">
      <c r="B9" s="243" t="s">
        <v>166</v>
      </c>
      <c r="C9" s="237" t="s">
        <v>197</v>
      </c>
      <c r="D9" s="237"/>
      <c r="E9" s="237"/>
      <c r="F9" s="242" t="s">
        <v>171</v>
      </c>
      <c r="G9" s="227" t="s">
        <v>592</v>
      </c>
      <c r="H9" s="460"/>
      <c r="I9" s="460"/>
      <c r="J9" s="460"/>
    </row>
    <row r="10" spans="2:13">
      <c r="B10" s="243" t="s">
        <v>199</v>
      </c>
      <c r="C10" s="238">
        <v>5896872480054</v>
      </c>
      <c r="D10" s="237"/>
      <c r="E10" s="237"/>
      <c r="F10" s="242" t="s">
        <v>172</v>
      </c>
      <c r="G10" s="8"/>
      <c r="H10" s="460"/>
      <c r="I10" s="244" t="s">
        <v>5</v>
      </c>
      <c r="J10" s="460" t="s">
        <v>190</v>
      </c>
    </row>
    <row r="11" spans="2:13">
      <c r="B11" s="243" t="s">
        <v>6</v>
      </c>
      <c r="C11" s="237" t="s">
        <v>198</v>
      </c>
      <c r="D11" s="237"/>
      <c r="E11" s="237"/>
      <c r="F11" s="242" t="s">
        <v>173</v>
      </c>
      <c r="G11" s="8"/>
      <c r="H11" s="460"/>
      <c r="I11" s="244" t="s">
        <v>176</v>
      </c>
      <c r="J11" s="460"/>
    </row>
    <row r="12" spans="2:13">
      <c r="B12" s="243" t="s">
        <v>168</v>
      </c>
      <c r="C12" s="239" t="s">
        <v>200</v>
      </c>
      <c r="D12" s="237"/>
      <c r="E12" s="237"/>
      <c r="F12" s="242" t="s">
        <v>174</v>
      </c>
      <c r="G12" s="8"/>
      <c r="H12" s="460"/>
      <c r="I12" s="244" t="s">
        <v>177</v>
      </c>
      <c r="J12" s="460"/>
    </row>
    <row r="13" spans="2:13">
      <c r="B13" s="243" t="s">
        <v>9</v>
      </c>
      <c r="C13" s="237">
        <v>76386787612</v>
      </c>
      <c r="D13" s="237"/>
      <c r="E13" s="237"/>
      <c r="F13" s="535" t="s">
        <v>175</v>
      </c>
      <c r="G13" s="535"/>
      <c r="H13" s="460" t="s">
        <v>178</v>
      </c>
      <c r="I13" s="244"/>
      <c r="J13" s="8"/>
    </row>
    <row r="14" spans="2:13" ht="30">
      <c r="B14" s="536" t="s">
        <v>7</v>
      </c>
      <c r="C14" s="536"/>
      <c r="D14" s="240" t="s">
        <v>201</v>
      </c>
      <c r="E14" s="237"/>
      <c r="F14" s="8"/>
      <c r="G14" s="8"/>
      <c r="H14" s="460"/>
      <c r="I14" s="460"/>
      <c r="J14" s="460"/>
    </row>
    <row r="15" spans="2:13">
      <c r="B15" s="33"/>
      <c r="C15" s="34"/>
      <c r="D15" s="34"/>
      <c r="E15" s="35"/>
      <c r="F15" s="456"/>
      <c r="G15" s="456"/>
      <c r="H15" s="456"/>
      <c r="I15" s="456"/>
      <c r="J15" s="457"/>
    </row>
    <row r="16" spans="2:13" ht="15.75" thickBot="1">
      <c r="B16" s="33"/>
      <c r="C16" s="34"/>
      <c r="D16" s="34"/>
      <c r="E16" s="35"/>
      <c r="F16" s="456"/>
      <c r="G16" s="456"/>
      <c r="H16" s="456"/>
      <c r="I16" s="456"/>
      <c r="J16" s="457"/>
    </row>
    <row r="17" spans="2:10">
      <c r="B17" s="43"/>
      <c r="C17" s="44"/>
      <c r="D17" s="45" t="s">
        <v>169</v>
      </c>
      <c r="E17" s="413">
        <v>44927</v>
      </c>
      <c r="F17" s="46"/>
      <c r="G17" s="414">
        <v>44957</v>
      </c>
      <c r="H17" s="231"/>
      <c r="I17" s="412" t="str">
        <f>TEXT(E17,"mmmm")</f>
        <v>janvier</v>
      </c>
      <c r="J17" s="47"/>
    </row>
    <row r="18" spans="2:10">
      <c r="B18" s="4"/>
      <c r="C18" s="518" t="s">
        <v>389</v>
      </c>
      <c r="D18" s="519"/>
      <c r="E18" s="520"/>
      <c r="F18" s="10">
        <v>38</v>
      </c>
      <c r="G18" s="6"/>
      <c r="H18" s="6"/>
      <c r="I18" s="6"/>
      <c r="J18" s="5"/>
    </row>
    <row r="19" spans="2:10">
      <c r="B19" s="4"/>
      <c r="C19" s="6"/>
      <c r="D19" s="6"/>
      <c r="E19" s="6"/>
      <c r="F19" s="6"/>
      <c r="G19" s="6"/>
      <c r="H19" s="6"/>
      <c r="I19" s="6"/>
      <c r="J19" s="5"/>
    </row>
    <row r="20" spans="2:10">
      <c r="B20" s="4"/>
      <c r="C20" s="518" t="s">
        <v>10</v>
      </c>
      <c r="D20" s="519"/>
      <c r="E20" s="520"/>
      <c r="F20" s="449">
        <f>50%*2.8%</f>
        <v>1.3999999999999999E-2</v>
      </c>
      <c r="G20" s="3" t="s">
        <v>110</v>
      </c>
      <c r="H20" s="450">
        <f>F87</f>
        <v>3666</v>
      </c>
      <c r="I20" s="6"/>
      <c r="J20" s="5"/>
    </row>
    <row r="21" spans="2:10">
      <c r="B21" s="4"/>
      <c r="C21" s="518" t="s">
        <v>11</v>
      </c>
      <c r="D21" s="519"/>
      <c r="E21" s="520"/>
      <c r="F21" s="449">
        <f>50%*2.8%</f>
        <v>1.3999999999999999E-2</v>
      </c>
      <c r="G21" s="3" t="s">
        <v>110</v>
      </c>
      <c r="H21" s="450">
        <f>F87</f>
        <v>3666</v>
      </c>
      <c r="I21" s="6"/>
      <c r="J21" s="5"/>
    </row>
    <row r="22" spans="2:10">
      <c r="B22" s="4"/>
      <c r="C22" s="518" t="s">
        <v>12</v>
      </c>
      <c r="D22" s="519"/>
      <c r="E22" s="520"/>
      <c r="F22" s="449"/>
      <c r="G22" s="3" t="s">
        <v>110</v>
      </c>
      <c r="H22" s="11"/>
      <c r="I22" s="6"/>
      <c r="J22" s="5"/>
    </row>
    <row r="23" spans="2:10">
      <c r="B23" s="4"/>
      <c r="C23" s="518" t="s">
        <v>13</v>
      </c>
      <c r="D23" s="519"/>
      <c r="E23" s="520"/>
      <c r="F23" s="449"/>
      <c r="G23" s="3" t="s">
        <v>110</v>
      </c>
      <c r="H23" s="11"/>
      <c r="I23" s="6"/>
      <c r="J23" s="5"/>
    </row>
    <row r="24" spans="2:10">
      <c r="B24" s="4"/>
      <c r="C24" s="6"/>
      <c r="D24" s="6"/>
      <c r="E24" s="6"/>
      <c r="F24" s="6"/>
      <c r="G24" s="6"/>
      <c r="H24" s="6"/>
      <c r="I24" s="6"/>
      <c r="J24" s="5"/>
    </row>
    <row r="25" spans="2:10">
      <c r="B25" s="4"/>
      <c r="C25" s="518" t="s">
        <v>14</v>
      </c>
      <c r="D25" s="519"/>
      <c r="E25" s="520"/>
      <c r="F25" s="12">
        <v>0.03</v>
      </c>
      <c r="G25" s="6"/>
      <c r="H25" s="6"/>
      <c r="I25" s="460" t="s">
        <v>189</v>
      </c>
      <c r="J25" s="3"/>
    </row>
    <row r="26" spans="2:10">
      <c r="B26" s="4"/>
      <c r="C26" s="518" t="s">
        <v>15</v>
      </c>
      <c r="D26" s="519"/>
      <c r="E26" s="520"/>
      <c r="F26" s="12">
        <v>0</v>
      </c>
      <c r="G26" s="6"/>
      <c r="H26" s="6"/>
      <c r="I26" s="460" t="s">
        <v>188</v>
      </c>
      <c r="J26" s="3"/>
    </row>
    <row r="27" spans="2:10">
      <c r="B27" s="13"/>
      <c r="C27" s="14"/>
      <c r="D27" s="14"/>
      <c r="E27" s="14"/>
      <c r="F27" s="14"/>
      <c r="G27" s="14"/>
      <c r="H27" s="14"/>
      <c r="I27" s="460" t="s">
        <v>190</v>
      </c>
      <c r="J27" s="3"/>
    </row>
    <row r="29" spans="2:10" ht="23.25" customHeight="1">
      <c r="C29" s="521" t="s">
        <v>16</v>
      </c>
      <c r="D29" s="522"/>
      <c r="E29" s="522"/>
      <c r="F29" s="522"/>
      <c r="G29" s="522"/>
      <c r="H29" s="522"/>
      <c r="I29" s="523"/>
    </row>
    <row r="30" spans="2:10" s="16" customFormat="1" ht="23.25" customHeight="1">
      <c r="C30" s="524" t="s">
        <v>17</v>
      </c>
      <c r="D30" s="524"/>
      <c r="E30" s="524"/>
      <c r="F30" s="17" t="s">
        <v>18</v>
      </c>
      <c r="G30" s="17" t="s">
        <v>19</v>
      </c>
      <c r="H30" s="18" t="s">
        <v>20</v>
      </c>
      <c r="I30" s="17" t="s">
        <v>21</v>
      </c>
    </row>
    <row r="31" spans="2:10" ht="18.75">
      <c r="C31" s="500" t="s">
        <v>22</v>
      </c>
      <c r="D31" s="501"/>
      <c r="E31" s="502"/>
      <c r="F31" s="67"/>
      <c r="G31" s="19"/>
      <c r="H31" s="19"/>
      <c r="I31" s="20"/>
    </row>
    <row r="32" spans="2:10">
      <c r="C32" s="486" t="s">
        <v>23</v>
      </c>
      <c r="D32" s="487"/>
      <c r="E32" s="488"/>
      <c r="F32" s="68">
        <v>0.06</v>
      </c>
      <c r="G32" s="50"/>
      <c r="H32" s="22">
        <f>F32+G32</f>
        <v>0.06</v>
      </c>
      <c r="I32" s="23" t="s">
        <v>24</v>
      </c>
    </row>
    <row r="33" spans="3:9">
      <c r="C33" s="486" t="s">
        <v>25</v>
      </c>
      <c r="D33" s="487"/>
      <c r="E33" s="488"/>
      <c r="F33" s="68">
        <v>7.0000000000000007E-2</v>
      </c>
      <c r="G33" s="50"/>
      <c r="H33" s="22">
        <f t="shared" ref="H33:H36" si="0">F33+G33</f>
        <v>7.0000000000000007E-2</v>
      </c>
      <c r="I33" s="23" t="s">
        <v>26</v>
      </c>
    </row>
    <row r="34" spans="3:9">
      <c r="C34" s="486" t="s">
        <v>27</v>
      </c>
      <c r="D34" s="487"/>
      <c r="E34" s="488"/>
      <c r="F34" s="69">
        <v>3.0000000000000001E-3</v>
      </c>
      <c r="G34" s="50"/>
      <c r="H34" s="22">
        <f t="shared" si="0"/>
        <v>3.0000000000000001E-3</v>
      </c>
      <c r="I34" s="23" t="s">
        <v>26</v>
      </c>
    </row>
    <row r="35" spans="3:9">
      <c r="C35" s="525" t="s">
        <v>28</v>
      </c>
      <c r="D35" s="487"/>
      <c r="E35" s="488"/>
      <c r="F35" s="69">
        <v>8.5500000000000007E-2</v>
      </c>
      <c r="G35" s="51">
        <v>6.9000000000000006E-2</v>
      </c>
      <c r="H35" s="22">
        <f t="shared" si="0"/>
        <v>0.15450000000000003</v>
      </c>
      <c r="I35" s="23" t="s">
        <v>29</v>
      </c>
    </row>
    <row r="36" spans="3:9">
      <c r="C36" s="509" t="s">
        <v>30</v>
      </c>
      <c r="D36" s="510"/>
      <c r="E36" s="511"/>
      <c r="F36" s="70">
        <v>1.9E-2</v>
      </c>
      <c r="G36" s="52">
        <v>4.0000000000000001E-3</v>
      </c>
      <c r="H36" s="22">
        <f t="shared" si="0"/>
        <v>2.3E-2</v>
      </c>
      <c r="I36" s="24" t="s">
        <v>26</v>
      </c>
    </row>
    <row r="37" spans="3:9">
      <c r="C37" s="53"/>
      <c r="D37" s="54"/>
      <c r="E37" s="55"/>
      <c r="F37" s="71"/>
      <c r="G37" s="56"/>
      <c r="H37" s="19"/>
      <c r="I37" s="26"/>
    </row>
    <row r="38" spans="3:9">
      <c r="C38" s="516" t="s">
        <v>31</v>
      </c>
      <c r="D38" s="516"/>
      <c r="E38" s="516"/>
      <c r="F38" s="69">
        <v>1.7999999999999999E-2</v>
      </c>
      <c r="G38" s="50"/>
      <c r="H38" s="22">
        <f>F38+G38</f>
        <v>1.7999999999999999E-2</v>
      </c>
      <c r="I38" s="23" t="s">
        <v>26</v>
      </c>
    </row>
    <row r="39" spans="3:9">
      <c r="C39" s="509" t="s">
        <v>32</v>
      </c>
      <c r="D39" s="510"/>
      <c r="E39" s="511"/>
      <c r="F39" s="70">
        <v>3.4500000000000003E-2</v>
      </c>
      <c r="G39" s="57"/>
      <c r="H39" s="22">
        <f>F39+G39</f>
        <v>3.4500000000000003E-2</v>
      </c>
      <c r="I39" s="24" t="s">
        <v>26</v>
      </c>
    </row>
    <row r="40" spans="3:9">
      <c r="C40" s="515" t="s">
        <v>33</v>
      </c>
      <c r="D40" s="515"/>
      <c r="E40" s="515"/>
      <c r="F40" s="71">
        <v>1E-3</v>
      </c>
      <c r="G40" s="58"/>
      <c r="H40" s="25">
        <f>F40+G40</f>
        <v>1E-3</v>
      </c>
      <c r="I40" s="26" t="s">
        <v>34</v>
      </c>
    </row>
    <row r="41" spans="3:9">
      <c r="C41" s="516" t="s">
        <v>35</v>
      </c>
      <c r="D41" s="516"/>
      <c r="E41" s="516"/>
      <c r="F41" s="69">
        <v>5.0000000000000001E-3</v>
      </c>
      <c r="G41" s="50"/>
      <c r="H41" s="25">
        <f t="shared" ref="H41:H48" si="1">F41+G41</f>
        <v>5.0000000000000001E-3</v>
      </c>
      <c r="I41" s="23" t="s">
        <v>26</v>
      </c>
    </row>
    <row r="42" spans="3:9">
      <c r="C42" s="517" t="s">
        <v>36</v>
      </c>
      <c r="D42" s="517"/>
      <c r="E42" s="517"/>
      <c r="F42" s="11"/>
      <c r="G42" s="21"/>
      <c r="H42" s="25">
        <f t="shared" si="1"/>
        <v>0</v>
      </c>
      <c r="I42" s="23" t="s">
        <v>26</v>
      </c>
    </row>
    <row r="43" spans="3:9">
      <c r="C43" s="516" t="s">
        <v>37</v>
      </c>
      <c r="D43" s="516"/>
      <c r="E43" s="516"/>
      <c r="F43" s="11"/>
      <c r="G43" s="21"/>
      <c r="H43" s="25">
        <f t="shared" si="1"/>
        <v>0</v>
      </c>
      <c r="I43" s="23" t="s">
        <v>38</v>
      </c>
    </row>
    <row r="44" spans="3:9">
      <c r="C44" s="516" t="s">
        <v>39</v>
      </c>
      <c r="D44" s="516"/>
      <c r="E44" s="516"/>
      <c r="F44" s="72"/>
      <c r="G44" s="51">
        <v>2.4E-2</v>
      </c>
      <c r="H44" s="56">
        <f t="shared" si="1"/>
        <v>2.4E-2</v>
      </c>
      <c r="I44" s="64" t="s">
        <v>40</v>
      </c>
    </row>
    <row r="45" spans="3:9">
      <c r="C45" s="516" t="s">
        <v>41</v>
      </c>
      <c r="D45" s="516"/>
      <c r="E45" s="516"/>
      <c r="F45" s="72"/>
      <c r="G45" s="51">
        <v>6.8000000000000005E-2</v>
      </c>
      <c r="H45" s="56">
        <f t="shared" si="1"/>
        <v>6.8000000000000005E-2</v>
      </c>
      <c r="I45" s="64" t="s">
        <v>42</v>
      </c>
    </row>
    <row r="46" spans="3:9">
      <c r="C46" s="516" t="s">
        <v>43</v>
      </c>
      <c r="D46" s="516"/>
      <c r="E46" s="516"/>
      <c r="F46" s="72"/>
      <c r="G46" s="51">
        <v>5.0000000000000001E-3</v>
      </c>
      <c r="H46" s="56">
        <f t="shared" si="1"/>
        <v>5.0000000000000001E-3</v>
      </c>
      <c r="I46" s="64" t="s">
        <v>42</v>
      </c>
    </row>
    <row r="47" spans="3:9">
      <c r="C47" s="516" t="s">
        <v>44</v>
      </c>
      <c r="D47" s="516"/>
      <c r="E47" s="516"/>
      <c r="F47" s="69">
        <v>0.08</v>
      </c>
      <c r="G47" s="50"/>
      <c r="H47" s="56">
        <f t="shared" si="1"/>
        <v>0.08</v>
      </c>
      <c r="I47" s="64" t="s">
        <v>45</v>
      </c>
    </row>
    <row r="48" spans="3:9">
      <c r="C48" s="516" t="s">
        <v>46</v>
      </c>
      <c r="D48" s="516"/>
      <c r="E48" s="516"/>
      <c r="F48" s="73">
        <v>1.6000000000000001E-4</v>
      </c>
      <c r="G48" s="50"/>
      <c r="H48" s="65">
        <f t="shared" si="1"/>
        <v>1.6000000000000001E-4</v>
      </c>
      <c r="I48" s="64" t="s">
        <v>26</v>
      </c>
    </row>
    <row r="49" spans="3:9" ht="18.75">
      <c r="C49" s="503" t="s">
        <v>47</v>
      </c>
      <c r="D49" s="504"/>
      <c r="E49" s="505"/>
      <c r="F49" s="67"/>
      <c r="G49" s="19"/>
      <c r="H49" s="19"/>
      <c r="I49" s="28"/>
    </row>
    <row r="50" spans="3:9">
      <c r="C50" s="486" t="s">
        <v>48</v>
      </c>
      <c r="D50" s="487"/>
      <c r="E50" s="488"/>
      <c r="F50" s="69">
        <v>4.0500000000000001E-2</v>
      </c>
      <c r="G50" s="21"/>
      <c r="H50" s="22">
        <f>F50+G50</f>
        <v>4.0500000000000001E-2</v>
      </c>
      <c r="I50" s="29" t="s">
        <v>34</v>
      </c>
    </row>
    <row r="51" spans="3:9">
      <c r="C51" s="486" t="s">
        <v>49</v>
      </c>
      <c r="D51" s="487"/>
      <c r="E51" s="488"/>
      <c r="F51" s="69">
        <v>1.5E-3</v>
      </c>
      <c r="G51" s="21"/>
      <c r="H51" s="22">
        <f t="shared" ref="H51" si="2">F51+G51</f>
        <v>1.5E-3</v>
      </c>
      <c r="I51" s="29" t="s">
        <v>50</v>
      </c>
    </row>
    <row r="52" spans="3:9">
      <c r="C52" s="60"/>
      <c r="D52" s="61"/>
      <c r="E52" s="62"/>
      <c r="F52" s="69"/>
      <c r="G52" s="21"/>
      <c r="H52" s="22"/>
      <c r="I52" s="29"/>
    </row>
    <row r="53" spans="3:9" ht="18.75">
      <c r="C53" s="503" t="s">
        <v>51</v>
      </c>
      <c r="D53" s="504"/>
      <c r="E53" s="505"/>
      <c r="F53" s="67"/>
      <c r="G53" s="19"/>
      <c r="H53" s="19"/>
      <c r="I53" s="19"/>
    </row>
    <row r="54" spans="3:9">
      <c r="C54" s="486"/>
      <c r="D54" s="487"/>
      <c r="E54" s="488"/>
      <c r="F54" s="72"/>
      <c r="G54" s="50"/>
      <c r="H54" s="50"/>
      <c r="I54" s="21"/>
    </row>
    <row r="55" spans="3:9">
      <c r="C55" s="512" t="s">
        <v>52</v>
      </c>
      <c r="D55" s="513"/>
      <c r="E55" s="514"/>
      <c r="F55" s="72"/>
      <c r="G55" s="50"/>
      <c r="H55" s="50"/>
      <c r="I55" s="21"/>
    </row>
    <row r="56" spans="3:9">
      <c r="C56" s="486" t="s">
        <v>53</v>
      </c>
      <c r="D56" s="487"/>
      <c r="E56" s="488"/>
      <c r="F56" s="73">
        <v>3.6000000000000002E-4</v>
      </c>
      <c r="G56" s="59">
        <v>2.4000000000000001E-4</v>
      </c>
      <c r="H56" s="59">
        <f>F56+G56</f>
        <v>6.0000000000000006E-4</v>
      </c>
      <c r="I56" s="21"/>
    </row>
    <row r="57" spans="3:9">
      <c r="C57" s="486" t="s">
        <v>54</v>
      </c>
      <c r="D57" s="487"/>
      <c r="E57" s="488"/>
      <c r="F57" s="69">
        <v>1.4999999999999999E-2</v>
      </c>
      <c r="G57" s="50"/>
      <c r="H57" s="51">
        <f t="shared" ref="H57:H63" si="3">F57+G57</f>
        <v>1.4999999999999999E-2</v>
      </c>
      <c r="I57" s="21"/>
    </row>
    <row r="58" spans="3:9">
      <c r="C58" s="512" t="s">
        <v>55</v>
      </c>
      <c r="D58" s="513"/>
      <c r="E58" s="514"/>
      <c r="F58" s="72"/>
      <c r="G58" s="50"/>
      <c r="H58" s="59"/>
      <c r="I58" s="21"/>
    </row>
    <row r="59" spans="3:9">
      <c r="C59" s="486" t="s">
        <v>56</v>
      </c>
      <c r="D59" s="487"/>
      <c r="E59" s="488"/>
      <c r="F59" s="69">
        <v>4.7199999999999999E-2</v>
      </c>
      <c r="G59" s="51">
        <v>3.15E-2</v>
      </c>
      <c r="H59" s="51">
        <f t="shared" si="3"/>
        <v>7.8699999999999992E-2</v>
      </c>
      <c r="I59" s="21" t="s">
        <v>57</v>
      </c>
    </row>
    <row r="60" spans="3:9">
      <c r="C60" s="486" t="s">
        <v>58</v>
      </c>
      <c r="D60" s="487"/>
      <c r="E60" s="488"/>
      <c r="F60" s="69">
        <v>0.1295</v>
      </c>
      <c r="G60" s="51">
        <v>8.6400000000000005E-2</v>
      </c>
      <c r="H60" s="51">
        <f t="shared" si="3"/>
        <v>0.21590000000000001</v>
      </c>
      <c r="I60" s="21" t="s">
        <v>59</v>
      </c>
    </row>
    <row r="61" spans="3:9">
      <c r="C61" s="486" t="s">
        <v>60</v>
      </c>
      <c r="D61" s="487"/>
      <c r="E61" s="488"/>
      <c r="F61" s="69">
        <v>2.0999999999999999E-3</v>
      </c>
      <c r="G61" s="51">
        <v>1.4E-3</v>
      </c>
      <c r="H61" s="51">
        <f t="shared" si="3"/>
        <v>3.4999999999999996E-3</v>
      </c>
      <c r="I61" s="21" t="s">
        <v>61</v>
      </c>
    </row>
    <row r="62" spans="3:9">
      <c r="C62" s="486" t="s">
        <v>62</v>
      </c>
      <c r="D62" s="487"/>
      <c r="E62" s="488"/>
      <c r="F62" s="69">
        <v>1.29E-2</v>
      </c>
      <c r="G62" s="51">
        <v>8.6E-3</v>
      </c>
      <c r="H62" s="51">
        <f t="shared" si="3"/>
        <v>2.1499999999999998E-2</v>
      </c>
      <c r="I62" s="21" t="s">
        <v>63</v>
      </c>
    </row>
    <row r="63" spans="3:9">
      <c r="C63" s="486" t="s">
        <v>64</v>
      </c>
      <c r="D63" s="487"/>
      <c r="E63" s="488"/>
      <c r="F63" s="69">
        <v>1.6199999999999999E-2</v>
      </c>
      <c r="G63" s="51">
        <v>1.0800000000000001E-2</v>
      </c>
      <c r="H63" s="51">
        <f t="shared" si="3"/>
        <v>2.7E-2</v>
      </c>
      <c r="I63" s="21" t="s">
        <v>59</v>
      </c>
    </row>
    <row r="64" spans="3:9">
      <c r="C64" s="509"/>
      <c r="D64" s="510"/>
      <c r="E64" s="511"/>
      <c r="F64" s="74"/>
      <c r="G64" s="57"/>
      <c r="H64" s="66"/>
      <c r="I64" s="27"/>
    </row>
    <row r="65" spans="3:9" ht="18.75">
      <c r="C65" s="503" t="s">
        <v>65</v>
      </c>
      <c r="D65" s="504"/>
      <c r="E65" s="505"/>
      <c r="F65" s="72"/>
      <c r="G65" s="50"/>
      <c r="H65" s="50"/>
      <c r="I65" s="21"/>
    </row>
    <row r="66" spans="3:9">
      <c r="C66" s="493" t="s">
        <v>66</v>
      </c>
      <c r="D66" s="498"/>
      <c r="E66" s="499"/>
      <c r="F66" s="69">
        <v>4.4999999999999997E-3</v>
      </c>
      <c r="G66" s="21"/>
      <c r="H66" s="21"/>
      <c r="I66" s="21"/>
    </row>
    <row r="67" spans="3:9">
      <c r="C67" s="493" t="s">
        <v>67</v>
      </c>
      <c r="D67" s="498"/>
      <c r="E67" s="499"/>
      <c r="F67" s="69">
        <v>0.2</v>
      </c>
      <c r="G67" s="21"/>
      <c r="H67" s="21"/>
      <c r="I67" s="21"/>
    </row>
    <row r="68" spans="3:9">
      <c r="C68" s="493" t="s">
        <v>68</v>
      </c>
      <c r="D68" s="498"/>
      <c r="E68" s="499"/>
      <c r="F68" s="69">
        <v>6.0100000000000001E-2</v>
      </c>
      <c r="G68" s="22">
        <v>4.0099999999999997E-2</v>
      </c>
      <c r="H68" s="21"/>
      <c r="I68" s="21"/>
    </row>
    <row r="69" spans="3:9">
      <c r="C69" s="493" t="s">
        <v>69</v>
      </c>
      <c r="D69" s="498"/>
      <c r="E69" s="499"/>
      <c r="F69" s="69">
        <v>0.1457</v>
      </c>
      <c r="G69" s="22">
        <v>9.7199999999999995E-2</v>
      </c>
      <c r="H69" s="21"/>
      <c r="I69" s="21"/>
    </row>
    <row r="70" spans="3:9">
      <c r="C70" s="493" t="s">
        <v>70</v>
      </c>
      <c r="D70" s="498"/>
      <c r="E70" s="499"/>
      <c r="F70" s="69">
        <v>1.23E-2</v>
      </c>
      <c r="G70" s="21"/>
      <c r="H70" s="21"/>
      <c r="I70" s="21"/>
    </row>
    <row r="71" spans="3:9">
      <c r="C71" s="506" t="s">
        <v>71</v>
      </c>
      <c r="D71" s="507"/>
      <c r="E71" s="508"/>
      <c r="F71" s="69"/>
      <c r="G71" s="21"/>
      <c r="H71" s="21"/>
      <c r="I71" s="21"/>
    </row>
    <row r="72" spans="3:9">
      <c r="C72" s="493" t="s">
        <v>72</v>
      </c>
      <c r="D72" s="498"/>
      <c r="E72" s="499"/>
      <c r="F72" s="69"/>
      <c r="G72" s="22">
        <v>6.8000000000000005E-2</v>
      </c>
      <c r="H72" s="21"/>
      <c r="I72" s="21"/>
    </row>
    <row r="73" spans="3:9">
      <c r="C73" s="493" t="s">
        <v>73</v>
      </c>
      <c r="D73" s="498"/>
      <c r="E73" s="499"/>
      <c r="F73" s="69"/>
      <c r="G73" s="51">
        <v>2.9000000000000001E-2</v>
      </c>
      <c r="H73" s="21"/>
      <c r="I73" s="21"/>
    </row>
    <row r="74" spans="3:9">
      <c r="C74" s="493" t="s">
        <v>74</v>
      </c>
      <c r="D74" s="498"/>
      <c r="E74" s="499"/>
      <c r="F74" s="69"/>
      <c r="G74" s="51">
        <v>9.7000000000000003E-2</v>
      </c>
      <c r="H74" s="21"/>
      <c r="I74" s="21"/>
    </row>
    <row r="75" spans="3:9">
      <c r="C75" s="506" t="s">
        <v>75</v>
      </c>
      <c r="D75" s="507"/>
      <c r="E75" s="508"/>
      <c r="F75" s="69"/>
      <c r="G75" s="50"/>
      <c r="H75" s="21"/>
      <c r="I75" s="21"/>
    </row>
    <row r="76" spans="3:9">
      <c r="C76" s="490" t="s">
        <v>76</v>
      </c>
      <c r="D76" s="491"/>
      <c r="E76" s="492"/>
      <c r="F76" s="69"/>
      <c r="G76" s="50"/>
      <c r="H76" s="30"/>
      <c r="I76" s="21"/>
    </row>
    <row r="77" spans="3:9">
      <c r="C77" s="490" t="s">
        <v>77</v>
      </c>
      <c r="D77" s="491"/>
      <c r="E77" s="492"/>
      <c r="F77" s="69"/>
      <c r="G77" s="51">
        <v>0.11310000000000001</v>
      </c>
      <c r="H77" s="21"/>
      <c r="I77" s="21"/>
    </row>
    <row r="78" spans="3:9">
      <c r="C78" s="493" t="s">
        <v>380</v>
      </c>
      <c r="D78" s="491"/>
      <c r="E78" s="492"/>
      <c r="F78" s="75">
        <v>1.5</v>
      </c>
      <c r="G78" s="50"/>
      <c r="H78" s="21"/>
      <c r="I78" s="21"/>
    </row>
    <row r="79" spans="3:9">
      <c r="C79" s="493" t="s">
        <v>79</v>
      </c>
      <c r="D79" s="491"/>
      <c r="E79" s="492"/>
      <c r="F79" s="76">
        <v>6.7999999999999996E-3</v>
      </c>
      <c r="G79" s="21"/>
      <c r="H79" s="21"/>
      <c r="I79" s="21"/>
    </row>
    <row r="80" spans="3:9">
      <c r="C80" s="493" t="s">
        <v>80</v>
      </c>
      <c r="D80" s="491"/>
      <c r="E80" s="492"/>
      <c r="F80" s="76">
        <v>5.4999999999999997E-3</v>
      </c>
      <c r="G80" s="21"/>
      <c r="H80" s="21"/>
      <c r="I80" s="21"/>
    </row>
    <row r="81" spans="3:9">
      <c r="C81" s="493" t="s">
        <v>81</v>
      </c>
      <c r="D81" s="491"/>
      <c r="E81" s="492"/>
      <c r="F81" s="76">
        <v>0.01</v>
      </c>
      <c r="G81" s="21"/>
      <c r="H81" s="21"/>
      <c r="I81" s="21"/>
    </row>
    <row r="82" spans="3:9">
      <c r="C82" s="475"/>
      <c r="D82" s="476"/>
      <c r="E82" s="494"/>
      <c r="F82" s="72"/>
      <c r="G82" s="21"/>
      <c r="H82" s="21"/>
      <c r="I82" s="21"/>
    </row>
    <row r="83" spans="3:9">
      <c r="C83" s="495" t="s">
        <v>82</v>
      </c>
      <c r="D83" s="496"/>
      <c r="E83" s="497"/>
      <c r="F83" s="19"/>
      <c r="G83" s="19"/>
      <c r="H83" s="19"/>
      <c r="I83" s="19"/>
    </row>
    <row r="84" spans="3:9">
      <c r="C84" s="493" t="s">
        <v>83</v>
      </c>
      <c r="D84" s="498"/>
      <c r="E84" s="499"/>
      <c r="F84" s="21"/>
      <c r="G84" s="21"/>
      <c r="H84" s="21"/>
      <c r="I84" s="21"/>
    </row>
    <row r="85" spans="3:9">
      <c r="C85" s="475" t="s">
        <v>84</v>
      </c>
      <c r="D85" s="476"/>
      <c r="E85" s="494"/>
      <c r="F85" s="27"/>
      <c r="G85" s="27"/>
      <c r="H85" s="27"/>
      <c r="I85" s="27"/>
    </row>
    <row r="86" spans="3:9" ht="18.75">
      <c r="C86" s="500" t="s">
        <v>85</v>
      </c>
      <c r="D86" s="501"/>
      <c r="E86" s="502"/>
      <c r="F86" s="19"/>
      <c r="G86" s="19"/>
      <c r="H86" s="19"/>
      <c r="I86" s="19"/>
    </row>
    <row r="87" spans="3:9">
      <c r="C87" s="489" t="s">
        <v>86</v>
      </c>
      <c r="D87" s="489"/>
      <c r="E87" s="489"/>
      <c r="F87" s="469">
        <v>3666</v>
      </c>
      <c r="G87" s="468"/>
      <c r="H87" s="468"/>
      <c r="I87" s="468"/>
    </row>
    <row r="88" spans="3:9">
      <c r="C88" s="489" t="s">
        <v>87</v>
      </c>
      <c r="D88" s="489"/>
      <c r="E88" s="489"/>
      <c r="F88" s="467">
        <f>F87*12</f>
        <v>43992</v>
      </c>
      <c r="G88" s="468"/>
      <c r="H88" s="468"/>
      <c r="I88" s="468"/>
    </row>
    <row r="89" spans="3:9">
      <c r="C89" s="482"/>
      <c r="D89" s="483"/>
      <c r="E89" s="484"/>
      <c r="F89" s="468"/>
      <c r="G89" s="468"/>
      <c r="H89" s="468"/>
      <c r="I89" s="468"/>
    </row>
    <row r="90" spans="3:9">
      <c r="C90" s="471" t="s">
        <v>88</v>
      </c>
      <c r="D90" s="472"/>
      <c r="E90" s="485"/>
      <c r="F90" s="31">
        <f>F87*12*4</f>
        <v>175968</v>
      </c>
      <c r="G90" s="21"/>
      <c r="H90" s="21"/>
      <c r="I90" s="21"/>
    </row>
    <row r="91" spans="3:9">
      <c r="C91" s="471" t="s">
        <v>89</v>
      </c>
      <c r="D91" s="472"/>
      <c r="E91" s="485"/>
      <c r="F91" s="21"/>
      <c r="G91" s="21"/>
      <c r="H91" s="21"/>
      <c r="I91" s="21"/>
    </row>
    <row r="92" spans="3:9">
      <c r="C92" s="471" t="s">
        <v>90</v>
      </c>
      <c r="D92" s="472"/>
      <c r="E92" s="485"/>
      <c r="F92" s="31">
        <f>F87</f>
        <v>3666</v>
      </c>
      <c r="G92" s="21"/>
      <c r="H92" s="21"/>
      <c r="I92" s="21"/>
    </row>
    <row r="93" spans="3:9">
      <c r="C93" s="486" t="s">
        <v>91</v>
      </c>
      <c r="D93" s="487"/>
      <c r="E93" s="488"/>
      <c r="F93" s="31">
        <f>F92*3</f>
        <v>10998</v>
      </c>
      <c r="G93" s="21"/>
      <c r="H93" s="21"/>
      <c r="I93" s="21"/>
    </row>
    <row r="94" spans="3:9">
      <c r="C94" s="486" t="s">
        <v>92</v>
      </c>
      <c r="D94" s="487"/>
      <c r="E94" s="488"/>
      <c r="F94" s="31">
        <f>F87</f>
        <v>3666</v>
      </c>
      <c r="G94" s="21"/>
      <c r="H94" s="21"/>
      <c r="I94" s="21"/>
    </row>
    <row r="95" spans="3:9">
      <c r="C95" s="486" t="s">
        <v>93</v>
      </c>
      <c r="D95" s="487"/>
      <c r="E95" s="488"/>
      <c r="F95" s="31">
        <f>F94*7</f>
        <v>25662</v>
      </c>
      <c r="G95" s="21"/>
      <c r="H95" s="21"/>
      <c r="I95" s="21"/>
    </row>
    <row r="96" spans="3:9">
      <c r="C96" s="486" t="s">
        <v>94</v>
      </c>
      <c r="D96" s="487"/>
      <c r="E96" s="488"/>
      <c r="F96" s="21"/>
      <c r="G96" s="21"/>
      <c r="H96" s="21"/>
      <c r="I96" s="21"/>
    </row>
    <row r="97" spans="3:10">
      <c r="C97" s="486" t="s">
        <v>95</v>
      </c>
      <c r="D97" s="487"/>
      <c r="E97" s="488"/>
      <c r="F97" s="21"/>
      <c r="G97" s="21"/>
      <c r="H97" s="21"/>
      <c r="I97" s="21"/>
    </row>
    <row r="98" spans="3:10">
      <c r="C98" s="486" t="s">
        <v>96</v>
      </c>
      <c r="D98" s="487"/>
      <c r="E98" s="488"/>
      <c r="F98" s="21"/>
      <c r="G98" s="21"/>
      <c r="H98" s="21"/>
      <c r="I98" s="21"/>
    </row>
    <row r="99" spans="3:10">
      <c r="C99" s="486" t="s">
        <v>97</v>
      </c>
      <c r="D99" s="487"/>
      <c r="E99" s="488"/>
      <c r="F99" s="21"/>
      <c r="G99" s="342" t="s">
        <v>463</v>
      </c>
      <c r="H99" s="21"/>
      <c r="I99" s="21"/>
    </row>
    <row r="100" spans="3:10">
      <c r="C100" s="477" t="s">
        <v>98</v>
      </c>
      <c r="D100" s="478"/>
      <c r="E100" s="479"/>
      <c r="F100" s="466">
        <v>11.52</v>
      </c>
      <c r="G100" s="465">
        <v>11.27</v>
      </c>
      <c r="H100" s="465"/>
      <c r="I100" s="465"/>
    </row>
    <row r="101" spans="3:10">
      <c r="C101" s="477" t="s">
        <v>99</v>
      </c>
      <c r="D101" s="478"/>
      <c r="E101" s="479"/>
      <c r="F101" s="466">
        <f>F100*151.67</f>
        <v>1747.2383999999997</v>
      </c>
      <c r="G101" s="465">
        <f>G100*151.67</f>
        <v>1709.3208999999997</v>
      </c>
      <c r="H101" s="465"/>
      <c r="I101" s="465"/>
    </row>
    <row r="102" spans="3:10">
      <c r="C102" s="477" t="s">
        <v>100</v>
      </c>
      <c r="D102" s="478"/>
      <c r="E102" s="479"/>
      <c r="F102" s="465">
        <f>1.6*F101</f>
        <v>2795.5814399999999</v>
      </c>
      <c r="G102" s="465">
        <f>1.6*G101</f>
        <v>2734.9134399999998</v>
      </c>
      <c r="H102" s="465"/>
      <c r="I102" s="465"/>
      <c r="J102" s="401" t="s">
        <v>597</v>
      </c>
    </row>
    <row r="103" spans="3:10">
      <c r="C103" s="477" t="s">
        <v>101</v>
      </c>
      <c r="D103" s="478"/>
      <c r="E103" s="479"/>
      <c r="F103" s="465">
        <f>2.5*F101</f>
        <v>4368.0959999999995</v>
      </c>
      <c r="G103" s="465">
        <f>2.5*G101</f>
        <v>4273.3022499999988</v>
      </c>
      <c r="H103" s="465"/>
      <c r="I103" s="465"/>
    </row>
    <row r="104" spans="3:10">
      <c r="C104" s="477" t="s">
        <v>102</v>
      </c>
      <c r="D104" s="478"/>
      <c r="E104" s="479"/>
      <c r="F104" s="465">
        <f>3.5*F101</f>
        <v>6115.3343999999988</v>
      </c>
      <c r="G104" s="465">
        <f>3.5*G101</f>
        <v>5982.6231499999994</v>
      </c>
      <c r="H104" s="465"/>
      <c r="I104" s="465"/>
    </row>
    <row r="105" spans="3:10">
      <c r="C105" s="480" t="s">
        <v>103</v>
      </c>
      <c r="D105" s="481"/>
      <c r="E105" s="481"/>
      <c r="F105" s="19"/>
      <c r="G105" s="19"/>
      <c r="H105" s="19"/>
      <c r="I105" s="19"/>
    </row>
    <row r="106" spans="3:10">
      <c r="C106" s="471" t="s">
        <v>79</v>
      </c>
      <c r="D106" s="472"/>
      <c r="E106" s="472"/>
      <c r="F106" s="22">
        <v>6.7999999999999996E-3</v>
      </c>
      <c r="G106" s="21"/>
      <c r="H106" s="21"/>
      <c r="I106" s="21"/>
    </row>
    <row r="107" spans="3:10">
      <c r="C107" s="471"/>
      <c r="D107" s="472"/>
      <c r="E107" s="472"/>
      <c r="F107" s="21"/>
      <c r="G107" s="21"/>
      <c r="H107" s="21"/>
      <c r="I107" s="21"/>
    </row>
    <row r="108" spans="3:10">
      <c r="C108" s="471"/>
      <c r="D108" s="472"/>
      <c r="E108" s="472"/>
      <c r="F108" s="21"/>
      <c r="G108" s="21"/>
      <c r="H108" s="21"/>
      <c r="I108" s="21"/>
    </row>
    <row r="109" spans="3:10">
      <c r="C109" s="473"/>
      <c r="D109" s="474"/>
      <c r="E109" s="474"/>
      <c r="F109" s="27"/>
      <c r="G109" s="27"/>
      <c r="H109" s="27"/>
      <c r="I109" s="27"/>
    </row>
    <row r="110" spans="3:10">
      <c r="C110" s="475" t="s">
        <v>104</v>
      </c>
      <c r="D110" s="476"/>
      <c r="E110" s="476"/>
      <c r="F110" s="27">
        <f>IF(F18&lt;50,0.3191,0.3231)</f>
        <v>0.31909999999999999</v>
      </c>
      <c r="G110" s="27"/>
      <c r="H110" s="27"/>
      <c r="I110" s="32"/>
    </row>
  </sheetData>
  <mergeCells count="92">
    <mergeCell ref="C23:E23"/>
    <mergeCell ref="B2:J2"/>
    <mergeCell ref="B3:E3"/>
    <mergeCell ref="F3:J3"/>
    <mergeCell ref="F13:G13"/>
    <mergeCell ref="B14:C14"/>
    <mergeCell ref="C18:E18"/>
    <mergeCell ref="C20:E20"/>
    <mergeCell ref="C21:E21"/>
    <mergeCell ref="C22:E22"/>
    <mergeCell ref="C39:E39"/>
    <mergeCell ref="C25:E25"/>
    <mergeCell ref="C26:E26"/>
    <mergeCell ref="C29:I29"/>
    <mergeCell ref="C30:E30"/>
    <mergeCell ref="C31:E31"/>
    <mergeCell ref="C32:E32"/>
    <mergeCell ref="C33:E33"/>
    <mergeCell ref="C34:E34"/>
    <mergeCell ref="C35:E35"/>
    <mergeCell ref="C36:E36"/>
    <mergeCell ref="C38:E38"/>
    <mergeCell ref="C51:E51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64:E64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76:E76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88:E88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100:E100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7:E107"/>
    <mergeCell ref="C108:E108"/>
    <mergeCell ref="C109:E109"/>
    <mergeCell ref="C110:E110"/>
    <mergeCell ref="C101:E101"/>
    <mergeCell ref="C102:E102"/>
    <mergeCell ref="C103:E103"/>
    <mergeCell ref="C104:E104"/>
    <mergeCell ref="C105:E105"/>
    <mergeCell ref="C106:E106"/>
  </mergeCells>
  <dataValidations count="2">
    <dataValidation type="list" allowBlank="1" showErrorMessage="1" errorTitle="entrée non valide" error="Sélectionnez un statut dans la liste" sqref="G15">
      <formula1>$M$2:$M$12</formula1>
    </dataValidation>
    <dataValidation type="list" allowBlank="1" showInputMessage="1" showErrorMessage="1" errorTitle="Entrée non valide" error="Sélectionnez un statut dans la liste " promptTitle="Statut " prompt="Selectionnez un statut dans la liste " sqref="J10">
      <formula1>$M$3:$M$6</formula1>
    </dataValidation>
  </dataValidations>
  <hyperlinks>
    <hyperlink ref="C12" r:id="rId1"/>
  </hyperlinks>
  <pageMargins left="0.7" right="0.7" top="0.75" bottom="0.75" header="0.3" footer="0.3"/>
  <pageSetup paperSize="9" orientation="portrait" horizontalDpi="4294967294"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2:Q98"/>
  <sheetViews>
    <sheetView showGridLines="0" tabSelected="1" topLeftCell="A55" zoomScalePageLayoutView="112" workbookViewId="0">
      <selection activeCell="G69" sqref="G69"/>
    </sheetView>
  </sheetViews>
  <sheetFormatPr baseColWidth="10" defaultRowHeight="15"/>
  <cols>
    <col min="1" max="1" width="6.28515625" customWidth="1"/>
    <col min="2" max="2" width="13.5703125" customWidth="1"/>
    <col min="3" max="3" width="9.28515625" customWidth="1"/>
    <col min="4" max="4" width="27.28515625" customWidth="1"/>
    <col min="5" max="5" width="17.85546875" bestFit="1" customWidth="1"/>
    <col min="6" max="6" width="15" customWidth="1"/>
    <col min="7" max="7" width="13.42578125" customWidth="1"/>
    <col min="8" max="8" width="13.140625" bestFit="1" customWidth="1"/>
    <col min="9" max="9" width="11.5703125" bestFit="1" customWidth="1"/>
    <col min="10" max="10" width="12.28515625" bestFit="1" customWidth="1"/>
    <col min="12" max="12" width="11.5703125" bestFit="1" customWidth="1"/>
    <col min="13" max="13" width="20" customWidth="1"/>
    <col min="14" max="14" width="8.42578125" customWidth="1"/>
    <col min="15" max="15" width="14.140625" customWidth="1"/>
    <col min="16" max="16" width="8.140625" customWidth="1"/>
    <col min="17" max="17" width="10.28515625" customWidth="1"/>
    <col min="18" max="18" width="11.42578125" customWidth="1"/>
  </cols>
  <sheetData>
    <row r="2" spans="2:15" ht="15.75">
      <c r="B2" s="597" t="s">
        <v>105</v>
      </c>
      <c r="C2" s="598"/>
      <c r="D2" s="598"/>
      <c r="E2" s="598"/>
      <c r="F2" s="598"/>
      <c r="G2" s="598"/>
      <c r="H2" s="598"/>
      <c r="I2" s="598"/>
      <c r="J2" s="599"/>
      <c r="M2" s="8" t="s">
        <v>185</v>
      </c>
      <c r="N2" s="49">
        <f>IF(O6="janvier",'Données 2023'!L71,IF('BULLETIN '!O6="fevrier",'Données 2023'!L72,IF('BULLETIN '!O6="mars",'Données 2023'!L73,IF('BULLETIN '!O6="avril",'Données 2023'!L74,IF('BULLETIN '!O6="mai",'Données 2023'!L75,IF('BULLETIN '!O6="juin",'Données 2023'!L76,IF('BULLETIN '!O6="juillet",'Données 2023'!L77,IF('BULLETIN '!O6="août",'Données 2023'!L78,IF('BULLETIN '!O6="septembre",'Données 2023'!L79,IF('BULLETIN '!O6="octobre",'Données 2023'!L80,IF('BULLETIN '!O6="novembre",'Données 2023'!L81,'Données 2023'!L82)))))))))))</f>
        <v>2000</v>
      </c>
      <c r="O2" s="216"/>
    </row>
    <row r="3" spans="2:15">
      <c r="B3" s="594" t="s">
        <v>161</v>
      </c>
      <c r="C3" s="595"/>
      <c r="D3" s="595"/>
      <c r="E3" s="596"/>
      <c r="F3" s="594" t="s">
        <v>162</v>
      </c>
      <c r="G3" s="595"/>
      <c r="H3" s="595"/>
      <c r="I3" s="595"/>
      <c r="J3" s="596"/>
      <c r="M3" s="8" t="s">
        <v>186</v>
      </c>
      <c r="N3" s="49">
        <f>IF(O6="janvier",'Données 2023'!Q71,IF('BULLETIN '!O7="fevrier",'Données 2023'!Q72,IF('BULLETIN '!O7="mars",'Données 2023'!Q73,IF('BULLETIN '!O7="avril",'Données 2023'!Q74,IF('BULLETIN '!O7="mai",'Données 2023'!Q75,IF('BULLETIN '!O7="juin",'Données 2023'!Q76,IF('BULLETIN '!O7="juillet",'Données 2023'!Q77,IF('BULLETIN '!O7="août",'Données 2023'!Q78,IF('BULLETIN '!O7="septembre",'Données 2023'!Q79,IF('BULLETIN '!O7="octobre",'Données 2023'!Q80,IF('BULLETIN '!O7="novembre",'Données 2023'!Q81,'Données 2023'!Q82)))))))))))</f>
        <v>0</v>
      </c>
      <c r="O3" s="203"/>
    </row>
    <row r="4" spans="2:15">
      <c r="B4" s="210" t="s">
        <v>163</v>
      </c>
      <c r="C4" s="212" t="str">
        <f>COTISATIONS!C4</f>
        <v>SARL TIQUETAK</v>
      </c>
      <c r="D4" s="208"/>
      <c r="E4" s="209"/>
      <c r="F4" s="208" t="s">
        <v>163</v>
      </c>
      <c r="G4" s="212" t="str">
        <f>COTISATIONS!G4</f>
        <v>M. MONSAIN</v>
      </c>
      <c r="H4" s="92"/>
      <c r="I4" s="9"/>
      <c r="J4" s="48"/>
      <c r="M4" s="8" t="s">
        <v>187</v>
      </c>
      <c r="N4" s="410">
        <f>COTISATIONS!F87</f>
        <v>3666</v>
      </c>
      <c r="O4" s="79"/>
    </row>
    <row r="5" spans="2:15">
      <c r="B5" s="210" t="s">
        <v>0</v>
      </c>
      <c r="C5" s="212" t="str">
        <f>COTISATIONS!C5</f>
        <v>rue de l'horloge</v>
      </c>
      <c r="D5" s="208"/>
      <c r="E5" s="209"/>
      <c r="F5" s="208" t="s">
        <v>2</v>
      </c>
      <c r="G5" s="212" t="str">
        <f>COTISATIONS!G5</f>
        <v>Michel</v>
      </c>
      <c r="H5" s="92"/>
      <c r="I5" s="9"/>
      <c r="J5" s="48"/>
      <c r="M5" s="216" t="s">
        <v>382</v>
      </c>
      <c r="N5" s="203">
        <v>2.8000000000000001E-2</v>
      </c>
      <c r="O5" s="49">
        <f>N4*N5</f>
        <v>102.648</v>
      </c>
    </row>
    <row r="6" spans="2:15">
      <c r="B6" s="210" t="s">
        <v>164</v>
      </c>
      <c r="C6" s="459">
        <f>COTISATIONS!C6</f>
        <v>0</v>
      </c>
      <c r="D6" s="208"/>
      <c r="E6" s="209"/>
      <c r="F6" s="208" t="s">
        <v>170</v>
      </c>
      <c r="G6" s="212" t="str">
        <f>COTISATIONS!G6</f>
        <v>2 75 88200000</v>
      </c>
      <c r="H6" s="92"/>
      <c r="I6" s="9"/>
      <c r="J6" s="48"/>
      <c r="M6" s="225" t="s">
        <v>260</v>
      </c>
      <c r="N6" s="411"/>
      <c r="O6" s="227" t="str">
        <f>COTISATIONS!I17</f>
        <v>janvier</v>
      </c>
    </row>
    <row r="7" spans="2:15">
      <c r="B7" s="210" t="s">
        <v>164</v>
      </c>
      <c r="C7" s="459">
        <f>COTISATIONS!C7</f>
        <v>0</v>
      </c>
      <c r="D7" s="208"/>
      <c r="E7" s="209"/>
      <c r="F7" s="204" t="s">
        <v>0</v>
      </c>
      <c r="G7" s="212" t="str">
        <f>COTISATIONS!G7</f>
        <v>19 Rue Neuve d'Argenson</v>
      </c>
      <c r="H7" s="92"/>
      <c r="I7" s="9"/>
      <c r="J7" s="48"/>
    </row>
    <row r="8" spans="2:15">
      <c r="B8" s="210" t="s">
        <v>165</v>
      </c>
      <c r="C8" s="248">
        <f>COTISATIONS!C8</f>
        <v>76000</v>
      </c>
      <c r="D8" s="208"/>
      <c r="E8" s="209"/>
      <c r="F8" s="204" t="s">
        <v>3</v>
      </c>
      <c r="G8" s="212" t="str">
        <f>COTISATIONS!G8</f>
        <v xml:space="preserve">24100 Bergerac </v>
      </c>
      <c r="H8" s="92"/>
      <c r="I8" s="9"/>
      <c r="J8" s="48"/>
    </row>
    <row r="9" spans="2:15">
      <c r="B9" s="210" t="s">
        <v>166</v>
      </c>
      <c r="C9" s="212" t="str">
        <f>COTISATIONS!C9</f>
        <v>ROUEN</v>
      </c>
      <c r="D9" s="208"/>
      <c r="E9" s="209"/>
      <c r="F9" s="204" t="s">
        <v>171</v>
      </c>
      <c r="G9" s="212" t="str">
        <f>COTISATIONS!G9</f>
        <v xml:space="preserve">Caissière </v>
      </c>
      <c r="H9" s="92"/>
      <c r="I9" s="9"/>
      <c r="J9" s="48"/>
    </row>
    <row r="10" spans="2:15">
      <c r="B10" s="210" t="s">
        <v>167</v>
      </c>
      <c r="C10" s="608">
        <f>COTISATIONS!C10</f>
        <v>5896872480054</v>
      </c>
      <c r="D10" s="608"/>
      <c r="E10" s="209"/>
      <c r="F10" s="204" t="s">
        <v>172</v>
      </c>
      <c r="G10" s="458">
        <f>COTISATIONS!G10</f>
        <v>0</v>
      </c>
      <c r="H10" s="92"/>
      <c r="I10" s="208" t="s">
        <v>5</v>
      </c>
      <c r="J10" s="93" t="str">
        <f>COTISATIONS!J10</f>
        <v>Dirigeant</v>
      </c>
    </row>
    <row r="11" spans="2:15">
      <c r="B11" s="210" t="s">
        <v>6</v>
      </c>
      <c r="C11" s="212" t="str">
        <f>COTISATIONS!C11</f>
        <v xml:space="preserve">9525 Z </v>
      </c>
      <c r="D11" s="208"/>
      <c r="E11" s="209"/>
      <c r="F11" s="204" t="s">
        <v>173</v>
      </c>
      <c r="G11" s="458">
        <f>COTISATIONS!G11</f>
        <v>0</v>
      </c>
      <c r="H11" s="92"/>
      <c r="I11" s="208" t="s">
        <v>176</v>
      </c>
      <c r="J11" s="253">
        <f>COTISATIONS!J11</f>
        <v>0</v>
      </c>
    </row>
    <row r="12" spans="2:15">
      <c r="B12" s="210" t="s">
        <v>168</v>
      </c>
      <c r="C12" s="222" t="str">
        <f>COTISATIONS!C12</f>
        <v>www.tiquetak.com</v>
      </c>
      <c r="D12" s="208"/>
      <c r="E12" s="209"/>
      <c r="F12" s="204" t="s">
        <v>174</v>
      </c>
      <c r="G12" s="458">
        <f>COTISATIONS!G12</f>
        <v>0</v>
      </c>
      <c r="H12" s="92"/>
      <c r="I12" s="208" t="s">
        <v>177</v>
      </c>
      <c r="J12" s="93">
        <f>COTISATIONS!J12</f>
        <v>0</v>
      </c>
    </row>
    <row r="13" spans="2:15">
      <c r="B13" s="210" t="s">
        <v>9</v>
      </c>
      <c r="C13" s="609">
        <f>COTISATIONS!C13</f>
        <v>76386787612</v>
      </c>
      <c r="D13" s="609"/>
      <c r="E13" s="209"/>
      <c r="F13" s="471" t="s">
        <v>175</v>
      </c>
      <c r="G13" s="472"/>
      <c r="H13" s="92" t="str">
        <f>COTISATIONS!H13</f>
        <v>35h</v>
      </c>
      <c r="I13" s="208"/>
      <c r="J13" s="209"/>
    </row>
    <row r="14" spans="2:15">
      <c r="B14" s="490" t="s">
        <v>7</v>
      </c>
      <c r="C14" s="491"/>
      <c r="D14" s="385" t="str">
        <f>COTISATIONS!D14</f>
        <v>Réparation d'articles d'horlogerie et de bijouterie</v>
      </c>
      <c r="E14" s="209"/>
      <c r="F14" s="228" t="s">
        <v>386</v>
      </c>
      <c r="G14" s="208"/>
      <c r="H14" s="9"/>
      <c r="I14" s="9"/>
      <c r="J14" s="48"/>
    </row>
    <row r="15" spans="2:15">
      <c r="B15" s="207"/>
      <c r="C15" s="208"/>
      <c r="D15" s="208"/>
      <c r="E15" s="209"/>
      <c r="F15" s="204"/>
      <c r="G15" s="208"/>
      <c r="H15" s="9"/>
      <c r="I15" s="9"/>
      <c r="J15" s="48"/>
    </row>
    <row r="16" spans="2:15" ht="15.75" thickBot="1">
      <c r="B16" s="207"/>
      <c r="C16" s="208"/>
      <c r="D16" s="208"/>
      <c r="E16" s="209"/>
      <c r="F16" s="208"/>
      <c r="G16" s="208"/>
      <c r="H16" s="9"/>
      <c r="I16" s="9"/>
      <c r="J16" s="48"/>
    </row>
    <row r="17" spans="2:12">
      <c r="B17" s="235"/>
      <c r="C17" s="44"/>
      <c r="D17" s="45" t="s">
        <v>169</v>
      </c>
      <c r="E17" s="233">
        <f>COTISATIONS!E17</f>
        <v>44927</v>
      </c>
      <c r="F17" s="232" t="s">
        <v>384</v>
      </c>
      <c r="G17" s="267">
        <f>COTISATIONS!G17</f>
        <v>44957</v>
      </c>
      <c r="H17" s="340"/>
      <c r="I17" s="36"/>
      <c r="J17" s="268"/>
    </row>
    <row r="18" spans="2:12" ht="15.75" thickBot="1">
      <c r="B18" s="600" t="s">
        <v>106</v>
      </c>
      <c r="C18" s="601"/>
      <c r="D18" s="601"/>
      <c r="E18" s="601"/>
      <c r="F18" s="601"/>
      <c r="G18" s="601"/>
      <c r="H18" s="602"/>
      <c r="I18" s="602"/>
      <c r="J18" s="603"/>
    </row>
    <row r="19" spans="2:12" ht="29.25" customHeight="1">
      <c r="B19" s="572" t="s">
        <v>112</v>
      </c>
      <c r="C19" s="573"/>
      <c r="D19" s="574"/>
      <c r="E19" s="223" t="s">
        <v>110</v>
      </c>
      <c r="F19" s="224" t="s">
        <v>109</v>
      </c>
      <c r="G19" s="42"/>
      <c r="H19" s="224" t="s">
        <v>110</v>
      </c>
      <c r="I19" s="224" t="s">
        <v>108</v>
      </c>
      <c r="J19" s="224" t="s">
        <v>107</v>
      </c>
    </row>
    <row r="20" spans="2:12">
      <c r="B20" s="604" t="s">
        <v>179</v>
      </c>
      <c r="C20" s="605"/>
      <c r="D20" s="605"/>
      <c r="E20" s="19"/>
      <c r="F20" s="226"/>
      <c r="G20" s="216"/>
      <c r="H20" s="49">
        <v>151.66999999999999</v>
      </c>
      <c r="I20" s="202">
        <f>J20/H20</f>
        <v>13.18652337311268</v>
      </c>
      <c r="J20" s="254">
        <v>2000</v>
      </c>
    </row>
    <row r="21" spans="2:12">
      <c r="B21" s="493" t="s">
        <v>378</v>
      </c>
      <c r="C21" s="498"/>
      <c r="D21" s="498"/>
      <c r="E21" s="21"/>
      <c r="F21" s="226"/>
      <c r="G21" s="216"/>
      <c r="H21" s="49"/>
      <c r="I21" s="216"/>
      <c r="J21" s="254">
        <f t="shared" ref="J21:J30" si="0">H21*I21</f>
        <v>0</v>
      </c>
      <c r="L21" s="196" t="s">
        <v>383</v>
      </c>
    </row>
    <row r="22" spans="2:12">
      <c r="B22" s="493" t="s">
        <v>180</v>
      </c>
      <c r="C22" s="498"/>
      <c r="D22" s="498"/>
      <c r="E22" s="21"/>
      <c r="F22" s="226"/>
      <c r="G22" s="216"/>
      <c r="H22" s="49"/>
      <c r="I22" s="49">
        <f>I20*1.1</f>
        <v>14.505175710423948</v>
      </c>
      <c r="J22" s="254">
        <f t="shared" si="0"/>
        <v>0</v>
      </c>
      <c r="L22" s="197">
        <f>J22+J23+J24+J25</f>
        <v>0</v>
      </c>
    </row>
    <row r="23" spans="2:12">
      <c r="B23" s="493" t="s">
        <v>181</v>
      </c>
      <c r="C23" s="498"/>
      <c r="D23" s="498"/>
      <c r="E23" s="21"/>
      <c r="F23" s="226"/>
      <c r="G23" s="216"/>
      <c r="H23" s="49"/>
      <c r="I23" s="49">
        <f>I20*1.25</f>
        <v>16.483154216390851</v>
      </c>
      <c r="J23" s="254">
        <f t="shared" si="0"/>
        <v>0</v>
      </c>
    </row>
    <row r="24" spans="2:12">
      <c r="B24" s="493" t="s">
        <v>182</v>
      </c>
      <c r="C24" s="498"/>
      <c r="D24" s="498"/>
      <c r="E24" s="21"/>
      <c r="F24" s="226"/>
      <c r="G24" s="216"/>
      <c r="H24" s="49"/>
      <c r="I24" s="245">
        <f>I20*1.5</f>
        <v>19.77978505966902</v>
      </c>
      <c r="J24" s="254">
        <f t="shared" si="0"/>
        <v>0</v>
      </c>
    </row>
    <row r="25" spans="2:12">
      <c r="B25" s="493" t="s">
        <v>183</v>
      </c>
      <c r="C25" s="498"/>
      <c r="D25" s="498"/>
      <c r="E25" s="21"/>
      <c r="F25" s="226"/>
      <c r="G25" s="216"/>
      <c r="H25" s="49"/>
      <c r="I25" s="49">
        <f>I20*2</f>
        <v>26.373046746225359</v>
      </c>
      <c r="J25" s="254">
        <f t="shared" si="0"/>
        <v>0</v>
      </c>
      <c r="L25" s="196" t="s">
        <v>381</v>
      </c>
    </row>
    <row r="26" spans="2:12">
      <c r="B26" s="493" t="s">
        <v>379</v>
      </c>
      <c r="C26" s="498"/>
      <c r="D26" s="498"/>
      <c r="E26" s="21"/>
      <c r="F26" s="226"/>
      <c r="G26" s="216"/>
      <c r="H26" s="49"/>
      <c r="I26" s="216"/>
      <c r="J26" s="254">
        <f t="shared" si="0"/>
        <v>0</v>
      </c>
      <c r="L26" s="264" t="s">
        <v>390</v>
      </c>
    </row>
    <row r="27" spans="2:12">
      <c r="B27" s="493" t="s">
        <v>184</v>
      </c>
      <c r="C27" s="498"/>
      <c r="D27" s="498"/>
      <c r="E27" s="21"/>
      <c r="F27" s="226"/>
      <c r="G27" s="216"/>
      <c r="H27" s="49"/>
      <c r="I27" s="216"/>
      <c r="J27" s="254">
        <f t="shared" si="0"/>
        <v>0</v>
      </c>
    </row>
    <row r="28" spans="2:12">
      <c r="B28" s="493" t="s">
        <v>415</v>
      </c>
      <c r="C28" s="498"/>
      <c r="D28" s="498"/>
      <c r="E28" s="21"/>
      <c r="F28" s="226"/>
      <c r="G28" s="216"/>
      <c r="H28" s="49"/>
      <c r="I28" s="216"/>
      <c r="J28" s="254">
        <f t="shared" si="0"/>
        <v>0</v>
      </c>
    </row>
    <row r="29" spans="2:12">
      <c r="B29" s="493" t="s">
        <v>416</v>
      </c>
      <c r="C29" s="498"/>
      <c r="D29" s="498"/>
      <c r="E29" s="21"/>
      <c r="F29" s="226"/>
      <c r="G29" s="216"/>
      <c r="H29" s="49"/>
      <c r="I29" s="216"/>
      <c r="J29" s="254">
        <f t="shared" si="0"/>
        <v>0</v>
      </c>
    </row>
    <row r="30" spans="2:12">
      <c r="B30" s="493"/>
      <c r="C30" s="498"/>
      <c r="D30" s="498"/>
      <c r="E30" s="21"/>
      <c r="F30" s="40"/>
      <c r="G30" s="19"/>
      <c r="H30" s="278"/>
      <c r="I30" s="19"/>
      <c r="J30" s="254">
        <f t="shared" si="0"/>
        <v>0</v>
      </c>
    </row>
    <row r="31" spans="2:12">
      <c r="B31" s="561" t="s">
        <v>191</v>
      </c>
      <c r="C31" s="562"/>
      <c r="D31" s="562"/>
      <c r="E31" s="27"/>
      <c r="F31" s="540" t="s">
        <v>192</v>
      </c>
      <c r="G31" s="541"/>
      <c r="H31" s="541"/>
      <c r="I31" s="542"/>
      <c r="J31" s="255">
        <f>SUM(J20:J30)</f>
        <v>2000</v>
      </c>
    </row>
    <row r="32" spans="2:12" ht="15" customHeight="1">
      <c r="B32" s="569" t="s">
        <v>111</v>
      </c>
      <c r="C32" s="570"/>
      <c r="D32" s="570"/>
      <c r="E32" s="571"/>
      <c r="F32" s="610" t="s">
        <v>110</v>
      </c>
      <c r="G32" s="572" t="s">
        <v>144</v>
      </c>
      <c r="H32" s="574"/>
      <c r="I32" s="572" t="s">
        <v>143</v>
      </c>
      <c r="J32" s="590"/>
    </row>
    <row r="33" spans="2:12">
      <c r="B33" s="572"/>
      <c r="C33" s="573"/>
      <c r="D33" s="573"/>
      <c r="E33" s="574"/>
      <c r="F33" s="611"/>
      <c r="G33" s="41" t="s">
        <v>108</v>
      </c>
      <c r="H33" s="41" t="s">
        <v>107</v>
      </c>
      <c r="I33" s="41" t="s">
        <v>108</v>
      </c>
      <c r="J33" s="41" t="s">
        <v>107</v>
      </c>
    </row>
    <row r="34" spans="2:12">
      <c r="B34" s="591" t="s">
        <v>113</v>
      </c>
      <c r="C34" s="592"/>
      <c r="D34" s="592"/>
      <c r="E34" s="592"/>
      <c r="F34" s="592"/>
      <c r="G34" s="592"/>
      <c r="H34" s="592"/>
      <c r="I34" s="592"/>
      <c r="J34" s="593"/>
    </row>
    <row r="35" spans="2:12">
      <c r="B35" s="506" t="s">
        <v>114</v>
      </c>
      <c r="C35" s="507"/>
      <c r="D35" s="507"/>
      <c r="E35" s="507"/>
      <c r="F35" s="205"/>
      <c r="G35" s="205"/>
      <c r="H35" s="205"/>
      <c r="I35" s="205"/>
      <c r="J35" s="206"/>
    </row>
    <row r="36" spans="2:12">
      <c r="B36" s="493" t="s">
        <v>115</v>
      </c>
      <c r="C36" s="498"/>
      <c r="D36" s="498"/>
      <c r="E36" s="498"/>
      <c r="F36" s="258">
        <f>J31</f>
        <v>2000</v>
      </c>
      <c r="G36" s="219"/>
      <c r="H36" s="252"/>
      <c r="I36" s="63">
        <f>COTISATIONS!F33</f>
        <v>7.0000000000000007E-2</v>
      </c>
      <c r="J36" s="251">
        <f t="shared" ref="J36:J63" si="1">F36*I36</f>
        <v>140</v>
      </c>
    </row>
    <row r="37" spans="2:12">
      <c r="B37" s="493" t="s">
        <v>116</v>
      </c>
      <c r="C37" s="498"/>
      <c r="D37" s="498"/>
      <c r="E37" s="498"/>
      <c r="F37" s="258">
        <f>IF(J31&gt;COTISATIONS!F103,'BULLETIN '!J31,0)</f>
        <v>0</v>
      </c>
      <c r="G37" s="219"/>
      <c r="H37" s="252"/>
      <c r="I37" s="63">
        <f>COTISATIONS!F32</f>
        <v>0.06</v>
      </c>
      <c r="J37" s="251">
        <f t="shared" si="1"/>
        <v>0</v>
      </c>
    </row>
    <row r="38" spans="2:12">
      <c r="B38" s="493" t="s">
        <v>193</v>
      </c>
      <c r="C38" s="498"/>
      <c r="D38" s="498"/>
      <c r="E38" s="498"/>
      <c r="F38" s="259">
        <f>COTISATIONS!H21</f>
        <v>3666</v>
      </c>
      <c r="G38" s="63">
        <f>COTISATIONS!F21</f>
        <v>1.3999999999999999E-2</v>
      </c>
      <c r="H38" s="252">
        <f>G38*F38</f>
        <v>51.323999999999998</v>
      </c>
      <c r="I38" s="63">
        <f>G38</f>
        <v>1.3999999999999999E-2</v>
      </c>
      <c r="J38" s="251">
        <f t="shared" si="1"/>
        <v>51.323999999999998</v>
      </c>
    </row>
    <row r="39" spans="2:12">
      <c r="B39" s="506" t="s">
        <v>117</v>
      </c>
      <c r="C39" s="507"/>
      <c r="D39" s="507"/>
      <c r="E39" s="507"/>
      <c r="F39" s="258">
        <f>J31</f>
        <v>2000</v>
      </c>
      <c r="G39" s="95"/>
      <c r="H39" s="252"/>
      <c r="I39" s="78">
        <f>COTISATIONS!F25</f>
        <v>0.03</v>
      </c>
      <c r="J39" s="251">
        <f t="shared" si="1"/>
        <v>60</v>
      </c>
      <c r="L39" s="265"/>
    </row>
    <row r="40" spans="2:12">
      <c r="B40" s="506" t="s">
        <v>118</v>
      </c>
      <c r="C40" s="507"/>
      <c r="D40" s="507"/>
      <c r="E40" s="507"/>
      <c r="F40" s="258"/>
      <c r="G40" s="219"/>
      <c r="H40" s="252"/>
      <c r="I40" s="219"/>
      <c r="J40" s="251"/>
    </row>
    <row r="41" spans="2:12">
      <c r="B41" s="493" t="s">
        <v>119</v>
      </c>
      <c r="C41" s="498"/>
      <c r="D41" s="498"/>
      <c r="E41" s="498"/>
      <c r="F41" s="258">
        <f>C93</f>
        <v>2000</v>
      </c>
      <c r="G41" s="63">
        <f>COTISATIONS!G35</f>
        <v>6.9000000000000006E-2</v>
      </c>
      <c r="H41" s="252">
        <f t="shared" ref="H41:H66" si="2">F41*G41</f>
        <v>138</v>
      </c>
      <c r="I41" s="63">
        <f>COTISATIONS!F35</f>
        <v>8.5500000000000007E-2</v>
      </c>
      <c r="J41" s="251">
        <f t="shared" si="1"/>
        <v>171</v>
      </c>
    </row>
    <row r="42" spans="2:12">
      <c r="B42" s="493" t="s">
        <v>120</v>
      </c>
      <c r="C42" s="498"/>
      <c r="D42" s="498"/>
      <c r="E42" s="498"/>
      <c r="F42" s="258">
        <f>J31</f>
        <v>2000</v>
      </c>
      <c r="G42" s="63">
        <f>COTISATIONS!G36</f>
        <v>4.0000000000000001E-3</v>
      </c>
      <c r="H42" s="252">
        <f t="shared" si="2"/>
        <v>8</v>
      </c>
      <c r="I42" s="63">
        <f>COTISATIONS!F36</f>
        <v>1.9E-2</v>
      </c>
      <c r="J42" s="251">
        <f t="shared" si="1"/>
        <v>38</v>
      </c>
    </row>
    <row r="43" spans="2:12">
      <c r="B43" s="493" t="s">
        <v>68</v>
      </c>
      <c r="C43" s="498"/>
      <c r="D43" s="498"/>
      <c r="E43" s="498"/>
      <c r="F43" s="258">
        <f>C93</f>
        <v>2000</v>
      </c>
      <c r="G43" s="63">
        <f>COTISATIONS!G68</f>
        <v>4.0099999999999997E-2</v>
      </c>
      <c r="H43" s="252">
        <f t="shared" si="2"/>
        <v>80.199999999999989</v>
      </c>
      <c r="I43" s="63">
        <f>COTISATIONS!F68</f>
        <v>6.0100000000000001E-2</v>
      </c>
      <c r="J43" s="251">
        <f t="shared" si="1"/>
        <v>120.2</v>
      </c>
    </row>
    <row r="44" spans="2:12">
      <c r="B44" s="493" t="s">
        <v>69</v>
      </c>
      <c r="C44" s="498"/>
      <c r="D44" s="498"/>
      <c r="E44" s="498"/>
      <c r="F44" s="258">
        <f>D93</f>
        <v>0</v>
      </c>
      <c r="G44" s="63">
        <f>COTISATIONS!G69</f>
        <v>9.7199999999999995E-2</v>
      </c>
      <c r="H44" s="252">
        <f t="shared" si="2"/>
        <v>0</v>
      </c>
      <c r="I44" s="63">
        <f>COTISATIONS!F69</f>
        <v>0.1457</v>
      </c>
      <c r="J44" s="251">
        <f t="shared" si="1"/>
        <v>0</v>
      </c>
    </row>
    <row r="45" spans="2:12">
      <c r="B45" s="493" t="s">
        <v>121</v>
      </c>
      <c r="C45" s="498"/>
      <c r="D45" s="498"/>
      <c r="E45" s="498"/>
      <c r="F45" s="258">
        <f>IF(J31&gt;=N4,C93+D93,0)</f>
        <v>0</v>
      </c>
      <c r="G45" s="63">
        <f>COTISATIONS!G61</f>
        <v>1.4E-3</v>
      </c>
      <c r="H45" s="252">
        <f t="shared" si="2"/>
        <v>0</v>
      </c>
      <c r="I45" s="63">
        <f>COTISATIONS!F61</f>
        <v>2.0999999999999999E-3</v>
      </c>
      <c r="J45" s="251">
        <f t="shared" si="1"/>
        <v>0</v>
      </c>
    </row>
    <row r="46" spans="2:12">
      <c r="B46" s="575" t="s">
        <v>122</v>
      </c>
      <c r="C46" s="576"/>
      <c r="D46" s="576"/>
      <c r="E46" s="576"/>
      <c r="F46" s="258"/>
      <c r="G46" s="219"/>
      <c r="H46" s="252"/>
      <c r="I46" s="219"/>
      <c r="J46" s="251"/>
    </row>
    <row r="47" spans="2:12">
      <c r="B47" s="493" t="s">
        <v>123</v>
      </c>
      <c r="C47" s="498"/>
      <c r="D47" s="498"/>
      <c r="E47" s="498"/>
      <c r="F47" s="258">
        <f>J31</f>
        <v>2000</v>
      </c>
      <c r="G47" s="219"/>
      <c r="H47" s="252"/>
      <c r="I47" s="63">
        <f>COTISATIONS!F39</f>
        <v>3.4500000000000003E-2</v>
      </c>
      <c r="J47" s="251">
        <f t="shared" si="1"/>
        <v>69</v>
      </c>
    </row>
    <row r="48" spans="2:12">
      <c r="B48" s="493" t="s">
        <v>31</v>
      </c>
      <c r="C48" s="498"/>
      <c r="D48" s="498"/>
      <c r="E48" s="498"/>
      <c r="F48" s="258">
        <f>IF(J31&gt;COTISATIONS!F104,'BULLETIN '!J31,0)</f>
        <v>0</v>
      </c>
      <c r="G48" s="219"/>
      <c r="H48" s="252"/>
      <c r="I48" s="63">
        <f>COTISATIONS!F38</f>
        <v>1.7999999999999999E-2</v>
      </c>
      <c r="J48" s="251">
        <f t="shared" si="1"/>
        <v>0</v>
      </c>
    </row>
    <row r="49" spans="2:10">
      <c r="B49" s="575" t="s">
        <v>124</v>
      </c>
      <c r="C49" s="576"/>
      <c r="D49" s="576"/>
      <c r="E49" s="576"/>
      <c r="F49" s="258"/>
      <c r="G49" s="219"/>
      <c r="H49" s="252"/>
      <c r="I49" s="219"/>
      <c r="J49" s="251"/>
    </row>
    <row r="50" spans="2:10">
      <c r="B50" s="493" t="s">
        <v>125</v>
      </c>
      <c r="C50" s="498"/>
      <c r="D50" s="498"/>
      <c r="E50" s="498"/>
      <c r="F50" s="258">
        <f>C93+D93</f>
        <v>2000</v>
      </c>
      <c r="G50" s="219"/>
      <c r="H50" s="252"/>
      <c r="I50" s="63">
        <f>IF(COTISATIONS!J27="x",0,COTISATIONS!F50)</f>
        <v>4.0500000000000001E-2</v>
      </c>
      <c r="J50" s="251">
        <f t="shared" si="1"/>
        <v>81</v>
      </c>
    </row>
    <row r="51" spans="2:10">
      <c r="B51" s="493" t="s">
        <v>126</v>
      </c>
      <c r="C51" s="498"/>
      <c r="D51" s="498"/>
      <c r="E51" s="498"/>
      <c r="F51" s="258">
        <f>C93+D93</f>
        <v>2000</v>
      </c>
      <c r="G51" s="219"/>
      <c r="H51" s="252"/>
      <c r="I51" s="63">
        <f>IF(COTISATIONS!J27="x",0,COTISATIONS!F51)</f>
        <v>1.5E-3</v>
      </c>
      <c r="J51" s="251">
        <f t="shared" si="1"/>
        <v>3</v>
      </c>
    </row>
    <row r="52" spans="2:10">
      <c r="B52" s="493" t="s">
        <v>53</v>
      </c>
      <c r="C52" s="498"/>
      <c r="D52" s="498"/>
      <c r="E52" s="498"/>
      <c r="F52" s="260">
        <f>IF(COTISATIONS!J25="x",0,IF('BULLETIN '!J31&gt;4*C93,4*C93,J31))</f>
        <v>2000</v>
      </c>
      <c r="G52" s="77">
        <f>COTISATIONS!G56</f>
        <v>2.4000000000000001E-4</v>
      </c>
      <c r="H52" s="252">
        <f t="shared" si="2"/>
        <v>0.48000000000000004</v>
      </c>
      <c r="I52" s="77">
        <f>COTISATIONS!F56</f>
        <v>3.6000000000000002E-4</v>
      </c>
      <c r="J52" s="251">
        <f t="shared" si="1"/>
        <v>0.72000000000000008</v>
      </c>
    </row>
    <row r="53" spans="2:10">
      <c r="B53" s="575" t="s">
        <v>127</v>
      </c>
      <c r="C53" s="576"/>
      <c r="D53" s="576"/>
      <c r="E53" s="576"/>
      <c r="F53" s="258"/>
      <c r="G53" s="219"/>
      <c r="H53" s="252"/>
      <c r="I53" s="219"/>
      <c r="J53" s="251"/>
    </row>
    <row r="54" spans="2:10">
      <c r="B54" s="493" t="s">
        <v>128</v>
      </c>
      <c r="C54" s="498"/>
      <c r="D54" s="498"/>
      <c r="E54" s="498"/>
      <c r="F54" s="258">
        <f>IF(F93&gt;10.99,J31,0)</f>
        <v>2000</v>
      </c>
      <c r="G54" s="219"/>
      <c r="H54" s="252"/>
      <c r="I54" s="78">
        <f>COTISATIONS!F26</f>
        <v>0</v>
      </c>
      <c r="J54" s="251">
        <f t="shared" si="1"/>
        <v>0</v>
      </c>
    </row>
    <row r="55" spans="2:10">
      <c r="B55" s="493" t="s">
        <v>129</v>
      </c>
      <c r="C55" s="498"/>
      <c r="D55" s="498"/>
      <c r="E55" s="498"/>
      <c r="F55" s="258">
        <f>IF(F93&lt;50,C93,J31)</f>
        <v>2000</v>
      </c>
      <c r="G55" s="219"/>
      <c r="H55" s="252"/>
      <c r="I55" s="81">
        <f>IF(F93&lt;50,COTISATIONS!F40,COTISATIONS!F41)</f>
        <v>1E-3</v>
      </c>
      <c r="J55" s="251">
        <f t="shared" si="1"/>
        <v>2</v>
      </c>
    </row>
    <row r="56" spans="2:10">
      <c r="B56" s="493" t="s">
        <v>130</v>
      </c>
      <c r="C56" s="498"/>
      <c r="D56" s="498"/>
      <c r="E56" s="498"/>
      <c r="F56" s="258">
        <f>J38+J73</f>
        <v>51.323999999999998</v>
      </c>
      <c r="G56" s="219"/>
      <c r="H56" s="252"/>
      <c r="I56" s="63">
        <f>COTISATIONS!F47</f>
        <v>0.08</v>
      </c>
      <c r="J56" s="251">
        <f t="shared" si="1"/>
        <v>4.1059200000000002</v>
      </c>
    </row>
    <row r="57" spans="2:10">
      <c r="B57" s="493" t="s">
        <v>67</v>
      </c>
      <c r="C57" s="498"/>
      <c r="D57" s="498"/>
      <c r="E57" s="498"/>
      <c r="F57" s="258"/>
      <c r="G57" s="219"/>
      <c r="H57" s="252"/>
      <c r="I57" s="63">
        <f>COTISATIONS!F67</f>
        <v>0.2</v>
      </c>
      <c r="J57" s="251">
        <f t="shared" si="1"/>
        <v>0</v>
      </c>
    </row>
    <row r="58" spans="2:10">
      <c r="B58" s="493" t="s">
        <v>203</v>
      </c>
      <c r="C58" s="498"/>
      <c r="D58" s="498"/>
      <c r="E58" s="498"/>
      <c r="F58" s="258">
        <f>J31</f>
        <v>2000</v>
      </c>
      <c r="G58" s="219"/>
      <c r="H58" s="252"/>
      <c r="I58" s="77">
        <f>IF(COTISATIONS!J27="x",0,COTISATIONS!F48)</f>
        <v>1.6000000000000001E-4</v>
      </c>
      <c r="J58" s="251">
        <f t="shared" si="1"/>
        <v>0.32</v>
      </c>
    </row>
    <row r="59" spans="2:10">
      <c r="B59" s="493" t="s">
        <v>204</v>
      </c>
      <c r="C59" s="498"/>
      <c r="D59" s="498"/>
      <c r="E59" s="498"/>
      <c r="F59" s="258">
        <f>J31</f>
        <v>2000</v>
      </c>
      <c r="G59" s="219"/>
      <c r="H59" s="252"/>
      <c r="I59" s="63">
        <f>COTISATIONS!F34</f>
        <v>3.0000000000000001E-3</v>
      </c>
      <c r="J59" s="251">
        <f t="shared" si="1"/>
        <v>6</v>
      </c>
    </row>
    <row r="60" spans="2:10">
      <c r="B60" s="493" t="s">
        <v>194</v>
      </c>
      <c r="C60" s="498"/>
      <c r="D60" s="498"/>
      <c r="E60" s="498"/>
      <c r="F60" s="258">
        <f>J31</f>
        <v>2000</v>
      </c>
      <c r="G60" s="219"/>
      <c r="H60" s="252"/>
      <c r="I60" s="63">
        <f>COTISATIONS!F70</f>
        <v>1.23E-2</v>
      </c>
      <c r="J60" s="251">
        <f t="shared" si="1"/>
        <v>24.6</v>
      </c>
    </row>
    <row r="61" spans="2:10">
      <c r="B61" s="493" t="s">
        <v>131</v>
      </c>
      <c r="C61" s="498"/>
      <c r="D61" s="498"/>
      <c r="E61" s="498"/>
      <c r="F61" s="258"/>
      <c r="G61" s="219"/>
      <c r="H61" s="252"/>
      <c r="I61" s="63">
        <f>COTISATIONS!F66</f>
        <v>4.4999999999999997E-3</v>
      </c>
      <c r="J61" s="251">
        <f t="shared" si="1"/>
        <v>0</v>
      </c>
    </row>
    <row r="62" spans="2:10">
      <c r="B62" s="575" t="s">
        <v>71</v>
      </c>
      <c r="C62" s="576"/>
      <c r="D62" s="576"/>
      <c r="E62" s="576"/>
      <c r="F62" s="258"/>
      <c r="G62" s="219"/>
      <c r="H62" s="252"/>
      <c r="I62" s="219"/>
      <c r="J62" s="251"/>
    </row>
    <row r="63" spans="2:10">
      <c r="B63" s="493" t="s">
        <v>132</v>
      </c>
      <c r="C63" s="498"/>
      <c r="D63" s="498"/>
      <c r="E63" s="498"/>
      <c r="F63" s="260">
        <f>IF(COTISATIONS!J25="x",0,'BULLETIN '!C93)</f>
        <v>2000</v>
      </c>
      <c r="G63" s="219"/>
      <c r="H63" s="252"/>
      <c r="I63" s="63">
        <f>COTISATIONS!F57</f>
        <v>1.4999999999999999E-2</v>
      </c>
      <c r="J63" s="251">
        <f t="shared" si="1"/>
        <v>30</v>
      </c>
    </row>
    <row r="64" spans="2:10">
      <c r="B64" s="563" t="s">
        <v>72</v>
      </c>
      <c r="C64" s="564"/>
      <c r="D64" s="564"/>
      <c r="E64" s="564"/>
      <c r="F64" s="258">
        <f>((J31-F69)*0.9825)+J63+J38</f>
        <v>2046.3240000000001</v>
      </c>
      <c r="G64" s="63">
        <f>COTISATIONS!G72</f>
        <v>6.8000000000000005E-2</v>
      </c>
      <c r="H64" s="252">
        <f t="shared" si="2"/>
        <v>139.15003200000001</v>
      </c>
      <c r="I64" s="219"/>
      <c r="J64" s="251"/>
    </row>
    <row r="65" spans="2:17">
      <c r="B65" s="563" t="s">
        <v>73</v>
      </c>
      <c r="C65" s="564"/>
      <c r="D65" s="564"/>
      <c r="E65" s="564"/>
      <c r="F65" s="258">
        <f>F64</f>
        <v>2046.3240000000001</v>
      </c>
      <c r="G65" s="63">
        <f>COTISATIONS!G73</f>
        <v>2.9000000000000001E-2</v>
      </c>
      <c r="H65" s="252">
        <f t="shared" si="2"/>
        <v>59.343396000000006</v>
      </c>
      <c r="I65" s="219"/>
      <c r="J65" s="251"/>
    </row>
    <row r="66" spans="2:17">
      <c r="B66" s="563" t="s">
        <v>74</v>
      </c>
      <c r="C66" s="564"/>
      <c r="D66" s="564"/>
      <c r="E66" s="564"/>
      <c r="F66" s="258">
        <f>(J22+J23+J24+J25)*0.9825</f>
        <v>0</v>
      </c>
      <c r="G66" s="63">
        <f>COTISATIONS!G74</f>
        <v>9.7000000000000003E-2</v>
      </c>
      <c r="H66" s="252">
        <f t="shared" si="2"/>
        <v>0</v>
      </c>
      <c r="I66" s="219"/>
      <c r="J66" s="251"/>
    </row>
    <row r="67" spans="2:17">
      <c r="B67" s="575" t="s">
        <v>75</v>
      </c>
      <c r="C67" s="576"/>
      <c r="D67" s="576"/>
      <c r="E67" s="576"/>
      <c r="F67" s="258"/>
      <c r="G67" s="219"/>
      <c r="H67" s="252"/>
      <c r="I67" s="219"/>
      <c r="J67" s="251"/>
    </row>
    <row r="68" spans="2:17">
      <c r="B68" s="493" t="s">
        <v>76</v>
      </c>
      <c r="C68" s="498"/>
      <c r="D68" s="498"/>
      <c r="E68" s="498"/>
      <c r="F68" s="258"/>
      <c r="G68" s="219"/>
      <c r="H68" s="252"/>
      <c r="I68" s="219"/>
      <c r="J68" s="276">
        <f>IF('Réduction génerale'!L17&lt;0,0,'Réduction génerale'!L17)</f>
        <v>523.80979783999999</v>
      </c>
    </row>
    <row r="69" spans="2:17">
      <c r="B69" s="563" t="s">
        <v>77</v>
      </c>
      <c r="C69" s="564"/>
      <c r="D69" s="564"/>
      <c r="E69" s="564"/>
      <c r="F69" s="258">
        <f>(J22+J23+J24+J25)</f>
        <v>0</v>
      </c>
      <c r="G69" s="63">
        <f>COTISATIONS!G77</f>
        <v>0.11310000000000001</v>
      </c>
      <c r="H69" s="252">
        <f>-F69*G69</f>
        <v>0</v>
      </c>
      <c r="I69" s="219"/>
      <c r="J69" s="251"/>
    </row>
    <row r="70" spans="2:17">
      <c r="B70" s="493" t="s">
        <v>78</v>
      </c>
      <c r="C70" s="498"/>
      <c r="D70" s="498"/>
      <c r="E70" s="498"/>
      <c r="F70" s="258">
        <f>IF(F93&gt;20,0,IF(H20&lt;151.67,0,H22+H23+H24+H25))</f>
        <v>0</v>
      </c>
      <c r="G70" s="219"/>
      <c r="H70" s="252"/>
      <c r="I70" s="463">
        <v>1.5</v>
      </c>
      <c r="J70" s="251">
        <f>-F70*I70</f>
        <v>0</v>
      </c>
    </row>
    <row r="71" spans="2:17">
      <c r="B71" s="565" t="s">
        <v>133</v>
      </c>
      <c r="C71" s="566"/>
      <c r="D71" s="566"/>
      <c r="E71" s="566"/>
      <c r="F71" s="213"/>
      <c r="G71" s="213"/>
      <c r="H71" s="257">
        <f>SUM(H36:H70)</f>
        <v>476.49742800000001</v>
      </c>
      <c r="I71" s="213"/>
      <c r="J71" s="256">
        <f>SUM(J36:J70)</f>
        <v>1325.0797178400001</v>
      </c>
    </row>
    <row r="72" spans="2:17">
      <c r="B72" s="567" t="s">
        <v>134</v>
      </c>
      <c r="C72" s="568"/>
      <c r="D72" s="568"/>
      <c r="E72" s="568"/>
      <c r="F72" s="1"/>
      <c r="G72" s="1"/>
      <c r="H72" s="1"/>
      <c r="I72" s="1"/>
      <c r="J72" s="2"/>
    </row>
    <row r="73" spans="2:17">
      <c r="B73" s="577" t="s">
        <v>135</v>
      </c>
      <c r="C73" s="578"/>
      <c r="D73" s="578"/>
      <c r="E73" s="578"/>
      <c r="F73" s="219"/>
      <c r="G73" s="219"/>
      <c r="H73" s="219"/>
      <c r="I73" s="219"/>
      <c r="J73" s="5"/>
    </row>
    <row r="74" spans="2:17">
      <c r="B74" s="577"/>
      <c r="C74" s="578"/>
      <c r="D74" s="578"/>
      <c r="E74" s="578"/>
      <c r="F74" s="219"/>
      <c r="G74" s="219"/>
      <c r="H74" s="219"/>
      <c r="I74" s="219"/>
      <c r="J74" s="5"/>
    </row>
    <row r="75" spans="2:17" ht="30" customHeight="1">
      <c r="B75" s="577" t="s">
        <v>136</v>
      </c>
      <c r="C75" s="578"/>
      <c r="D75" s="578"/>
      <c r="E75" s="578"/>
      <c r="F75" s="219"/>
      <c r="G75" s="219"/>
      <c r="H75" s="219"/>
      <c r="I75" s="219"/>
      <c r="J75" s="5"/>
      <c r="M75" s="537" t="s">
        <v>573</v>
      </c>
      <c r="N75" s="538"/>
      <c r="O75" s="538"/>
      <c r="P75" s="539"/>
      <c r="Q75" s="402" t="s">
        <v>568</v>
      </c>
    </row>
    <row r="76" spans="2:17">
      <c r="B76" s="579" t="s">
        <v>137</v>
      </c>
      <c r="C76" s="580"/>
      <c r="D76" s="580"/>
      <c r="E76" s="580"/>
      <c r="F76" s="14"/>
      <c r="G76" s="14"/>
      <c r="H76" s="14"/>
      <c r="I76" s="14"/>
      <c r="J76" s="15"/>
      <c r="M76" s="19" t="s">
        <v>569</v>
      </c>
      <c r="N76" s="19">
        <v>1518</v>
      </c>
      <c r="O76" s="19"/>
      <c r="P76" s="19"/>
      <c r="Q76" s="406">
        <v>0</v>
      </c>
    </row>
    <row r="77" spans="2:17">
      <c r="B77" s="194"/>
      <c r="C77" s="36"/>
      <c r="D77" s="36"/>
      <c r="E77" s="198" t="s">
        <v>82</v>
      </c>
      <c r="F77" s="36"/>
      <c r="G77" s="214"/>
      <c r="H77" s="261">
        <f>(J31-H71)+H86+J73+J75</f>
        <v>1523.5025719999999</v>
      </c>
      <c r="I77" s="36"/>
      <c r="J77" s="218"/>
      <c r="M77" s="21" t="s">
        <v>570</v>
      </c>
      <c r="N77" s="21">
        <v>1518</v>
      </c>
      <c r="O77" s="21" t="s">
        <v>571</v>
      </c>
      <c r="P77" s="21">
        <v>1577</v>
      </c>
      <c r="Q77" s="407">
        <v>5.0000000000000001E-3</v>
      </c>
    </row>
    <row r="78" spans="2:17">
      <c r="B78" s="581" t="s">
        <v>83</v>
      </c>
      <c r="C78" s="582"/>
      <c r="D78" s="582"/>
      <c r="E78" s="582"/>
      <c r="F78" s="37"/>
      <c r="G78" s="37"/>
      <c r="H78" s="37"/>
      <c r="I78" s="37"/>
      <c r="J78" s="38"/>
      <c r="M78" s="21" t="s">
        <v>570</v>
      </c>
      <c r="N78" s="21">
        <v>1577</v>
      </c>
      <c r="O78" s="21" t="s">
        <v>572</v>
      </c>
      <c r="P78" s="21">
        <v>1678</v>
      </c>
      <c r="Q78" s="407">
        <v>1.2999999999999999E-2</v>
      </c>
    </row>
    <row r="79" spans="2:17">
      <c r="B79" s="583"/>
      <c r="C79" s="584"/>
      <c r="D79" s="584"/>
      <c r="E79" s="584"/>
      <c r="F79" s="220"/>
      <c r="G79" s="220"/>
      <c r="H79" s="220"/>
      <c r="I79" s="220"/>
      <c r="J79" s="39"/>
      <c r="M79" s="21" t="s">
        <v>570</v>
      </c>
      <c r="N79" s="21">
        <v>1678</v>
      </c>
      <c r="O79" s="21" t="s">
        <v>353</v>
      </c>
      <c r="P79" s="21">
        <v>1791</v>
      </c>
      <c r="Q79" s="407">
        <v>2.1000000000000001E-2</v>
      </c>
    </row>
    <row r="80" spans="2:17">
      <c r="B80" s="583"/>
      <c r="C80" s="584"/>
      <c r="D80" s="584"/>
      <c r="E80" s="584"/>
      <c r="F80" s="220"/>
      <c r="G80" s="220"/>
      <c r="H80" s="220"/>
      <c r="I80" s="220"/>
      <c r="J80" s="39"/>
      <c r="M80" s="21" t="s">
        <v>570</v>
      </c>
      <c r="N80" s="21">
        <v>1791</v>
      </c>
      <c r="O80" s="21" t="s">
        <v>353</v>
      </c>
      <c r="P80" s="21">
        <v>1914</v>
      </c>
      <c r="Q80" s="407">
        <v>2.9000000000000001E-2</v>
      </c>
    </row>
    <row r="81" spans="2:17">
      <c r="B81" s="585" t="s">
        <v>84</v>
      </c>
      <c r="C81" s="586"/>
      <c r="D81" s="586"/>
      <c r="E81" s="586"/>
      <c r="F81" s="220"/>
      <c r="G81" s="220"/>
      <c r="H81" s="220"/>
      <c r="I81" s="220"/>
      <c r="J81" s="39"/>
      <c r="M81" s="21" t="s">
        <v>570</v>
      </c>
      <c r="N81" s="21">
        <v>1914</v>
      </c>
      <c r="O81" s="21" t="s">
        <v>353</v>
      </c>
      <c r="P81" s="21">
        <v>2016</v>
      </c>
      <c r="Q81" s="407">
        <v>3.5000000000000003E-2</v>
      </c>
    </row>
    <row r="82" spans="2:17" ht="18.75">
      <c r="B82" s="194"/>
      <c r="C82" s="36"/>
      <c r="D82" s="589" t="s">
        <v>138</v>
      </c>
      <c r="E82" s="589"/>
      <c r="F82" s="589"/>
      <c r="G82" s="225"/>
      <c r="H82" s="262">
        <f>J31-H71</f>
        <v>1523.5025719999999</v>
      </c>
      <c r="I82" s="36"/>
      <c r="J82" s="218"/>
      <c r="M82" s="21" t="s">
        <v>570</v>
      </c>
      <c r="N82" s="21">
        <v>2016</v>
      </c>
      <c r="O82" s="21" t="s">
        <v>572</v>
      </c>
      <c r="P82" s="21">
        <v>2150</v>
      </c>
      <c r="Q82" s="407">
        <v>4.1000000000000002E-2</v>
      </c>
    </row>
    <row r="83" spans="2:17">
      <c r="B83" s="587"/>
      <c r="C83" s="588"/>
      <c r="D83" s="588"/>
      <c r="E83" s="588"/>
      <c r="F83" s="221"/>
      <c r="G83" s="221"/>
      <c r="H83" s="221"/>
      <c r="I83" s="221"/>
      <c r="J83" s="94"/>
      <c r="M83" s="21" t="s">
        <v>570</v>
      </c>
      <c r="N83" s="21">
        <v>2150</v>
      </c>
      <c r="O83" s="21" t="s">
        <v>353</v>
      </c>
      <c r="P83" s="21">
        <v>2544</v>
      </c>
      <c r="Q83" s="407">
        <v>5.2999999999999999E-2</v>
      </c>
    </row>
    <row r="84" spans="2:17">
      <c r="B84" s="556" t="s">
        <v>139</v>
      </c>
      <c r="C84" s="557"/>
      <c r="D84" s="558"/>
      <c r="E84" s="246" t="s">
        <v>110</v>
      </c>
      <c r="F84" s="247" t="s">
        <v>108</v>
      </c>
      <c r="G84" s="559" t="s">
        <v>107</v>
      </c>
      <c r="H84" s="560"/>
      <c r="I84" s="556" t="s">
        <v>142</v>
      </c>
      <c r="J84" s="558"/>
      <c r="M84" s="21" t="s">
        <v>570</v>
      </c>
      <c r="N84" s="21">
        <v>2544</v>
      </c>
      <c r="O84" s="21" t="s">
        <v>353</v>
      </c>
      <c r="P84" s="21">
        <v>2912</v>
      </c>
      <c r="Q84" s="407">
        <v>7.4999999999999997E-2</v>
      </c>
    </row>
    <row r="85" spans="2:17">
      <c r="B85" s="548" t="s">
        <v>140</v>
      </c>
      <c r="C85" s="549"/>
      <c r="D85" s="550"/>
      <c r="E85" s="216"/>
      <c r="F85" s="291"/>
      <c r="G85" s="225"/>
      <c r="H85" s="292">
        <f>(J31-H71)+(H65+H66+J39)-H69</f>
        <v>1642.8459679999999</v>
      </c>
      <c r="I85" s="199"/>
      <c r="J85" s="200"/>
      <c r="M85" s="21" t="s">
        <v>570</v>
      </c>
      <c r="N85" s="21">
        <v>2912</v>
      </c>
      <c r="O85" s="21" t="s">
        <v>353</v>
      </c>
      <c r="P85" s="21">
        <v>3317</v>
      </c>
      <c r="Q85" s="407">
        <v>9.9000000000000005E-2</v>
      </c>
    </row>
    <row r="86" spans="2:17">
      <c r="B86" s="548" t="s">
        <v>141</v>
      </c>
      <c r="C86" s="549"/>
      <c r="D86" s="550"/>
      <c r="E86" s="216"/>
      <c r="F86" s="216"/>
      <c r="G86" s="289"/>
      <c r="H86" s="290"/>
      <c r="I86" s="199"/>
      <c r="J86" s="200"/>
      <c r="M86" s="21" t="s">
        <v>570</v>
      </c>
      <c r="N86" s="21">
        <v>3317</v>
      </c>
      <c r="O86" s="21" t="s">
        <v>353</v>
      </c>
      <c r="P86" s="21">
        <v>3734</v>
      </c>
      <c r="Q86" s="407">
        <v>0.11899999999999999</v>
      </c>
    </row>
    <row r="87" spans="2:17">
      <c r="B87" s="548" t="s">
        <v>202</v>
      </c>
      <c r="C87" s="549"/>
      <c r="D87" s="550"/>
      <c r="E87" s="49">
        <f>H85</f>
        <v>1642.8459679999999</v>
      </c>
      <c r="F87" s="409">
        <f>IF(E87&lt;N76,0,IF(AND(E87&gt;=N77,E87&lt;P77),Q77,IF(AND(E87&gt;=N78,E87&lt;P78),Q78,IF(AND(E87&gt;=N79,E87&lt;P79),Q79,IF(AND(E87&gt;N80,E87&lt;P80),Q80,IF(AND(E87&gt;=N81,E87&lt;P81),Q81,IF(AND(E87&gt;=N82,E87&lt;P82),Q82,IF(AND(E87&gt;=N83,E87&lt;P83),Q83,IF(AND(E87&gt;=N84,E87&lt;P84),Q84,IF(AND(E87&gt;=N85,E87&lt;P85),Q85,IF(AND(E87&gt;=N86,E87&lt;P86),Q86,IF(AND(E87&gt;=N87,E87&lt;P87),Q87,IF(AND(E87&gt;=N88,E87&lt;P88),Q88,IF(AND(E87&gt;=N89,E87&lt;P89),Q89,IF(AND(E87&gt;=N90,E87&lt;P90),Q90,IF(AND(E87&gt;=N91,E87&lt;P91),Q91,IF(AND(E87&gt;=N92,E87&lt;P92),Q92,IF(AND(E87&gt;=N93,E87&lt;P93),Q93,IF(AND(E87&gt;=N94,E87&lt;P94),Q94,Q95)))))))))))))))))))</f>
        <v>1.2999999999999999E-2</v>
      </c>
      <c r="G87" s="225"/>
      <c r="H87" s="264">
        <f>-E87*F87</f>
        <v>-21.356997583999998</v>
      </c>
      <c r="I87" s="199"/>
      <c r="J87" s="200"/>
      <c r="M87" s="21" t="s">
        <v>570</v>
      </c>
      <c r="N87" s="21">
        <v>3734</v>
      </c>
      <c r="O87" s="21" t="s">
        <v>353</v>
      </c>
      <c r="P87" s="21">
        <v>4357</v>
      </c>
      <c r="Q87" s="407">
        <v>0.13800000000000001</v>
      </c>
    </row>
    <row r="88" spans="2:17" ht="15.75">
      <c r="B88" s="551" t="s">
        <v>145</v>
      </c>
      <c r="C88" s="552"/>
      <c r="D88" s="552"/>
      <c r="E88" s="552"/>
      <c r="F88" s="553"/>
      <c r="G88" s="194"/>
      <c r="H88" s="455">
        <f>H82-F87</f>
        <v>1523.489572</v>
      </c>
      <c r="I88" s="554"/>
      <c r="J88" s="555"/>
      <c r="M88" s="21" t="s">
        <v>570</v>
      </c>
      <c r="N88" s="21">
        <v>4357</v>
      </c>
      <c r="O88" s="21" t="s">
        <v>353</v>
      </c>
      <c r="P88" s="21">
        <v>5224</v>
      </c>
      <c r="Q88" s="407">
        <v>0.158</v>
      </c>
    </row>
    <row r="89" spans="2:17">
      <c r="B89" s="545" t="s">
        <v>146</v>
      </c>
      <c r="C89" s="547"/>
      <c r="D89" s="236">
        <f>G17</f>
        <v>44957</v>
      </c>
      <c r="E89" s="545" t="s">
        <v>147</v>
      </c>
      <c r="F89" s="546"/>
      <c r="G89" s="546"/>
      <c r="H89" s="547"/>
      <c r="I89" s="543">
        <f>J31+J71</f>
        <v>3325.0797178399998</v>
      </c>
      <c r="J89" s="544"/>
      <c r="M89" s="21" t="s">
        <v>570</v>
      </c>
      <c r="N89" s="21">
        <v>5224</v>
      </c>
      <c r="O89" s="21" t="s">
        <v>353</v>
      </c>
      <c r="P89" s="21">
        <v>6537</v>
      </c>
      <c r="Q89" s="407">
        <v>0.17899999999999999</v>
      </c>
    </row>
    <row r="90" spans="2:17" ht="11.25" customHeight="1">
      <c r="B90" s="86"/>
      <c r="C90" s="229" t="s">
        <v>148</v>
      </c>
      <c r="D90" s="87"/>
      <c r="E90" s="87"/>
      <c r="F90" s="87"/>
      <c r="G90" s="87"/>
      <c r="H90" s="87"/>
      <c r="I90" s="87"/>
      <c r="J90" s="88"/>
      <c r="M90" s="21" t="s">
        <v>570</v>
      </c>
      <c r="N90" s="21">
        <v>6537</v>
      </c>
      <c r="O90" s="21" t="s">
        <v>572</v>
      </c>
      <c r="P90" s="21">
        <v>8165</v>
      </c>
      <c r="Q90" s="407">
        <v>0.2</v>
      </c>
    </row>
    <row r="91" spans="2:17" ht="12" customHeight="1">
      <c r="B91" s="89"/>
      <c r="C91" s="230" t="s">
        <v>149</v>
      </c>
      <c r="D91" s="90"/>
      <c r="E91" s="90"/>
      <c r="F91" s="90"/>
      <c r="G91" s="90"/>
      <c r="H91" s="90"/>
      <c r="I91" s="90"/>
      <c r="J91" s="91"/>
      <c r="M91" s="21" t="s">
        <v>570</v>
      </c>
      <c r="N91" s="21">
        <v>8165</v>
      </c>
      <c r="O91" s="21" t="s">
        <v>353</v>
      </c>
      <c r="P91" s="21">
        <v>11333</v>
      </c>
      <c r="Q91" s="407">
        <v>0.24</v>
      </c>
    </row>
    <row r="92" spans="2:17">
      <c r="B92" s="495" t="s">
        <v>150</v>
      </c>
      <c r="C92" s="497"/>
      <c r="D92" s="80" t="s">
        <v>153</v>
      </c>
      <c r="E92" s="80" t="s">
        <v>59</v>
      </c>
      <c r="F92" s="80" t="s">
        <v>154</v>
      </c>
      <c r="G92" s="80" t="s">
        <v>155</v>
      </c>
      <c r="H92" s="80" t="s">
        <v>156</v>
      </c>
      <c r="I92" s="80" t="s">
        <v>157</v>
      </c>
      <c r="J92" s="80" t="s">
        <v>152</v>
      </c>
      <c r="M92" s="21" t="s">
        <v>570</v>
      </c>
      <c r="N92" s="21">
        <v>11333</v>
      </c>
      <c r="O92" s="21" t="s">
        <v>353</v>
      </c>
      <c r="P92" s="21">
        <v>15349</v>
      </c>
      <c r="Q92" s="407">
        <v>0.28000000000000003</v>
      </c>
    </row>
    <row r="93" spans="2:17">
      <c r="B93" s="82"/>
      <c r="C93" s="83">
        <f>IF(N2&gt;0,N2,IF(J31&lt;N4,J31,N4))</f>
        <v>2000</v>
      </c>
      <c r="D93" s="83">
        <f>IF(C93&gt;=N4,J31-N4,0)</f>
        <v>0</v>
      </c>
      <c r="E93" s="7"/>
      <c r="F93" s="7">
        <f>COTISATIONS!F18</f>
        <v>38</v>
      </c>
      <c r="G93" s="629" t="str">
        <f>IF(OR(J10="Cadre",J10="Dirigeant"),"Cadre","")</f>
        <v>Cadre</v>
      </c>
      <c r="H93" s="216"/>
      <c r="I93" s="216"/>
      <c r="J93" s="216"/>
      <c r="M93" s="21" t="s">
        <v>570</v>
      </c>
      <c r="N93" s="21">
        <v>15349</v>
      </c>
      <c r="O93" s="21" t="s">
        <v>353</v>
      </c>
      <c r="P93" s="21">
        <v>24094</v>
      </c>
      <c r="Q93" s="407">
        <v>0.33</v>
      </c>
    </row>
    <row r="94" spans="2:17">
      <c r="B94" s="211" t="s">
        <v>151</v>
      </c>
      <c r="C94" s="40"/>
      <c r="D94" s="606" t="s">
        <v>158</v>
      </c>
      <c r="E94" s="607"/>
      <c r="F94" s="217" t="s">
        <v>159</v>
      </c>
      <c r="G94" s="80" t="s">
        <v>160</v>
      </c>
      <c r="H94" s="34"/>
      <c r="I94" s="34"/>
      <c r="J94" s="34"/>
      <c r="M94" s="21" t="s">
        <v>570</v>
      </c>
      <c r="N94" s="21">
        <v>24094</v>
      </c>
      <c r="O94" s="21" t="s">
        <v>353</v>
      </c>
      <c r="P94" s="21">
        <v>51611</v>
      </c>
      <c r="Q94" s="407">
        <v>0.38</v>
      </c>
    </row>
    <row r="95" spans="2:17">
      <c r="B95" s="85"/>
      <c r="C95" s="84"/>
      <c r="D95" s="84"/>
      <c r="E95" s="7"/>
      <c r="F95" s="7"/>
      <c r="G95" s="7"/>
      <c r="H95" s="34"/>
      <c r="I95" s="34"/>
      <c r="J95" s="34"/>
      <c r="M95" s="27" t="s">
        <v>570</v>
      </c>
      <c r="N95" s="27">
        <v>51611</v>
      </c>
      <c r="O95" s="27"/>
      <c r="P95" s="27"/>
      <c r="Q95" s="408">
        <v>0.43</v>
      </c>
    </row>
    <row r="96" spans="2:17">
      <c r="N96" s="401"/>
    </row>
    <row r="97" spans="10:14">
      <c r="N97" s="401"/>
    </row>
    <row r="98" spans="10:14">
      <c r="J98" s="195"/>
      <c r="M98" s="201"/>
    </row>
  </sheetData>
  <mergeCells count="89">
    <mergeCell ref="D94:E94"/>
    <mergeCell ref="F13:G13"/>
    <mergeCell ref="C10:D10"/>
    <mergeCell ref="C13:D13"/>
    <mergeCell ref="B92:C92"/>
    <mergeCell ref="F32:F33"/>
    <mergeCell ref="G32:H32"/>
    <mergeCell ref="B57:E57"/>
    <mergeCell ref="B46:E46"/>
    <mergeCell ref="B47:E47"/>
    <mergeCell ref="B48:E48"/>
    <mergeCell ref="B49:E49"/>
    <mergeCell ref="B50:E50"/>
    <mergeCell ref="B51:E51"/>
    <mergeCell ref="B52:E52"/>
    <mergeCell ref="B53:E53"/>
    <mergeCell ref="B25:D25"/>
    <mergeCell ref="B3:E3"/>
    <mergeCell ref="F3:J3"/>
    <mergeCell ref="B2:J2"/>
    <mergeCell ref="B18:J18"/>
    <mergeCell ref="B20:D20"/>
    <mergeCell ref="B21:D21"/>
    <mergeCell ref="B22:D22"/>
    <mergeCell ref="B23:D23"/>
    <mergeCell ref="B24:D24"/>
    <mergeCell ref="B73:E73"/>
    <mergeCell ref="B74:E74"/>
    <mergeCell ref="I32:J32"/>
    <mergeCell ref="B19:D19"/>
    <mergeCell ref="B14:C14"/>
    <mergeCell ref="B45:E45"/>
    <mergeCell ref="B34:J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86:D86"/>
    <mergeCell ref="B75:E75"/>
    <mergeCell ref="B76:E76"/>
    <mergeCell ref="B78:E78"/>
    <mergeCell ref="B79:E79"/>
    <mergeCell ref="B80:E80"/>
    <mergeCell ref="B81:E81"/>
    <mergeCell ref="B83:E83"/>
    <mergeCell ref="D82:F82"/>
    <mergeCell ref="B85:D85"/>
    <mergeCell ref="B69:E69"/>
    <mergeCell ref="B70:E70"/>
    <mergeCell ref="B71:E71"/>
    <mergeCell ref="B72:E72"/>
    <mergeCell ref="B32:E33"/>
    <mergeCell ref="B58:E58"/>
    <mergeCell ref="B64:E64"/>
    <mergeCell ref="B65:E65"/>
    <mergeCell ref="B66:E66"/>
    <mergeCell ref="B67:E67"/>
    <mergeCell ref="B68:E68"/>
    <mergeCell ref="B59:E59"/>
    <mergeCell ref="B60:E60"/>
    <mergeCell ref="B61:E61"/>
    <mergeCell ref="B62:E62"/>
    <mergeCell ref="B44:E44"/>
    <mergeCell ref="B27:D27"/>
    <mergeCell ref="B28:D28"/>
    <mergeCell ref="B29:D29"/>
    <mergeCell ref="B30:D30"/>
    <mergeCell ref="B31:D31"/>
    <mergeCell ref="M75:P75"/>
    <mergeCell ref="B26:D26"/>
    <mergeCell ref="F31:I31"/>
    <mergeCell ref="I89:J89"/>
    <mergeCell ref="E89:H89"/>
    <mergeCell ref="B89:C89"/>
    <mergeCell ref="B87:D87"/>
    <mergeCell ref="B88:F88"/>
    <mergeCell ref="I88:J88"/>
    <mergeCell ref="B84:D84"/>
    <mergeCell ref="G84:H84"/>
    <mergeCell ref="I84:J84"/>
    <mergeCell ref="B63:E63"/>
    <mergeCell ref="B54:E54"/>
    <mergeCell ref="B55:E55"/>
    <mergeCell ref="B56:E56"/>
  </mergeCells>
  <printOptions horizontalCentered="1"/>
  <pageMargins left="0.70866141732283472" right="0.70866141732283472" top="0.35433070866141736" bottom="0.19685039370078741" header="0.31496062992125984" footer="0.31496062992125984"/>
  <pageSetup paperSize="9" scale="56" orientation="portrait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L4:P22"/>
  <sheetViews>
    <sheetView topLeftCell="D1" workbookViewId="0">
      <selection activeCell="R15" sqref="R15"/>
    </sheetView>
  </sheetViews>
  <sheetFormatPr baseColWidth="10" defaultRowHeight="15"/>
  <cols>
    <col min="15" max="16" width="13.28515625" customWidth="1"/>
  </cols>
  <sheetData>
    <row r="4" spans="12:16">
      <c r="M4" s="401"/>
      <c r="N4" s="401"/>
      <c r="O4" s="401"/>
      <c r="P4" s="401"/>
    </row>
    <row r="5" spans="12:16">
      <c r="L5" s="401"/>
      <c r="M5" s="401"/>
      <c r="N5" s="401"/>
      <c r="O5" s="401"/>
      <c r="P5" s="401"/>
    </row>
    <row r="6" spans="12:16">
      <c r="L6" s="401"/>
      <c r="M6" s="401"/>
      <c r="N6" s="401"/>
      <c r="O6" s="401"/>
      <c r="P6" s="401"/>
    </row>
    <row r="7" spans="12:16">
      <c r="L7" s="401"/>
      <c r="M7" s="401"/>
      <c r="N7" s="401"/>
      <c r="O7" s="401"/>
      <c r="P7" s="401"/>
    </row>
    <row r="8" spans="12:16">
      <c r="L8" s="401"/>
      <c r="M8" s="401"/>
      <c r="N8" s="401"/>
      <c r="O8" s="401"/>
      <c r="P8" s="401"/>
    </row>
    <row r="9" spans="12:16">
      <c r="L9" s="401"/>
      <c r="M9" s="401"/>
      <c r="N9" s="401"/>
      <c r="O9" s="401"/>
      <c r="P9" s="401"/>
    </row>
    <row r="10" spans="12:16">
      <c r="L10" s="401"/>
      <c r="M10" s="401"/>
      <c r="N10" s="401"/>
      <c r="O10" s="401"/>
      <c r="P10" s="401"/>
    </row>
    <row r="11" spans="12:16">
      <c r="L11" s="401"/>
      <c r="M11" s="401"/>
      <c r="N11" s="401"/>
      <c r="O11" s="401"/>
      <c r="P11" s="401"/>
    </row>
    <row r="12" spans="12:16">
      <c r="L12" s="401"/>
      <c r="M12" s="401"/>
      <c r="N12" s="401"/>
      <c r="O12" s="401"/>
      <c r="P12" s="401"/>
    </row>
    <row r="13" spans="12:16">
      <c r="L13" s="401"/>
      <c r="M13" s="401"/>
      <c r="N13" s="401"/>
      <c r="O13" s="401"/>
      <c r="P13" s="401"/>
    </row>
    <row r="14" spans="12:16">
      <c r="L14" s="401"/>
      <c r="M14" s="401"/>
      <c r="N14" s="401"/>
      <c r="O14" s="401"/>
      <c r="P14" s="401"/>
    </row>
    <row r="15" spans="12:16">
      <c r="L15" s="401"/>
      <c r="M15" s="401"/>
      <c r="N15" s="401"/>
      <c r="O15" s="401"/>
      <c r="P15" s="401"/>
    </row>
    <row r="16" spans="12:16">
      <c r="L16" s="401"/>
      <c r="M16" s="401"/>
      <c r="N16" s="401"/>
      <c r="O16" s="401"/>
      <c r="P16" s="401"/>
    </row>
    <row r="17" spans="12:16">
      <c r="L17" s="401"/>
      <c r="M17" s="401"/>
      <c r="N17" s="401"/>
      <c r="O17" s="401"/>
      <c r="P17" s="401"/>
    </row>
    <row r="18" spans="12:16">
      <c r="L18" s="401"/>
      <c r="M18" s="401"/>
      <c r="N18" s="401"/>
      <c r="O18" s="401"/>
      <c r="P18" s="401"/>
    </row>
    <row r="19" spans="12:16">
      <c r="L19" s="401"/>
      <c r="M19" s="401"/>
      <c r="N19" s="401"/>
      <c r="O19" s="401"/>
      <c r="P19" s="401"/>
    </row>
    <row r="20" spans="12:16">
      <c r="L20" s="401"/>
      <c r="M20" s="401"/>
      <c r="N20" s="401"/>
      <c r="O20" s="401"/>
      <c r="P20" s="401"/>
    </row>
    <row r="21" spans="12:16">
      <c r="L21" s="401"/>
      <c r="M21" s="401"/>
      <c r="N21" s="401"/>
      <c r="O21" s="401"/>
      <c r="P21" s="401"/>
    </row>
    <row r="22" spans="12:16">
      <c r="L22" s="401"/>
      <c r="M22" s="401"/>
      <c r="N22" s="401"/>
      <c r="O22" s="401"/>
      <c r="P22" s="40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DB380"/>
  </sheetPr>
  <dimension ref="A1:Z1024"/>
  <sheetViews>
    <sheetView topLeftCell="D76" workbookViewId="0">
      <selection activeCell="Q87" sqref="Q87"/>
    </sheetView>
  </sheetViews>
  <sheetFormatPr baseColWidth="10" defaultColWidth="14.42578125" defaultRowHeight="15" customHeight="1"/>
  <cols>
    <col min="1" max="1" width="28.28515625" style="302" customWidth="1"/>
    <col min="2" max="2" width="10.140625" style="302" customWidth="1"/>
    <col min="3" max="3" width="15.140625" style="302" customWidth="1"/>
    <col min="4" max="4" width="8.7109375" style="302" customWidth="1"/>
    <col min="5" max="6" width="12.5703125" style="302" customWidth="1"/>
    <col min="7" max="7" width="14" style="302" customWidth="1"/>
    <col min="8" max="8" width="12.42578125" style="302" customWidth="1"/>
    <col min="9" max="9" width="12.28515625" style="302" customWidth="1"/>
    <col min="10" max="10" width="12.42578125" style="302" customWidth="1"/>
    <col min="11" max="11" width="11.7109375" style="302" customWidth="1"/>
    <col min="12" max="12" width="10.5703125" style="302" customWidth="1"/>
    <col min="13" max="13" width="9.28515625" style="302" customWidth="1"/>
    <col min="14" max="15" width="11.85546875" style="302" customWidth="1"/>
    <col min="16" max="16" width="15.7109375" style="302" customWidth="1"/>
    <col min="17" max="17" width="13.28515625" style="302" customWidth="1"/>
    <col min="18" max="18" width="12.85546875" style="302" customWidth="1"/>
    <col min="19" max="19" width="14.85546875" style="97" customWidth="1"/>
    <col min="20" max="26" width="9.28515625" style="97" customWidth="1"/>
    <col min="27" max="16384" width="14.42578125" style="97"/>
  </cols>
  <sheetData>
    <row r="1" spans="1:26" ht="18.75">
      <c r="A1" s="451" t="s">
        <v>372</v>
      </c>
      <c r="B1" s="329"/>
      <c r="C1" s="329"/>
      <c r="D1" s="329"/>
      <c r="E1" s="329"/>
      <c r="F1" s="329"/>
      <c r="G1" s="329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>
      <c r="A2" s="98"/>
      <c r="B2" s="98"/>
      <c r="C2" s="98"/>
      <c r="D2" s="98"/>
      <c r="E2" s="98"/>
      <c r="F2" s="98"/>
      <c r="G2" s="98"/>
      <c r="H2" s="96"/>
      <c r="I2" s="96" t="s">
        <v>371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5" customHeight="1">
      <c r="A3" s="98"/>
      <c r="B3" s="98"/>
      <c r="C3" s="98"/>
      <c r="D3" s="98"/>
      <c r="E3" s="98"/>
      <c r="F3" s="98"/>
      <c r="G3" s="98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5" customHeight="1">
      <c r="A4" s="330" t="s">
        <v>205</v>
      </c>
      <c r="B4" s="331"/>
      <c r="C4" s="331"/>
      <c r="D4" s="331"/>
      <c r="E4" s="331"/>
      <c r="F4" s="331"/>
      <c r="G4" s="331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5" customHeight="1">
      <c r="A5" s="99"/>
      <c r="B5" s="99"/>
      <c r="C5" s="99"/>
      <c r="D5" s="99"/>
      <c r="E5" s="99"/>
      <c r="F5" s="99"/>
      <c r="G5" s="99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>
      <c r="A6" s="99" t="s">
        <v>206</v>
      </c>
      <c r="B6" s="185">
        <v>11.52</v>
      </c>
      <c r="C6" s="99"/>
      <c r="D6" s="100">
        <v>2023</v>
      </c>
      <c r="E6" s="96"/>
      <c r="F6" s="96"/>
      <c r="G6" s="96"/>
      <c r="H6" s="96">
        <v>151.66999999999999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>
      <c r="A7" s="99" t="s">
        <v>207</v>
      </c>
      <c r="B7" s="101">
        <f>B6*151.66666666</f>
        <v>1747.1999999232</v>
      </c>
      <c r="C7" s="99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>
      <c r="A8" s="99" t="s">
        <v>208</v>
      </c>
      <c r="B8" s="101">
        <f>B6*0.8</f>
        <v>9.2159999999999993</v>
      </c>
      <c r="C8" s="99" t="s">
        <v>209</v>
      </c>
      <c r="D8" s="96"/>
      <c r="E8" s="96"/>
      <c r="F8" s="266">
        <f>B8*H6</f>
        <v>1397.7907199999997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>
      <c r="A9" s="99" t="s">
        <v>210</v>
      </c>
      <c r="B9" s="101">
        <f>B6*0.9</f>
        <v>10.368</v>
      </c>
      <c r="C9" s="99" t="s">
        <v>211</v>
      </c>
      <c r="D9" s="96"/>
      <c r="E9" s="96"/>
      <c r="F9" s="266">
        <f>B9*H6</f>
        <v>1572.5145599999998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>
      <c r="A10" s="99"/>
      <c r="B10" s="99"/>
      <c r="C10" s="99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5.75">
      <c r="A12" s="330" t="s">
        <v>212</v>
      </c>
      <c r="B12" s="331"/>
      <c r="C12" s="331"/>
      <c r="D12" s="331"/>
      <c r="E12" s="331"/>
      <c r="F12" s="331"/>
      <c r="G12" s="331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>
      <c r="A13" s="102"/>
      <c r="B13" s="102"/>
      <c r="C13" s="102"/>
      <c r="D13" s="102"/>
      <c r="E13" s="102"/>
      <c r="F13" s="102"/>
      <c r="G13" s="102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>
      <c r="A14" s="103" t="s">
        <v>213</v>
      </c>
      <c r="B14" s="186">
        <v>4.0999999999999996</v>
      </c>
      <c r="C14" s="102" t="s">
        <v>598</v>
      </c>
      <c r="D14" s="186">
        <v>4.01</v>
      </c>
      <c r="E14" s="102" t="s">
        <v>599</v>
      </c>
      <c r="F14" s="102"/>
      <c r="G14" s="102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>
      <c r="A15" s="103"/>
      <c r="B15" s="104"/>
      <c r="C15" s="102"/>
      <c r="D15" s="102"/>
      <c r="E15" s="102"/>
      <c r="F15" s="102"/>
      <c r="G15" s="102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>
      <c r="A16" s="102"/>
      <c r="B16" s="102"/>
      <c r="C16" s="102"/>
      <c r="D16" s="102"/>
      <c r="E16" s="102"/>
      <c r="F16" s="102"/>
      <c r="G16" s="102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>
      <c r="A17" s="105" t="s">
        <v>214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>
      <c r="A18" s="96" t="s">
        <v>215</v>
      </c>
      <c r="B18" s="106">
        <v>5.2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>
      <c r="A19" s="96" t="s">
        <v>216</v>
      </c>
      <c r="B19" s="107">
        <f>B18*2</f>
        <v>10.4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>
      <c r="A20" s="96"/>
      <c r="B20" s="107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5.75" customHeight="1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5.75" customHeight="1">
      <c r="A22" s="105" t="s">
        <v>217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5.75" customHeight="1">
      <c r="A23" s="96" t="s">
        <v>215</v>
      </c>
      <c r="B23" s="106">
        <v>4.0999999999999996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5" customHeight="1">
      <c r="A24" s="96" t="s">
        <v>216</v>
      </c>
      <c r="B24" s="107">
        <f>2*B23</f>
        <v>8.1999999999999993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5.75" customHeight="1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5.75" customHeight="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5.75" customHeight="1">
      <c r="A27" s="105" t="s">
        <v>218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5.75" customHeight="1">
      <c r="A28" s="96" t="s">
        <v>219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5.75" customHeight="1">
      <c r="A29" s="332" t="s">
        <v>220</v>
      </c>
      <c r="B29" s="319"/>
      <c r="C29" s="319"/>
      <c r="D29" s="319"/>
      <c r="E29" s="314"/>
      <c r="F29" s="333" t="s">
        <v>221</v>
      </c>
      <c r="G29" s="334" t="s">
        <v>222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5.75" customHeight="1">
      <c r="A30" s="108" t="s">
        <v>223</v>
      </c>
      <c r="B30" s="109"/>
      <c r="C30" s="110" t="s">
        <v>224</v>
      </c>
      <c r="D30" s="110"/>
      <c r="E30" s="111" t="s">
        <v>225</v>
      </c>
      <c r="F30" s="328"/>
      <c r="G30" s="32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5.75" customHeight="1">
      <c r="A31" s="112" t="s">
        <v>226</v>
      </c>
      <c r="B31" s="113" t="s">
        <v>224</v>
      </c>
      <c r="C31" s="114">
        <v>0</v>
      </c>
      <c r="D31" s="115" t="s">
        <v>225</v>
      </c>
      <c r="E31" s="116">
        <f>(B59*0.5)-0.01</f>
        <v>1832.99</v>
      </c>
      <c r="F31" s="117">
        <v>70.099999999999994</v>
      </c>
      <c r="G31" s="118">
        <v>37.5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5.75" customHeight="1">
      <c r="A32" s="112" t="s">
        <v>227</v>
      </c>
      <c r="B32" s="113" t="s">
        <v>224</v>
      </c>
      <c r="C32" s="119">
        <f t="shared" ref="C32:C38" si="0">E31+0.01</f>
        <v>1833</v>
      </c>
      <c r="D32" s="115" t="s">
        <v>225</v>
      </c>
      <c r="E32" s="116">
        <f>(B59*0.6)-0.01</f>
        <v>2199.5899999999997</v>
      </c>
      <c r="F32" s="117">
        <v>81.900000000000006</v>
      </c>
      <c r="G32" s="118">
        <v>52.6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5.75" customHeight="1">
      <c r="A33" s="112" t="s">
        <v>228</v>
      </c>
      <c r="B33" s="113" t="s">
        <v>224</v>
      </c>
      <c r="C33" s="119">
        <f t="shared" si="0"/>
        <v>2199.6</v>
      </c>
      <c r="D33" s="115" t="s">
        <v>225</v>
      </c>
      <c r="E33" s="116">
        <f>(B59*0.7)-0.01</f>
        <v>2566.1899999999996</v>
      </c>
      <c r="F33" s="117">
        <v>93.4</v>
      </c>
      <c r="G33" s="118">
        <v>70.099999999999994</v>
      </c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5.75" customHeight="1">
      <c r="A34" s="112" t="s">
        <v>229</v>
      </c>
      <c r="B34" s="113" t="s">
        <v>224</v>
      </c>
      <c r="C34" s="119">
        <f t="shared" si="0"/>
        <v>2566.1999999999998</v>
      </c>
      <c r="D34" s="115" t="s">
        <v>225</v>
      </c>
      <c r="E34" s="116">
        <f>(B59*0.9)-0.01</f>
        <v>3299.39</v>
      </c>
      <c r="F34" s="117">
        <v>105</v>
      </c>
      <c r="G34" s="118">
        <v>87.5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.75" customHeight="1">
      <c r="A35" s="112" t="s">
        <v>230</v>
      </c>
      <c r="B35" s="113" t="s">
        <v>224</v>
      </c>
      <c r="C35" s="119">
        <f t="shared" si="0"/>
        <v>3299.4</v>
      </c>
      <c r="D35" s="115" t="s">
        <v>225</v>
      </c>
      <c r="E35" s="116">
        <f>(B59*1.1)-0.01</f>
        <v>4032.59</v>
      </c>
      <c r="F35" s="117">
        <v>128.6</v>
      </c>
      <c r="G35" s="118">
        <v>110.9</v>
      </c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5.75" customHeight="1">
      <c r="A36" s="112" t="s">
        <v>231</v>
      </c>
      <c r="B36" s="113" t="s">
        <v>224</v>
      </c>
      <c r="C36" s="119">
        <f t="shared" si="0"/>
        <v>4032.6000000000004</v>
      </c>
      <c r="D36" s="115" t="s">
        <v>225</v>
      </c>
      <c r="E36" s="116">
        <f>(B59*1.3)-0.01</f>
        <v>4765.79</v>
      </c>
      <c r="F36" s="117">
        <v>151.9</v>
      </c>
      <c r="G36" s="118">
        <v>134.1</v>
      </c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5.75" customHeight="1">
      <c r="A37" s="112" t="s">
        <v>232</v>
      </c>
      <c r="B37" s="113" t="s">
        <v>224</v>
      </c>
      <c r="C37" s="119">
        <f t="shared" si="0"/>
        <v>4765.8</v>
      </c>
      <c r="D37" s="115" t="s">
        <v>225</v>
      </c>
      <c r="E37" s="116">
        <f>(B59*1.5)-0.01</f>
        <v>5498.99</v>
      </c>
      <c r="F37" s="117">
        <v>175.2</v>
      </c>
      <c r="G37" s="118">
        <v>163.4</v>
      </c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5.75" customHeight="1">
      <c r="A38" s="120" t="s">
        <v>233</v>
      </c>
      <c r="B38" s="121" t="s">
        <v>224</v>
      </c>
      <c r="C38" s="122">
        <f t="shared" si="0"/>
        <v>5499</v>
      </c>
      <c r="D38" s="123" t="s">
        <v>234</v>
      </c>
      <c r="E38" s="124" t="s">
        <v>235</v>
      </c>
      <c r="F38" s="125">
        <v>198.5</v>
      </c>
      <c r="G38" s="126">
        <v>186.8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5.75" customHeight="1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5.75" customHeight="1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5.75" customHeight="1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5.75" customHeight="1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5.75" customHeigh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5.75" customHeight="1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5.75" customHeight="1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5.7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5.7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5.75" customHeight="1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5.75" customHeight="1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.75" customHeight="1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.75" customHeight="1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.75" customHeight="1">
      <c r="A52" s="451" t="s">
        <v>236</v>
      </c>
      <c r="B52" s="452"/>
      <c r="C52" s="452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96"/>
      <c r="T52" s="96"/>
      <c r="U52" s="96"/>
      <c r="V52" s="96"/>
      <c r="W52" s="96"/>
      <c r="X52" s="96"/>
      <c r="Y52" s="96"/>
      <c r="Z52" s="96"/>
    </row>
    <row r="53" spans="1:26" ht="15.75" customHeight="1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.75" customHeight="1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.75" customHeight="1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.75" customHeight="1">
      <c r="A56" s="187" t="s">
        <v>237</v>
      </c>
      <c r="B56" s="191">
        <v>2023</v>
      </c>
      <c r="C56" s="96"/>
      <c r="D56" s="96"/>
      <c r="E56" s="96"/>
      <c r="F56" s="96"/>
      <c r="G56" s="128" t="s">
        <v>373</v>
      </c>
      <c r="H56" s="129"/>
      <c r="I56" s="129"/>
      <c r="J56" s="192">
        <f>B59</f>
        <v>3666</v>
      </c>
      <c r="K56" s="130"/>
      <c r="L56" s="129"/>
      <c r="M56" s="129"/>
      <c r="N56" s="129"/>
      <c r="O56" s="129"/>
      <c r="P56" s="129"/>
      <c r="Q56" s="129"/>
      <c r="R56" s="129"/>
      <c r="S56" s="96"/>
      <c r="T56" s="96"/>
      <c r="U56" s="96"/>
      <c r="V56" s="96"/>
      <c r="W56" s="96"/>
      <c r="X56" s="96"/>
      <c r="Y56" s="96"/>
      <c r="Z56" s="96"/>
    </row>
    <row r="57" spans="1:26" ht="15.75" customHeight="1">
      <c r="A57" s="131" t="s">
        <v>238</v>
      </c>
      <c r="B57" s="132">
        <f>B59*12</f>
        <v>43992</v>
      </c>
      <c r="C57" s="96"/>
      <c r="D57" s="96"/>
      <c r="E57" s="96"/>
      <c r="F57" s="96"/>
      <c r="G57" s="128"/>
      <c r="H57" s="129"/>
      <c r="I57" s="129"/>
      <c r="J57" s="130"/>
      <c r="K57" s="130"/>
      <c r="L57" s="129"/>
      <c r="M57" s="129"/>
      <c r="N57" s="129"/>
      <c r="O57" s="129"/>
      <c r="P57" s="129"/>
      <c r="Q57" s="129"/>
      <c r="R57" s="129"/>
      <c r="S57" s="96"/>
      <c r="T57" s="96"/>
      <c r="U57" s="96"/>
      <c r="V57" s="96"/>
      <c r="W57" s="96"/>
      <c r="X57" s="96"/>
      <c r="Y57" s="96"/>
      <c r="Z57" s="96"/>
    </row>
    <row r="58" spans="1:26" ht="15.75" customHeight="1">
      <c r="A58" s="133" t="s">
        <v>239</v>
      </c>
      <c r="B58" s="134">
        <f>B59*3</f>
        <v>10998</v>
      </c>
      <c r="C58" s="96"/>
      <c r="D58" s="96"/>
      <c r="E58" s="96"/>
      <c r="F58" s="96"/>
      <c r="G58" s="128" t="s">
        <v>240</v>
      </c>
      <c r="H58" s="129"/>
      <c r="I58" s="129"/>
      <c r="J58" s="193">
        <v>35</v>
      </c>
      <c r="K58" s="130"/>
      <c r="L58" s="129"/>
      <c r="M58" s="129"/>
      <c r="N58" s="129"/>
      <c r="O58" s="129"/>
      <c r="P58" s="129"/>
      <c r="Q58" s="129"/>
      <c r="R58" s="129"/>
      <c r="S58" s="96"/>
      <c r="T58" s="96"/>
      <c r="U58" s="96"/>
      <c r="V58" s="96"/>
      <c r="W58" s="96"/>
      <c r="X58" s="96"/>
      <c r="Y58" s="96"/>
      <c r="Z58" s="96"/>
    </row>
    <row r="59" spans="1:26" ht="15.75" customHeight="1">
      <c r="A59" s="133" t="s">
        <v>241</v>
      </c>
      <c r="B59" s="188">
        <v>3666</v>
      </c>
      <c r="C59" s="96"/>
      <c r="D59" s="96"/>
      <c r="E59" s="96"/>
      <c r="F59" s="96"/>
      <c r="G59" s="128" t="s">
        <v>242</v>
      </c>
      <c r="H59" s="129"/>
      <c r="I59" s="129"/>
      <c r="J59" s="193"/>
      <c r="K59" s="130"/>
      <c r="L59" s="129"/>
      <c r="M59" s="135"/>
      <c r="N59" s="136"/>
      <c r="O59" s="137"/>
      <c r="P59" s="137"/>
      <c r="Q59" s="138"/>
      <c r="R59" s="129"/>
      <c r="S59" s="96"/>
      <c r="T59" s="96"/>
      <c r="U59" s="96"/>
      <c r="V59" s="96"/>
      <c r="W59" s="96"/>
      <c r="X59" s="96"/>
      <c r="Y59" s="96"/>
      <c r="Z59" s="96"/>
    </row>
    <row r="60" spans="1:26" ht="15.75" customHeight="1">
      <c r="A60" s="133" t="s">
        <v>243</v>
      </c>
      <c r="B60" s="189">
        <v>1833</v>
      </c>
      <c r="C60" s="96"/>
      <c r="D60" s="96"/>
      <c r="E60" s="96"/>
      <c r="F60" s="96"/>
      <c r="G60" s="128" t="s">
        <v>244</v>
      </c>
      <c r="H60" s="129"/>
      <c r="I60" s="129"/>
      <c r="J60" s="139">
        <f>(J58/12*52)+J59</f>
        <v>151.66666666666666</v>
      </c>
      <c r="K60" s="130"/>
      <c r="L60" s="129"/>
      <c r="M60" s="136"/>
      <c r="N60" s="136"/>
      <c r="O60" s="137"/>
      <c r="P60" s="137"/>
      <c r="Q60" s="137"/>
      <c r="R60" s="129"/>
      <c r="S60" s="96"/>
      <c r="T60" s="96"/>
      <c r="U60" s="96"/>
      <c r="V60" s="96"/>
      <c r="W60" s="96"/>
      <c r="X60" s="96"/>
      <c r="Y60" s="96"/>
      <c r="Z60" s="96"/>
    </row>
    <row r="61" spans="1:26" ht="15.75" customHeight="1">
      <c r="A61" s="133" t="s">
        <v>245</v>
      </c>
      <c r="B61" s="189">
        <v>846</v>
      </c>
      <c r="C61" s="96"/>
      <c r="D61" s="96"/>
      <c r="E61" s="96"/>
      <c r="F61" s="96"/>
      <c r="G61" s="128" t="s">
        <v>246</v>
      </c>
      <c r="H61" s="129"/>
      <c r="I61" s="129"/>
      <c r="J61" s="139">
        <v>151.66666599999999</v>
      </c>
      <c r="K61" s="130"/>
      <c r="L61" s="129"/>
      <c r="M61" s="129"/>
      <c r="N61" s="129"/>
      <c r="O61" s="129"/>
      <c r="P61" s="129"/>
      <c r="Q61" s="129"/>
      <c r="R61" s="129"/>
      <c r="S61" s="96"/>
      <c r="T61" s="96"/>
      <c r="U61" s="96"/>
      <c r="V61" s="96"/>
      <c r="W61" s="96"/>
      <c r="X61" s="96"/>
      <c r="Y61" s="96"/>
      <c r="Z61" s="96"/>
    </row>
    <row r="62" spans="1:26" ht="15.75" customHeight="1">
      <c r="A62" s="133" t="s">
        <v>247</v>
      </c>
      <c r="B62" s="189">
        <v>202</v>
      </c>
      <c r="C62" s="96"/>
      <c r="D62" s="96"/>
      <c r="E62" s="96"/>
      <c r="F62" s="96"/>
      <c r="G62" s="128" t="s">
        <v>248</v>
      </c>
      <c r="H62" s="129"/>
      <c r="I62" s="129"/>
      <c r="J62" s="140">
        <v>31</v>
      </c>
      <c r="K62" s="129"/>
      <c r="L62" s="129"/>
      <c r="M62" s="129"/>
      <c r="N62" s="129"/>
      <c r="O62" s="129"/>
      <c r="P62" s="129"/>
      <c r="Q62" s="129"/>
      <c r="R62" s="129"/>
      <c r="S62" s="96"/>
      <c r="T62" s="96"/>
      <c r="U62" s="96"/>
      <c r="V62" s="96"/>
      <c r="W62" s="96"/>
      <c r="X62" s="96"/>
      <c r="Y62" s="96"/>
      <c r="Z62" s="96"/>
    </row>
    <row r="63" spans="1:26" ht="15.75" customHeight="1">
      <c r="A63" s="141" t="s">
        <v>249</v>
      </c>
      <c r="B63" s="190">
        <v>27</v>
      </c>
      <c r="C63" s="96"/>
      <c r="D63" s="96"/>
      <c r="E63" s="96"/>
      <c r="F63" s="96"/>
      <c r="G63" s="128" t="s">
        <v>250</v>
      </c>
      <c r="H63" s="129"/>
      <c r="I63" s="129"/>
      <c r="J63" s="140">
        <v>31</v>
      </c>
      <c r="K63" s="129"/>
      <c r="L63" s="129"/>
      <c r="M63" s="129"/>
      <c r="N63" s="129"/>
      <c r="O63" s="129"/>
      <c r="P63" s="129"/>
      <c r="Q63" s="129"/>
      <c r="R63" s="129"/>
      <c r="S63" s="96"/>
      <c r="T63" s="96"/>
      <c r="U63" s="96"/>
      <c r="V63" s="96"/>
      <c r="W63" s="96"/>
      <c r="X63" s="96"/>
      <c r="Y63" s="96"/>
      <c r="Z63" s="96"/>
    </row>
    <row r="64" spans="1:26" ht="15.75" customHeight="1">
      <c r="A64" s="96"/>
      <c r="B64" s="96"/>
      <c r="C64" s="96"/>
      <c r="D64" s="96"/>
      <c r="E64" s="96"/>
      <c r="F64" s="96"/>
      <c r="G64" s="128"/>
      <c r="H64" s="129"/>
      <c r="I64" s="129"/>
      <c r="J64" s="142"/>
      <c r="K64" s="129"/>
      <c r="L64" s="129"/>
      <c r="M64" s="129"/>
      <c r="N64" s="129"/>
      <c r="O64" s="129"/>
      <c r="P64" s="129"/>
      <c r="Q64" s="129"/>
      <c r="R64" s="129"/>
      <c r="S64" s="96"/>
      <c r="T64" s="96"/>
      <c r="U64" s="96"/>
      <c r="V64" s="96"/>
      <c r="W64" s="96"/>
      <c r="X64" s="96"/>
      <c r="Y64" s="96"/>
      <c r="Z64" s="96"/>
    </row>
    <row r="65" spans="1:26" ht="15.75" customHeight="1">
      <c r="A65" s="453" t="s">
        <v>251</v>
      </c>
      <c r="B65" s="127">
        <v>2019</v>
      </c>
      <c r="C65" s="127" t="s">
        <v>252</v>
      </c>
      <c r="D65" s="96"/>
      <c r="E65" s="96"/>
      <c r="F65" s="96"/>
      <c r="G65" s="128"/>
      <c r="H65" s="129"/>
      <c r="I65" s="129"/>
      <c r="J65" s="142"/>
      <c r="K65" s="129"/>
      <c r="L65" s="129"/>
      <c r="M65" s="129"/>
      <c r="N65" s="129"/>
      <c r="O65" s="129"/>
      <c r="P65" s="129"/>
      <c r="Q65" s="129"/>
      <c r="R65" s="129"/>
      <c r="S65" s="96"/>
      <c r="T65" s="96"/>
      <c r="U65" s="96"/>
      <c r="V65" s="96"/>
      <c r="W65" s="96"/>
      <c r="X65" s="96"/>
      <c r="Y65" s="96"/>
      <c r="Z65" s="96"/>
    </row>
    <row r="66" spans="1:26" ht="15.75" customHeight="1">
      <c r="A66" s="143" t="s">
        <v>253</v>
      </c>
      <c r="B66" s="144">
        <f>B59</f>
        <v>3666</v>
      </c>
      <c r="C66" s="145" t="s">
        <v>254</v>
      </c>
      <c r="D66" s="96"/>
      <c r="E66" s="96"/>
      <c r="F66" s="96"/>
      <c r="G66" s="135" t="s">
        <v>255</v>
      </c>
      <c r="H66" s="136"/>
      <c r="I66" s="137">
        <f>J56</f>
        <v>3666</v>
      </c>
      <c r="J66" s="137" t="s">
        <v>256</v>
      </c>
      <c r="K66" s="138">
        <f t="shared" ref="K66:K67" si="1">J60</f>
        <v>151.66666666666666</v>
      </c>
      <c r="L66" s="137" t="s">
        <v>257</v>
      </c>
      <c r="M66" s="325">
        <f>I66*K66/K67</f>
        <v>3666.0000161142862</v>
      </c>
      <c r="N66" s="136" t="s">
        <v>256</v>
      </c>
      <c r="O66" s="146">
        <f t="shared" ref="O66:O67" si="2">J62</f>
        <v>31</v>
      </c>
      <c r="P66" s="129" t="s">
        <v>257</v>
      </c>
      <c r="Q66" s="327">
        <f>M66*O66/O67</f>
        <v>3666.0000161142862</v>
      </c>
      <c r="R66" s="129"/>
      <c r="S66" s="96"/>
      <c r="T66" s="96"/>
      <c r="U66" s="96"/>
      <c r="V66" s="96"/>
      <c r="W66" s="96"/>
      <c r="X66" s="96"/>
      <c r="Y66" s="96"/>
      <c r="Z66" s="96"/>
    </row>
    <row r="67" spans="1:26" ht="15.75" customHeight="1">
      <c r="A67" s="143" t="s">
        <v>258</v>
      </c>
      <c r="B67" s="144">
        <f>B59*8</f>
        <v>29328</v>
      </c>
      <c r="C67" s="145" t="s">
        <v>259</v>
      </c>
      <c r="D67" s="96"/>
      <c r="E67" s="96"/>
      <c r="F67" s="96"/>
      <c r="G67" s="136"/>
      <c r="H67" s="136"/>
      <c r="I67" s="137"/>
      <c r="J67" s="137"/>
      <c r="K67" s="137">
        <f t="shared" si="1"/>
        <v>151.66666599999999</v>
      </c>
      <c r="L67" s="137"/>
      <c r="M67" s="326"/>
      <c r="N67" s="136"/>
      <c r="O67" s="136">
        <f t="shared" si="2"/>
        <v>31</v>
      </c>
      <c r="P67" s="129"/>
      <c r="Q67" s="328"/>
      <c r="R67" s="129"/>
      <c r="S67" s="96"/>
      <c r="T67" s="96"/>
      <c r="U67" s="96"/>
      <c r="V67" s="96"/>
      <c r="W67" s="96"/>
      <c r="X67" s="96"/>
      <c r="Y67" s="96"/>
      <c r="Z67" s="96"/>
    </row>
    <row r="68" spans="1:26" ht="15.75" customHeight="1" thickBot="1">
      <c r="A68" s="96"/>
      <c r="B68" s="96"/>
      <c r="C68" s="96"/>
      <c r="D68" s="96"/>
      <c r="E68" s="96"/>
      <c r="F68" s="96"/>
      <c r="G68" s="129"/>
      <c r="H68" s="129"/>
      <c r="I68" s="129"/>
      <c r="J68" s="96"/>
      <c r="K68" s="129"/>
      <c r="L68" s="129"/>
      <c r="M68" s="129"/>
      <c r="N68" s="129"/>
      <c r="O68" s="129"/>
      <c r="P68" s="129"/>
      <c r="Q68" s="129"/>
      <c r="R68" s="129"/>
      <c r="S68" s="96"/>
      <c r="T68" s="96"/>
      <c r="U68" s="96"/>
      <c r="V68" s="96"/>
      <c r="W68" s="96"/>
      <c r="X68" s="96"/>
      <c r="Y68" s="96"/>
      <c r="Z68" s="96"/>
    </row>
    <row r="69" spans="1:26" ht="15.75" customHeight="1">
      <c r="A69" s="96"/>
      <c r="B69" s="96"/>
      <c r="C69" s="96"/>
      <c r="D69" s="96"/>
      <c r="E69" s="96"/>
      <c r="F69" s="96"/>
      <c r="G69" s="614" t="s">
        <v>260</v>
      </c>
      <c r="H69" s="616" t="s">
        <v>261</v>
      </c>
      <c r="I69" s="617"/>
      <c r="J69" s="618" t="s">
        <v>262</v>
      </c>
      <c r="K69" s="619"/>
      <c r="L69" s="616" t="s">
        <v>34</v>
      </c>
      <c r="M69" s="617"/>
      <c r="N69" s="616" t="s">
        <v>263</v>
      </c>
      <c r="O69" s="620"/>
      <c r="P69" s="443" t="s">
        <v>587</v>
      </c>
      <c r="Q69" s="612" t="s">
        <v>591</v>
      </c>
      <c r="R69" s="612" t="s">
        <v>589</v>
      </c>
      <c r="S69" s="612" t="s">
        <v>590</v>
      </c>
      <c r="T69" s="96"/>
      <c r="U69" s="96"/>
      <c r="V69" s="96"/>
      <c r="W69" s="96"/>
      <c r="X69" s="96"/>
      <c r="Y69" s="96"/>
      <c r="Z69" s="96"/>
    </row>
    <row r="70" spans="1:26" ht="28.5" customHeight="1" thickBot="1">
      <c r="A70" s="96"/>
      <c r="B70" s="96"/>
      <c r="C70" s="96"/>
      <c r="D70" s="96"/>
      <c r="E70" s="96"/>
      <c r="F70" s="462" t="s">
        <v>374</v>
      </c>
      <c r="G70" s="615"/>
      <c r="H70" s="439" t="s">
        <v>264</v>
      </c>
      <c r="I70" s="440" t="s">
        <v>375</v>
      </c>
      <c r="J70" s="439" t="s">
        <v>264</v>
      </c>
      <c r="K70" s="440" t="s">
        <v>265</v>
      </c>
      <c r="L70" s="439" t="s">
        <v>264</v>
      </c>
      <c r="M70" s="440" t="s">
        <v>265</v>
      </c>
      <c r="N70" s="441" t="s">
        <v>264</v>
      </c>
      <c r="O70" s="442" t="s">
        <v>265</v>
      </c>
      <c r="P70" s="444" t="s">
        <v>588</v>
      </c>
      <c r="Q70" s="613"/>
      <c r="R70" s="613"/>
      <c r="S70" s="613"/>
      <c r="T70" s="96"/>
      <c r="U70" s="96"/>
      <c r="V70" s="96"/>
      <c r="W70" s="96"/>
      <c r="X70" s="96"/>
      <c r="Y70" s="96"/>
      <c r="Z70" s="96"/>
    </row>
    <row r="71" spans="1:26" ht="15.75" customHeight="1">
      <c r="A71" s="96"/>
      <c r="B71" s="96"/>
      <c r="C71" s="96"/>
      <c r="D71" s="96"/>
      <c r="E71" s="96"/>
      <c r="F71" s="96"/>
      <c r="G71" s="429" t="s">
        <v>575</v>
      </c>
      <c r="H71" s="430">
        <f>'BULLETIN '!J31</f>
        <v>2000</v>
      </c>
      <c r="I71" s="430">
        <f>H71</f>
        <v>2000</v>
      </c>
      <c r="J71" s="430">
        <f>$B$59</f>
        <v>3666</v>
      </c>
      <c r="K71" s="430">
        <f>J71</f>
        <v>3666</v>
      </c>
      <c r="L71" s="446">
        <f>IF(I71&lt;J71,I71,J71)</f>
        <v>2000</v>
      </c>
      <c r="M71" s="430">
        <f>IF(I71&gt;J71,J71,H71)</f>
        <v>2000</v>
      </c>
      <c r="N71" s="431">
        <f>IF(M71=K71,I71-L71,0)</f>
        <v>0</v>
      </c>
      <c r="O71" s="432">
        <f>N71</f>
        <v>0</v>
      </c>
      <c r="P71" s="438">
        <f>8*B59</f>
        <v>29328</v>
      </c>
      <c r="Q71" s="448">
        <f>N71-S71</f>
        <v>0</v>
      </c>
      <c r="R71" s="437">
        <f>IF(I71&gt;P71,I71-P71,0)</f>
        <v>0</v>
      </c>
      <c r="S71" s="437">
        <f>R71</f>
        <v>0</v>
      </c>
      <c r="T71" s="96"/>
      <c r="U71" s="96"/>
      <c r="V71" s="96"/>
      <c r="W71" s="96"/>
      <c r="X71" s="96"/>
      <c r="Y71" s="96"/>
      <c r="Z71" s="96"/>
    </row>
    <row r="72" spans="1:26" ht="15.75" customHeight="1">
      <c r="A72" s="96"/>
      <c r="B72" s="96"/>
      <c r="C72" s="96"/>
      <c r="D72" s="96"/>
      <c r="E72" s="96"/>
      <c r="F72" s="96"/>
      <c r="G72" s="433" t="s">
        <v>576</v>
      </c>
      <c r="H72" s="434">
        <v>4000</v>
      </c>
      <c r="I72" s="434">
        <f t="shared" ref="I72:I82" si="3">I71+H72</f>
        <v>6000</v>
      </c>
      <c r="J72" s="434">
        <f t="shared" ref="J72:J82" si="4">$B$59</f>
        <v>3666</v>
      </c>
      <c r="K72" s="434">
        <f t="shared" ref="K72:K82" si="5">K71+J72</f>
        <v>7332</v>
      </c>
      <c r="L72" s="447">
        <f>IF(I72&lt;K72,I72-M71,IF(I72&gt;K72,K72-M71,H72))</f>
        <v>4000</v>
      </c>
      <c r="M72" s="434">
        <f>M71+L72</f>
        <v>6000</v>
      </c>
      <c r="N72" s="434">
        <f>IF(M72=K72,(H72-L72),IF(M72&lt;K72,-O71,0))</f>
        <v>0</v>
      </c>
      <c r="O72" s="434">
        <f>O71+N72</f>
        <v>0</v>
      </c>
      <c r="P72" s="438">
        <f>(8*$B$59)+P71</f>
        <v>58656</v>
      </c>
      <c r="Q72" s="448">
        <f t="shared" ref="Q72:Q82" si="6">N72-S72</f>
        <v>0</v>
      </c>
      <c r="R72" s="437">
        <f t="shared" ref="R72:R82" si="7">IF(I72&gt;P72,I72-P72,0)</f>
        <v>0</v>
      </c>
      <c r="S72" s="437">
        <f>IF(R72=0,-R71,R72-S71)</f>
        <v>0</v>
      </c>
      <c r="T72" s="96"/>
      <c r="U72" s="96"/>
      <c r="V72" s="96"/>
      <c r="W72" s="96"/>
      <c r="X72" s="96"/>
      <c r="Y72" s="96"/>
      <c r="Z72" s="96"/>
    </row>
    <row r="73" spans="1:26" ht="15.75" customHeight="1">
      <c r="A73" s="96"/>
      <c r="B73" s="96"/>
      <c r="C73" s="96"/>
      <c r="D73" s="96"/>
      <c r="E73" s="96"/>
      <c r="F73" s="96"/>
      <c r="G73" s="433" t="s">
        <v>577</v>
      </c>
      <c r="H73" s="434">
        <v>4000</v>
      </c>
      <c r="I73" s="434">
        <f t="shared" si="3"/>
        <v>10000</v>
      </c>
      <c r="J73" s="434">
        <f t="shared" si="4"/>
        <v>3666</v>
      </c>
      <c r="K73" s="434">
        <f t="shared" si="5"/>
        <v>10998</v>
      </c>
      <c r="L73" s="447">
        <f t="shared" ref="L73:L82" si="8">IF(I73&lt;K73,I73-M72,IF(I73&gt;K73,K73-M72,H73))</f>
        <v>4000</v>
      </c>
      <c r="M73" s="434">
        <f t="shared" ref="M73:M82" si="9">M72+L73</f>
        <v>10000</v>
      </c>
      <c r="N73" s="434">
        <f t="shared" ref="N73:N82" si="10">IF(M73=K73,(H73-L73),IF(M73&lt;K73,-O72,0))</f>
        <v>0</v>
      </c>
      <c r="O73" s="434">
        <f t="shared" ref="O73:O82" si="11">O72+N73</f>
        <v>0</v>
      </c>
      <c r="P73" s="438">
        <f t="shared" ref="P73:P82" si="12">(8*$B$59)+P72</f>
        <v>87984</v>
      </c>
      <c r="Q73" s="448">
        <f t="shared" si="6"/>
        <v>0</v>
      </c>
      <c r="R73" s="437">
        <f t="shared" si="7"/>
        <v>0</v>
      </c>
      <c r="S73" s="437">
        <f>IF(R73=0,-R72,R73-S72-S71)</f>
        <v>0</v>
      </c>
      <c r="T73" s="96"/>
      <c r="U73" s="96"/>
      <c r="V73" s="96"/>
      <c r="W73" s="96"/>
      <c r="X73" s="96"/>
      <c r="Y73" s="96"/>
      <c r="Z73" s="96"/>
    </row>
    <row r="74" spans="1:26" ht="15.75" customHeight="1">
      <c r="A74" s="96"/>
      <c r="B74" s="96"/>
      <c r="C74" s="96"/>
      <c r="D74" s="96"/>
      <c r="E74" s="96"/>
      <c r="F74" s="96"/>
      <c r="G74" s="433" t="s">
        <v>578</v>
      </c>
      <c r="H74" s="434">
        <v>2000</v>
      </c>
      <c r="I74" s="434">
        <f t="shared" si="3"/>
        <v>12000</v>
      </c>
      <c r="J74" s="434">
        <f t="shared" si="4"/>
        <v>3666</v>
      </c>
      <c r="K74" s="434">
        <f t="shared" si="5"/>
        <v>14664</v>
      </c>
      <c r="L74" s="447">
        <f t="shared" si="8"/>
        <v>2000</v>
      </c>
      <c r="M74" s="434">
        <f t="shared" si="9"/>
        <v>12000</v>
      </c>
      <c r="N74" s="434">
        <f t="shared" si="10"/>
        <v>0</v>
      </c>
      <c r="O74" s="434">
        <f t="shared" si="11"/>
        <v>0</v>
      </c>
      <c r="P74" s="438">
        <f t="shared" si="12"/>
        <v>117312</v>
      </c>
      <c r="Q74" s="448">
        <f t="shared" si="6"/>
        <v>0</v>
      </c>
      <c r="R74" s="437">
        <f t="shared" si="7"/>
        <v>0</v>
      </c>
      <c r="S74" s="437">
        <f>IF(R74=0,-R73,R74-S73-S72-S71)</f>
        <v>0</v>
      </c>
      <c r="T74" s="96"/>
      <c r="U74" s="96"/>
      <c r="V74" s="96"/>
      <c r="W74" s="96"/>
      <c r="X74" s="96"/>
      <c r="Y74" s="96"/>
      <c r="Z74" s="96"/>
    </row>
    <row r="75" spans="1:26" ht="15.75" customHeight="1">
      <c r="A75" s="96"/>
      <c r="B75" s="96"/>
      <c r="C75" s="96"/>
      <c r="D75" s="96"/>
      <c r="E75" s="96"/>
      <c r="F75" s="96"/>
      <c r="G75" s="433" t="s">
        <v>579</v>
      </c>
      <c r="H75" s="434">
        <v>2000</v>
      </c>
      <c r="I75" s="434">
        <f t="shared" si="3"/>
        <v>14000</v>
      </c>
      <c r="J75" s="434">
        <f t="shared" si="4"/>
        <v>3666</v>
      </c>
      <c r="K75" s="434">
        <f t="shared" si="5"/>
        <v>18330</v>
      </c>
      <c r="L75" s="447">
        <f t="shared" si="8"/>
        <v>2000</v>
      </c>
      <c r="M75" s="434">
        <f t="shared" si="9"/>
        <v>14000</v>
      </c>
      <c r="N75" s="434">
        <f t="shared" si="10"/>
        <v>0</v>
      </c>
      <c r="O75" s="434">
        <f t="shared" si="11"/>
        <v>0</v>
      </c>
      <c r="P75" s="438">
        <f t="shared" si="12"/>
        <v>146640</v>
      </c>
      <c r="Q75" s="448">
        <f t="shared" si="6"/>
        <v>0</v>
      </c>
      <c r="R75" s="437">
        <f t="shared" si="7"/>
        <v>0</v>
      </c>
      <c r="S75" s="437">
        <f>IF(R75=0,-R74,R75-S74-S73-S72-S71)</f>
        <v>0</v>
      </c>
      <c r="T75" s="96"/>
      <c r="U75" s="96"/>
      <c r="V75" s="96"/>
      <c r="W75" s="96"/>
      <c r="X75" s="96"/>
      <c r="Y75" s="96"/>
      <c r="Z75" s="96"/>
    </row>
    <row r="76" spans="1:26" ht="15.75" customHeight="1">
      <c r="A76" s="96"/>
      <c r="B76" s="96"/>
      <c r="C76" s="96"/>
      <c r="D76" s="96"/>
      <c r="E76" s="96"/>
      <c r="F76" s="96"/>
      <c r="G76" s="433" t="s">
        <v>580</v>
      </c>
      <c r="H76" s="434">
        <v>2000</v>
      </c>
      <c r="I76" s="434">
        <f t="shared" si="3"/>
        <v>16000</v>
      </c>
      <c r="J76" s="434">
        <f t="shared" si="4"/>
        <v>3666</v>
      </c>
      <c r="K76" s="434">
        <f t="shared" si="5"/>
        <v>21996</v>
      </c>
      <c r="L76" s="447">
        <f t="shared" si="8"/>
        <v>2000</v>
      </c>
      <c r="M76" s="434">
        <f t="shared" si="9"/>
        <v>16000</v>
      </c>
      <c r="N76" s="434">
        <f t="shared" si="10"/>
        <v>0</v>
      </c>
      <c r="O76" s="434">
        <f t="shared" si="11"/>
        <v>0</v>
      </c>
      <c r="P76" s="438">
        <f t="shared" si="12"/>
        <v>175968</v>
      </c>
      <c r="Q76" s="448">
        <f t="shared" si="6"/>
        <v>0</v>
      </c>
      <c r="R76" s="437">
        <f t="shared" si="7"/>
        <v>0</v>
      </c>
      <c r="S76" s="437">
        <f>IF(R76=0,-R75,R76-S75-S74-S73-S72-S71)</f>
        <v>0</v>
      </c>
      <c r="T76" s="96"/>
      <c r="U76" s="96"/>
      <c r="V76" s="96"/>
      <c r="W76" s="96"/>
      <c r="X76" s="96"/>
      <c r="Y76" s="96"/>
      <c r="Z76" s="96"/>
    </row>
    <row r="77" spans="1:26" ht="15.75" customHeight="1">
      <c r="A77" s="96"/>
      <c r="B77" s="96"/>
      <c r="C77" s="96"/>
      <c r="D77" s="96"/>
      <c r="E77" s="96"/>
      <c r="F77" s="96"/>
      <c r="G77" s="433" t="s">
        <v>581</v>
      </c>
      <c r="H77" s="434">
        <v>2000</v>
      </c>
      <c r="I77" s="434">
        <f t="shared" si="3"/>
        <v>18000</v>
      </c>
      <c r="J77" s="434">
        <f t="shared" si="4"/>
        <v>3666</v>
      </c>
      <c r="K77" s="434">
        <f t="shared" si="5"/>
        <v>25662</v>
      </c>
      <c r="L77" s="447">
        <f t="shared" si="8"/>
        <v>2000</v>
      </c>
      <c r="M77" s="434">
        <f t="shared" si="9"/>
        <v>18000</v>
      </c>
      <c r="N77" s="434">
        <f t="shared" si="10"/>
        <v>0</v>
      </c>
      <c r="O77" s="434">
        <f t="shared" si="11"/>
        <v>0</v>
      </c>
      <c r="P77" s="438">
        <f t="shared" si="12"/>
        <v>205296</v>
      </c>
      <c r="Q77" s="448">
        <f t="shared" si="6"/>
        <v>0</v>
      </c>
      <c r="R77" s="437">
        <f t="shared" si="7"/>
        <v>0</v>
      </c>
      <c r="S77" s="437">
        <f>IF(R77=0,-R76,R77-S76-S75-S74-S73-S72-S71)</f>
        <v>0</v>
      </c>
      <c r="T77" s="96"/>
      <c r="U77" s="96"/>
      <c r="V77" s="96"/>
      <c r="W77" s="96"/>
      <c r="X77" s="96"/>
      <c r="Y77" s="96"/>
      <c r="Z77" s="96"/>
    </row>
    <row r="78" spans="1:26" ht="15.75" customHeight="1">
      <c r="A78" s="96"/>
      <c r="B78" s="96"/>
      <c r="C78" s="96"/>
      <c r="D78" s="96"/>
      <c r="E78" s="96"/>
      <c r="F78" s="96"/>
      <c r="G78" s="433" t="s">
        <v>582</v>
      </c>
      <c r="H78" s="434">
        <v>2000</v>
      </c>
      <c r="I78" s="434">
        <f t="shared" si="3"/>
        <v>20000</v>
      </c>
      <c r="J78" s="434">
        <f t="shared" si="4"/>
        <v>3666</v>
      </c>
      <c r="K78" s="434">
        <f t="shared" si="5"/>
        <v>29328</v>
      </c>
      <c r="L78" s="447">
        <f t="shared" si="8"/>
        <v>2000</v>
      </c>
      <c r="M78" s="434">
        <f t="shared" si="9"/>
        <v>20000</v>
      </c>
      <c r="N78" s="434">
        <f t="shared" si="10"/>
        <v>0</v>
      </c>
      <c r="O78" s="434">
        <f t="shared" si="11"/>
        <v>0</v>
      </c>
      <c r="P78" s="438">
        <f t="shared" si="12"/>
        <v>234624</v>
      </c>
      <c r="Q78" s="448">
        <f t="shared" si="6"/>
        <v>0</v>
      </c>
      <c r="R78" s="437">
        <f t="shared" si="7"/>
        <v>0</v>
      </c>
      <c r="S78" s="437">
        <f>IF(R78=0,-R77,R78-S77-S76-S75-S74-S73-S72-S71)</f>
        <v>0</v>
      </c>
      <c r="T78" s="96"/>
      <c r="U78" s="96"/>
      <c r="V78" s="96"/>
      <c r="W78" s="96"/>
      <c r="X78" s="96"/>
      <c r="Y78" s="96"/>
      <c r="Z78" s="96"/>
    </row>
    <row r="79" spans="1:26" ht="15.75" customHeight="1">
      <c r="A79" s="96"/>
      <c r="B79" s="96"/>
      <c r="C79" s="96"/>
      <c r="D79" s="96"/>
      <c r="E79" s="96"/>
      <c r="F79" s="96"/>
      <c r="G79" s="433" t="s">
        <v>583</v>
      </c>
      <c r="H79" s="434">
        <v>2000</v>
      </c>
      <c r="I79" s="434">
        <f t="shared" si="3"/>
        <v>22000</v>
      </c>
      <c r="J79" s="434">
        <f t="shared" si="4"/>
        <v>3666</v>
      </c>
      <c r="K79" s="434">
        <f t="shared" si="5"/>
        <v>32994</v>
      </c>
      <c r="L79" s="447">
        <f t="shared" si="8"/>
        <v>2000</v>
      </c>
      <c r="M79" s="434">
        <f t="shared" si="9"/>
        <v>22000</v>
      </c>
      <c r="N79" s="434">
        <f t="shared" si="10"/>
        <v>0</v>
      </c>
      <c r="O79" s="434">
        <f t="shared" si="11"/>
        <v>0</v>
      </c>
      <c r="P79" s="438">
        <f t="shared" si="12"/>
        <v>263952</v>
      </c>
      <c r="Q79" s="448">
        <f t="shared" si="6"/>
        <v>0</v>
      </c>
      <c r="R79" s="437">
        <f t="shared" si="7"/>
        <v>0</v>
      </c>
      <c r="S79" s="437">
        <f>IF(R79=0,-R78,R79-S78-S77-S76-S75-S74-S73-S72-S71)</f>
        <v>0</v>
      </c>
      <c r="T79" s="96"/>
      <c r="U79" s="96"/>
      <c r="V79" s="96"/>
      <c r="W79" s="96"/>
      <c r="X79" s="96"/>
      <c r="Y79" s="96"/>
      <c r="Z79" s="96"/>
    </row>
    <row r="80" spans="1:26" ht="15.75" customHeight="1">
      <c r="A80" s="96"/>
      <c r="B80" s="96"/>
      <c r="C80" s="96"/>
      <c r="D80" s="96"/>
      <c r="E80" s="96"/>
      <c r="F80" s="96"/>
      <c r="G80" s="433" t="s">
        <v>584</v>
      </c>
      <c r="H80" s="434">
        <v>2000</v>
      </c>
      <c r="I80" s="434">
        <f t="shared" si="3"/>
        <v>24000</v>
      </c>
      <c r="J80" s="434">
        <f t="shared" si="4"/>
        <v>3666</v>
      </c>
      <c r="K80" s="434">
        <f t="shared" si="5"/>
        <v>36660</v>
      </c>
      <c r="L80" s="447">
        <f t="shared" si="8"/>
        <v>2000</v>
      </c>
      <c r="M80" s="434">
        <f t="shared" si="9"/>
        <v>24000</v>
      </c>
      <c r="N80" s="434">
        <f t="shared" si="10"/>
        <v>0</v>
      </c>
      <c r="O80" s="434">
        <f t="shared" si="11"/>
        <v>0</v>
      </c>
      <c r="P80" s="438">
        <f t="shared" si="12"/>
        <v>293280</v>
      </c>
      <c r="Q80" s="448">
        <f t="shared" si="6"/>
        <v>0</v>
      </c>
      <c r="R80" s="437">
        <f t="shared" si="7"/>
        <v>0</v>
      </c>
      <c r="S80" s="437">
        <f>IF(R80=0,-R79,R80-S79-S78-S77-S76-S75-S74-S73-S72-S71)</f>
        <v>0</v>
      </c>
      <c r="T80" s="96"/>
      <c r="U80" s="96"/>
      <c r="V80" s="96"/>
      <c r="W80" s="96"/>
      <c r="X80" s="96"/>
      <c r="Y80" s="96"/>
      <c r="Z80" s="96"/>
    </row>
    <row r="81" spans="1:26" ht="15.75" customHeight="1">
      <c r="A81" s="96"/>
      <c r="B81" s="96"/>
      <c r="C81" s="96"/>
      <c r="D81" s="96"/>
      <c r="E81" s="96"/>
      <c r="F81" s="96"/>
      <c r="G81" s="433" t="s">
        <v>585</v>
      </c>
      <c r="H81" s="434">
        <v>2000</v>
      </c>
      <c r="I81" s="434">
        <f t="shared" si="3"/>
        <v>26000</v>
      </c>
      <c r="J81" s="434">
        <f t="shared" si="4"/>
        <v>3666</v>
      </c>
      <c r="K81" s="434">
        <f t="shared" si="5"/>
        <v>40326</v>
      </c>
      <c r="L81" s="447">
        <f t="shared" si="8"/>
        <v>2000</v>
      </c>
      <c r="M81" s="434">
        <f t="shared" si="9"/>
        <v>26000</v>
      </c>
      <c r="N81" s="434">
        <f t="shared" si="10"/>
        <v>0</v>
      </c>
      <c r="O81" s="434">
        <f t="shared" si="11"/>
        <v>0</v>
      </c>
      <c r="P81" s="438">
        <f t="shared" si="12"/>
        <v>322608</v>
      </c>
      <c r="Q81" s="448">
        <f t="shared" si="6"/>
        <v>0</v>
      </c>
      <c r="R81" s="437">
        <f t="shared" si="7"/>
        <v>0</v>
      </c>
      <c r="S81" s="437">
        <f>IF(R81=0,-R80,R81-S80-S79-S78-S77-S76-S75-S74-S73-S72-S71)</f>
        <v>0</v>
      </c>
      <c r="T81" s="96"/>
      <c r="U81" s="96"/>
      <c r="V81" s="96"/>
      <c r="W81" s="96"/>
      <c r="X81" s="96"/>
      <c r="Y81" s="96"/>
      <c r="Z81" s="96"/>
    </row>
    <row r="82" spans="1:26" ht="15.75" customHeight="1">
      <c r="A82" s="96"/>
      <c r="B82" s="96"/>
      <c r="C82" s="96"/>
      <c r="D82" s="96"/>
      <c r="E82" s="96"/>
      <c r="F82" s="96"/>
      <c r="G82" s="433" t="s">
        <v>586</v>
      </c>
      <c r="H82" s="434">
        <v>2000</v>
      </c>
      <c r="I82" s="434">
        <f t="shared" si="3"/>
        <v>28000</v>
      </c>
      <c r="J82" s="434">
        <f t="shared" si="4"/>
        <v>3666</v>
      </c>
      <c r="K82" s="434">
        <f t="shared" si="5"/>
        <v>43992</v>
      </c>
      <c r="L82" s="447">
        <f t="shared" si="8"/>
        <v>2000</v>
      </c>
      <c r="M82" s="434">
        <f t="shared" si="9"/>
        <v>28000</v>
      </c>
      <c r="N82" s="434">
        <f t="shared" si="10"/>
        <v>0</v>
      </c>
      <c r="O82" s="434">
        <f t="shared" si="11"/>
        <v>0</v>
      </c>
      <c r="P82" s="438">
        <f t="shared" si="12"/>
        <v>351936</v>
      </c>
      <c r="Q82" s="448">
        <f t="shared" si="6"/>
        <v>0</v>
      </c>
      <c r="R82" s="437">
        <f t="shared" si="7"/>
        <v>0</v>
      </c>
      <c r="S82" s="437">
        <f>IF(R82=0,-R81,R82-S81-S80-S79-S78-S77-S76-S75-S74-S73-S72-S71)</f>
        <v>0</v>
      </c>
      <c r="T82" s="96"/>
      <c r="U82" s="96"/>
      <c r="V82" s="96"/>
      <c r="W82" s="96"/>
      <c r="X82" s="96"/>
      <c r="Y82" s="96"/>
      <c r="Z82" s="96"/>
    </row>
    <row r="83" spans="1:26" ht="15.75" customHeight="1">
      <c r="A83" s="96"/>
      <c r="B83" s="96"/>
      <c r="C83" s="96"/>
      <c r="D83" s="96"/>
      <c r="E83" s="96"/>
      <c r="F83" s="96"/>
      <c r="G83" s="435" t="s">
        <v>278</v>
      </c>
      <c r="H83" s="436">
        <f>SUM(H71:H82)</f>
        <v>28000</v>
      </c>
      <c r="I83" s="445"/>
      <c r="J83" s="436">
        <f>SUM(J71:J82)</f>
        <v>43992</v>
      </c>
      <c r="K83" s="445"/>
      <c r="L83" s="436">
        <f>SUM(L71:L82)</f>
        <v>28000</v>
      </c>
      <c r="M83" s="445"/>
      <c r="N83" s="436">
        <f>SUM(N71:O82)</f>
        <v>0</v>
      </c>
      <c r="O83" s="445"/>
      <c r="P83" s="445"/>
      <c r="Q83" s="445"/>
      <c r="R83" s="445"/>
      <c r="S83" s="445"/>
      <c r="T83" s="96"/>
      <c r="U83" s="96"/>
      <c r="V83" s="96"/>
      <c r="W83" s="96"/>
      <c r="X83" s="96"/>
      <c r="Y83" s="96"/>
      <c r="Z83" s="96"/>
    </row>
    <row r="84" spans="1:26" s="302" customFormat="1" ht="15.75" customHeight="1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.75" customHeight="1">
      <c r="A85" s="96"/>
      <c r="B85" s="96"/>
      <c r="C85" s="96"/>
      <c r="D85" s="96"/>
      <c r="E85" s="96"/>
      <c r="F85" s="96"/>
      <c r="G85" s="639" t="s">
        <v>595</v>
      </c>
      <c r="H85" s="639"/>
      <c r="I85" s="632"/>
      <c r="J85" s="147" t="s">
        <v>605</v>
      </c>
      <c r="K85" s="147" t="s">
        <v>605</v>
      </c>
      <c r="L85" s="632" t="s">
        <v>152</v>
      </c>
      <c r="M85" s="632" t="s">
        <v>609</v>
      </c>
      <c r="N85" s="632" t="s">
        <v>612</v>
      </c>
      <c r="O85" s="632" t="s">
        <v>611</v>
      </c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.75" customHeight="1">
      <c r="A86" s="96"/>
      <c r="B86" s="96"/>
      <c r="C86" s="96"/>
      <c r="D86" s="96"/>
      <c r="E86" s="96"/>
      <c r="F86" s="96"/>
      <c r="G86" s="632" t="s">
        <v>260</v>
      </c>
      <c r="H86" s="635" t="s">
        <v>261</v>
      </c>
      <c r="I86" s="636"/>
      <c r="J86" s="633" t="s">
        <v>596</v>
      </c>
      <c r="K86" s="632">
        <v>3.5</v>
      </c>
      <c r="L86" s="632" t="s">
        <v>607</v>
      </c>
      <c r="M86" s="632" t="s">
        <v>610</v>
      </c>
      <c r="N86" s="632" t="s">
        <v>610</v>
      </c>
      <c r="O86" s="632" t="s">
        <v>613</v>
      </c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.75" customHeight="1">
      <c r="C87" s="96"/>
      <c r="D87" s="96"/>
      <c r="E87" s="96"/>
      <c r="F87" s="96"/>
      <c r="G87" s="632"/>
      <c r="H87" s="637" t="s">
        <v>264</v>
      </c>
      <c r="I87" s="638" t="s">
        <v>265</v>
      </c>
      <c r="J87" s="631" t="s">
        <v>604</v>
      </c>
      <c r="K87" s="147" t="s">
        <v>606</v>
      </c>
      <c r="L87" s="632" t="s">
        <v>608</v>
      </c>
      <c r="M87" s="632"/>
      <c r="N87" s="632"/>
      <c r="O87" s="632" t="s">
        <v>614</v>
      </c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.75" customHeight="1">
      <c r="A88" s="96" t="s">
        <v>279</v>
      </c>
      <c r="B88" s="302" t="s">
        <v>266</v>
      </c>
      <c r="C88" s="96">
        <v>151.66999999999999</v>
      </c>
      <c r="D88" s="96"/>
      <c r="E88" s="96"/>
      <c r="F88" s="96"/>
      <c r="G88" s="148" t="s">
        <v>266</v>
      </c>
      <c r="H88" s="634">
        <f>+H71</f>
        <v>2000</v>
      </c>
      <c r="I88" s="634">
        <f>H88</f>
        <v>2000</v>
      </c>
      <c r="J88" s="640">
        <f>COTISATIONS!F103</f>
        <v>4368.0959999999995</v>
      </c>
      <c r="K88" s="641">
        <f>COTISATIONS!F104</f>
        <v>6115.3343999999988</v>
      </c>
      <c r="L88" s="642">
        <f>B59</f>
        <v>3666</v>
      </c>
      <c r="M88" s="643">
        <f>IF(I88&lt;J88,0,I88)</f>
        <v>0</v>
      </c>
      <c r="N88" s="644">
        <f>IF(I88&lt;K88,0,I88)</f>
        <v>0</v>
      </c>
      <c r="O88" s="645">
        <f>IF(I88&lt;L88,0,I88)</f>
        <v>0</v>
      </c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.75" customHeight="1">
      <c r="A89" s="96" t="s">
        <v>279</v>
      </c>
      <c r="B89" s="302" t="s">
        <v>267</v>
      </c>
      <c r="C89" s="96">
        <v>151.66999999999999</v>
      </c>
      <c r="D89" s="96"/>
      <c r="E89" s="96"/>
      <c r="F89" s="96"/>
      <c r="G89" s="148" t="s">
        <v>267</v>
      </c>
      <c r="H89" s="149">
        <f>H72</f>
        <v>4000</v>
      </c>
      <c r="I89" s="149">
        <f t="shared" ref="I89:I100" si="13">I88+H89</f>
        <v>6000</v>
      </c>
      <c r="J89" s="640">
        <f>J88+COTISATIONS!$F$103</f>
        <v>8736.1919999999991</v>
      </c>
      <c r="K89" s="641">
        <f>K88+COTISATIONS!$F$104</f>
        <v>12230.668799999998</v>
      </c>
      <c r="L89" s="642">
        <f>L88+$B$59</f>
        <v>7332</v>
      </c>
      <c r="M89" s="643">
        <f>IF(AND(I89&gt;J89,I88&gt;J88),H89,IF(AND(I89&lt;J89,I88&gt;J88),-I88,IF(AND(I89&gt;J89,I88&lt;J88),I89,0)))</f>
        <v>0</v>
      </c>
      <c r="N89" s="644">
        <f>IF(AND(I89&gt;K89,I88&gt;K88),H89,IF(AND(I89&lt;K89,I88&gt;K88),-I88,IF(AND(I89&gt;K89,I88&lt;K88),I89,0)))</f>
        <v>0</v>
      </c>
      <c r="O89" s="645">
        <f>IF(AND(I89&gt;L89,I88&gt;L88),H89,IF(AND(I89&lt;L89,I88&gt;L88),-I88,IF(AND(I89&gt;L89,I88&lt;L88),I89,0)))</f>
        <v>0</v>
      </c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.75" customHeight="1">
      <c r="A90" s="96" t="s">
        <v>279</v>
      </c>
      <c r="B90" s="302" t="s">
        <v>268</v>
      </c>
      <c r="C90" s="96">
        <v>151.66999999999999</v>
      </c>
      <c r="D90" s="96"/>
      <c r="E90" s="96"/>
      <c r="F90" s="96"/>
      <c r="G90" s="148" t="s">
        <v>268</v>
      </c>
      <c r="H90" s="149">
        <f>H73</f>
        <v>4000</v>
      </c>
      <c r="I90" s="149">
        <f t="shared" si="13"/>
        <v>10000</v>
      </c>
      <c r="J90" s="640">
        <f>J89+COTISATIONS!$F$103</f>
        <v>13104.287999999999</v>
      </c>
      <c r="K90" s="641">
        <f>K89+COTISATIONS!$F$104</f>
        <v>18346.003199999996</v>
      </c>
      <c r="L90" s="642">
        <f t="shared" ref="L90:L100" si="14">L89+$B$59</f>
        <v>10998</v>
      </c>
      <c r="M90" s="643">
        <f t="shared" ref="M90:M100" si="15">IF(AND(I90&gt;J90,I89&gt;J89),H90,IF(AND(I90&lt;J90,I89&gt;J89),-I89,IF(AND(I90&gt;J90,I89&lt;J89),I90,0)))</f>
        <v>0</v>
      </c>
      <c r="N90" s="644">
        <f t="shared" ref="N90:N100" si="16">IF(AND(I90&gt;K90,I89&gt;K89),H90,IF(AND(I90&lt;K90,I89&gt;K89),-I89,IF(AND(I90&gt;K90,I89&lt;K89),I90,0)))</f>
        <v>0</v>
      </c>
      <c r="O90" s="645">
        <f t="shared" ref="O90:O100" si="17">IF(AND(I90&gt;L90,I89&gt;L89),H90,IF(AND(I90&lt;L90,I89&gt;L89),-I89,IF(AND(I90&gt;L90,I89&lt;L89),I90,0)))</f>
        <v>0</v>
      </c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.75" customHeight="1">
      <c r="A91" s="96" t="s">
        <v>279</v>
      </c>
      <c r="B91" s="302" t="s">
        <v>269</v>
      </c>
      <c r="C91" s="96">
        <v>151.66999999999999</v>
      </c>
      <c r="D91" s="96"/>
      <c r="E91" s="96"/>
      <c r="F91" s="96"/>
      <c r="G91" s="148" t="s">
        <v>269</v>
      </c>
      <c r="H91" s="149">
        <f>H74</f>
        <v>2000</v>
      </c>
      <c r="I91" s="149">
        <f t="shared" si="13"/>
        <v>12000</v>
      </c>
      <c r="J91" s="640">
        <f>J90+COTISATIONS!$F$103</f>
        <v>17472.383999999998</v>
      </c>
      <c r="K91" s="641">
        <f>K90+COTISATIONS!$F$104</f>
        <v>24461.337599999995</v>
      </c>
      <c r="L91" s="642">
        <f t="shared" si="14"/>
        <v>14664</v>
      </c>
      <c r="M91" s="643">
        <f t="shared" si="15"/>
        <v>0</v>
      </c>
      <c r="N91" s="644">
        <f t="shared" si="16"/>
        <v>0</v>
      </c>
      <c r="O91" s="645">
        <f t="shared" si="17"/>
        <v>0</v>
      </c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.75" customHeight="1">
      <c r="A92" s="96" t="s">
        <v>279</v>
      </c>
      <c r="B92" s="302" t="s">
        <v>270</v>
      </c>
      <c r="C92" s="96">
        <v>151.66999999999999</v>
      </c>
      <c r="D92" s="96"/>
      <c r="E92" s="96"/>
      <c r="F92" s="96"/>
      <c r="G92" s="148" t="s">
        <v>270</v>
      </c>
      <c r="H92" s="149">
        <f>H75</f>
        <v>2000</v>
      </c>
      <c r="I92" s="149">
        <f t="shared" si="13"/>
        <v>14000</v>
      </c>
      <c r="J92" s="640">
        <f>J91+COTISATIONS!$F$103</f>
        <v>21840.479999999996</v>
      </c>
      <c r="K92" s="641">
        <f>K91+COTISATIONS!$F$104</f>
        <v>30576.671999999995</v>
      </c>
      <c r="L92" s="642">
        <f t="shared" si="14"/>
        <v>18330</v>
      </c>
      <c r="M92" s="643">
        <f t="shared" si="15"/>
        <v>0</v>
      </c>
      <c r="N92" s="644">
        <f t="shared" si="16"/>
        <v>0</v>
      </c>
      <c r="O92" s="645">
        <f t="shared" si="17"/>
        <v>0</v>
      </c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.75" customHeight="1">
      <c r="A93" s="96" t="s">
        <v>279</v>
      </c>
      <c r="B93" s="302" t="s">
        <v>271</v>
      </c>
      <c r="C93" s="96">
        <v>151.66999999999999</v>
      </c>
      <c r="D93" s="96"/>
      <c r="E93" s="96"/>
      <c r="F93" s="96"/>
      <c r="G93" s="148" t="s">
        <v>271</v>
      </c>
      <c r="H93" s="149">
        <f>H76</f>
        <v>2000</v>
      </c>
      <c r="I93" s="149">
        <f t="shared" si="13"/>
        <v>16000</v>
      </c>
      <c r="J93" s="640">
        <f>J92+COTISATIONS!$F$103</f>
        <v>26208.575999999994</v>
      </c>
      <c r="K93" s="641">
        <f>K92+COTISATIONS!$F$104</f>
        <v>36692.006399999991</v>
      </c>
      <c r="L93" s="642">
        <f t="shared" si="14"/>
        <v>21996</v>
      </c>
      <c r="M93" s="643">
        <f t="shared" si="15"/>
        <v>0</v>
      </c>
      <c r="N93" s="644">
        <f t="shared" si="16"/>
        <v>0</v>
      </c>
      <c r="O93" s="645">
        <f t="shared" si="17"/>
        <v>0</v>
      </c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.75" customHeight="1">
      <c r="A94" s="96" t="s">
        <v>279</v>
      </c>
      <c r="B94" s="302" t="s">
        <v>272</v>
      </c>
      <c r="C94" s="96">
        <v>151.66999999999999</v>
      </c>
      <c r="D94" s="96"/>
      <c r="E94" s="96"/>
      <c r="F94" s="96"/>
      <c r="G94" s="148" t="s">
        <v>272</v>
      </c>
      <c r="H94" s="149">
        <f>H77</f>
        <v>2000</v>
      </c>
      <c r="I94" s="149">
        <f t="shared" si="13"/>
        <v>18000</v>
      </c>
      <c r="J94" s="640">
        <f>J93+COTISATIONS!$F$103</f>
        <v>30576.671999999991</v>
      </c>
      <c r="K94" s="641">
        <f>K93+COTISATIONS!$F$104</f>
        <v>42807.340799999991</v>
      </c>
      <c r="L94" s="642">
        <f t="shared" si="14"/>
        <v>25662</v>
      </c>
      <c r="M94" s="643">
        <f t="shared" si="15"/>
        <v>0</v>
      </c>
      <c r="N94" s="644">
        <f t="shared" si="16"/>
        <v>0</v>
      </c>
      <c r="O94" s="645">
        <f t="shared" si="17"/>
        <v>0</v>
      </c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.75" customHeight="1">
      <c r="A95" s="96" t="s">
        <v>279</v>
      </c>
      <c r="B95" s="302" t="s">
        <v>273</v>
      </c>
      <c r="C95" s="96">
        <v>151.66999999999999</v>
      </c>
      <c r="D95" s="96"/>
      <c r="E95" s="96"/>
      <c r="F95" s="96"/>
      <c r="G95" s="148" t="s">
        <v>273</v>
      </c>
      <c r="H95" s="149">
        <f>H78</f>
        <v>2000</v>
      </c>
      <c r="I95" s="149">
        <f t="shared" si="13"/>
        <v>20000</v>
      </c>
      <c r="J95" s="640">
        <f>J94+COTISATIONS!$F$103</f>
        <v>34944.767999999989</v>
      </c>
      <c r="K95" s="641">
        <f>K94+COTISATIONS!$F$104</f>
        <v>48922.675199999991</v>
      </c>
      <c r="L95" s="642">
        <f t="shared" si="14"/>
        <v>29328</v>
      </c>
      <c r="M95" s="643">
        <f t="shared" si="15"/>
        <v>0</v>
      </c>
      <c r="N95" s="644">
        <f t="shared" si="16"/>
        <v>0</v>
      </c>
      <c r="O95" s="645">
        <f t="shared" si="17"/>
        <v>0</v>
      </c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.75" customHeight="1">
      <c r="A96" s="96" t="s">
        <v>279</v>
      </c>
      <c r="B96" s="302" t="s">
        <v>274</v>
      </c>
      <c r="C96" s="96">
        <v>151.66999999999999</v>
      </c>
      <c r="D96" s="96"/>
      <c r="E96" s="96"/>
      <c r="F96" s="96"/>
      <c r="G96" s="148" t="s">
        <v>274</v>
      </c>
      <c r="H96" s="149">
        <f>H79</f>
        <v>2000</v>
      </c>
      <c r="I96" s="149">
        <f t="shared" si="13"/>
        <v>22000</v>
      </c>
      <c r="J96" s="640">
        <f>J95+COTISATIONS!$F$103</f>
        <v>39312.863999999987</v>
      </c>
      <c r="K96" s="641">
        <f>K95+COTISATIONS!$F$104</f>
        <v>55038.00959999999</v>
      </c>
      <c r="L96" s="642">
        <f t="shared" si="14"/>
        <v>32994</v>
      </c>
      <c r="M96" s="643">
        <f t="shared" si="15"/>
        <v>0</v>
      </c>
      <c r="N96" s="644">
        <f t="shared" si="16"/>
        <v>0</v>
      </c>
      <c r="O96" s="645">
        <f t="shared" si="17"/>
        <v>0</v>
      </c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.75" customHeight="1">
      <c r="A97" s="96" t="s">
        <v>279</v>
      </c>
      <c r="B97" s="302" t="s">
        <v>275</v>
      </c>
      <c r="C97" s="96">
        <v>151.66999999999999</v>
      </c>
      <c r="D97" s="96"/>
      <c r="E97" s="96"/>
      <c r="F97" s="96"/>
      <c r="G97" s="148" t="s">
        <v>275</v>
      </c>
      <c r="H97" s="149">
        <f>H80</f>
        <v>2000</v>
      </c>
      <c r="I97" s="149">
        <f t="shared" si="13"/>
        <v>24000</v>
      </c>
      <c r="J97" s="640">
        <f>J96+COTISATIONS!$F$103</f>
        <v>43680.959999999985</v>
      </c>
      <c r="K97" s="641">
        <f>K96+COTISATIONS!$F$104</f>
        <v>61153.34399999999</v>
      </c>
      <c r="L97" s="642">
        <f t="shared" si="14"/>
        <v>36660</v>
      </c>
      <c r="M97" s="643">
        <f t="shared" si="15"/>
        <v>0</v>
      </c>
      <c r="N97" s="644">
        <f t="shared" si="16"/>
        <v>0</v>
      </c>
      <c r="O97" s="645">
        <f t="shared" si="17"/>
        <v>0</v>
      </c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.75" customHeight="1">
      <c r="A98" s="96" t="s">
        <v>279</v>
      </c>
      <c r="B98" s="302" t="s">
        <v>276</v>
      </c>
      <c r="C98" s="96">
        <v>151.66999999999999</v>
      </c>
      <c r="D98" s="96"/>
      <c r="E98" s="96"/>
      <c r="F98" s="96"/>
      <c r="G98" s="148" t="s">
        <v>276</v>
      </c>
      <c r="H98" s="149">
        <f>H81</f>
        <v>2000</v>
      </c>
      <c r="I98" s="149">
        <f t="shared" si="13"/>
        <v>26000</v>
      </c>
      <c r="J98" s="640">
        <f>J97+COTISATIONS!$F$103</f>
        <v>48049.055999999982</v>
      </c>
      <c r="K98" s="641">
        <f>K97+COTISATIONS!$F$104</f>
        <v>67268.67839999999</v>
      </c>
      <c r="L98" s="642">
        <f t="shared" si="14"/>
        <v>40326</v>
      </c>
      <c r="M98" s="643">
        <f t="shared" si="15"/>
        <v>0</v>
      </c>
      <c r="N98" s="644">
        <f t="shared" si="16"/>
        <v>0</v>
      </c>
      <c r="O98" s="645">
        <f t="shared" si="17"/>
        <v>0</v>
      </c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.75" customHeight="1">
      <c r="A99" s="96" t="s">
        <v>279</v>
      </c>
      <c r="B99" s="302" t="s">
        <v>277</v>
      </c>
      <c r="C99" s="96">
        <v>151.66999999999999</v>
      </c>
      <c r="D99" s="96"/>
      <c r="E99" s="96"/>
      <c r="F99" s="96"/>
      <c r="G99" s="148" t="s">
        <v>277</v>
      </c>
      <c r="H99" s="149">
        <f>H82</f>
        <v>2000</v>
      </c>
      <c r="I99" s="149">
        <f t="shared" si="13"/>
        <v>28000</v>
      </c>
      <c r="J99" s="640">
        <f>J98+COTISATIONS!$F$103</f>
        <v>52417.15199999998</v>
      </c>
      <c r="K99" s="641">
        <f>K98+COTISATIONS!$F$104</f>
        <v>73384.012799999982</v>
      </c>
      <c r="L99" s="642">
        <f t="shared" si="14"/>
        <v>43992</v>
      </c>
      <c r="M99" s="643">
        <f t="shared" si="15"/>
        <v>0</v>
      </c>
      <c r="N99" s="644">
        <f t="shared" si="16"/>
        <v>0</v>
      </c>
      <c r="O99" s="645">
        <f t="shared" si="17"/>
        <v>0</v>
      </c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.75" customHeight="1">
      <c r="A100" s="96"/>
      <c r="B100" s="96"/>
      <c r="C100" s="96"/>
      <c r="D100" s="96"/>
      <c r="E100" s="96"/>
      <c r="F100" s="96"/>
      <c r="G100" s="148" t="s">
        <v>278</v>
      </c>
      <c r="H100" s="150">
        <f>SUM(H88:H99)</f>
        <v>28000</v>
      </c>
      <c r="I100" s="149"/>
      <c r="J100" s="640">
        <f>J99+COTISATIONS!$F$103</f>
        <v>56785.247999999978</v>
      </c>
      <c r="K100" s="641">
        <f>K99+COTISATIONS!$F$104</f>
        <v>79499.347199999975</v>
      </c>
      <c r="L100" s="642">
        <f t="shared" si="14"/>
        <v>47658</v>
      </c>
      <c r="M100" s="643">
        <f t="shared" si="15"/>
        <v>0</v>
      </c>
      <c r="N100" s="644">
        <f t="shared" si="16"/>
        <v>0</v>
      </c>
      <c r="O100" s="645">
        <f t="shared" si="17"/>
        <v>0</v>
      </c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.75" customHeight="1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.75" customHeight="1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.75" customHeight="1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.75" customHeight="1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.75" customHeight="1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.75" customHeight="1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.75" customHeight="1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.75" customHeight="1">
      <c r="A108" s="151" t="s">
        <v>280</v>
      </c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.75" customHeight="1">
      <c r="A109" s="324" t="s">
        <v>281</v>
      </c>
      <c r="B109" s="324" t="s">
        <v>282</v>
      </c>
      <c r="E109" s="324" t="s">
        <v>283</v>
      </c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30" customHeight="1">
      <c r="A110" s="152" t="s">
        <v>284</v>
      </c>
      <c r="B110" s="322" t="str">
        <f t="shared" ref="B110:B114" si="18">HYPERLINK("https://www.urssaf.fr/portail/home/actualites/toute-lactualite-employeur/nouvelles-mesures-au-1er-janvier/exonerations-de-cotisations--ext.html#FilAriane","Site URSSAF")</f>
        <v>Site URSSAF</v>
      </c>
      <c r="E110" s="323" t="s">
        <v>285</v>
      </c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60">
      <c r="A111" s="152" t="s">
        <v>286</v>
      </c>
      <c r="B111" s="322" t="str">
        <f t="shared" si="18"/>
        <v>Site URSSAF</v>
      </c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75">
      <c r="A112" s="152" t="s">
        <v>287</v>
      </c>
      <c r="B112" s="322" t="str">
        <f t="shared" si="18"/>
        <v>Site URSSAF</v>
      </c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.75" customHeight="1">
      <c r="A113" s="96" t="s">
        <v>288</v>
      </c>
      <c r="B113" s="322" t="str">
        <f t="shared" si="18"/>
        <v>Site URSSAF</v>
      </c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>
      <c r="A114" s="96" t="s">
        <v>289</v>
      </c>
      <c r="B114" s="322" t="str">
        <f t="shared" si="18"/>
        <v>Site URSSAF</v>
      </c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.75" customHeight="1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.75" customHeight="1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.75" customHeight="1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.75" customHeight="1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.75" customHeight="1">
      <c r="A119" s="464" t="s">
        <v>290</v>
      </c>
      <c r="B119" s="316"/>
      <c r="C119" s="316"/>
      <c r="D119" s="316"/>
      <c r="E119" s="316"/>
      <c r="F119" s="316"/>
      <c r="G119" s="31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.75" customHeight="1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.75" customHeight="1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.75" customHeight="1">
      <c r="A122" s="321" t="s">
        <v>291</v>
      </c>
      <c r="B122" s="316"/>
      <c r="C122" s="316"/>
      <c r="D122" s="316"/>
      <c r="E122" s="316"/>
      <c r="F122" s="316"/>
      <c r="G122" s="31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.75" customHeight="1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.75" customHeight="1">
      <c r="A124" s="96" t="s">
        <v>292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.75" customHeight="1">
      <c r="A125" s="153" t="s">
        <v>293</v>
      </c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.75" customHeight="1">
      <c r="A126" s="153" t="s">
        <v>294</v>
      </c>
      <c r="B126" s="96"/>
      <c r="C126" s="96"/>
      <c r="D126" s="96"/>
      <c r="E126" s="96"/>
      <c r="F126" s="96"/>
      <c r="G126" s="154">
        <v>6.91</v>
      </c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.75" customHeight="1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.75" customHeight="1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.75" customHeight="1">
      <c r="A129" s="321" t="s">
        <v>295</v>
      </c>
      <c r="B129" s="316"/>
      <c r="C129" s="316"/>
      <c r="D129" s="316"/>
      <c r="E129" s="316"/>
      <c r="F129" s="316"/>
      <c r="G129" s="31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.75" customHeight="1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.75" customHeight="1">
      <c r="A131" s="105" t="s">
        <v>296</v>
      </c>
      <c r="B131" s="96"/>
      <c r="C131" s="155" t="s">
        <v>297</v>
      </c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.75" customHeight="1">
      <c r="A132" s="96"/>
      <c r="B132" s="96"/>
      <c r="C132" s="155" t="s">
        <v>298</v>
      </c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4.25" customHeight="1">
      <c r="A133" s="320" t="s">
        <v>299</v>
      </c>
      <c r="B133" s="319"/>
      <c r="C133" s="319"/>
      <c r="D133" s="319"/>
      <c r="E133" s="319"/>
      <c r="F133" s="319"/>
      <c r="G133" s="314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32.25" customHeight="1">
      <c r="A134" s="156" t="s">
        <v>300</v>
      </c>
      <c r="B134" s="320" t="s">
        <v>301</v>
      </c>
      <c r="C134" s="314"/>
      <c r="D134" s="320" t="s">
        <v>302</v>
      </c>
      <c r="E134" s="314"/>
      <c r="F134" s="320" t="s">
        <v>303</v>
      </c>
      <c r="G134" s="314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>
      <c r="A135" s="157" t="s">
        <v>304</v>
      </c>
      <c r="B135" s="317" t="s">
        <v>305</v>
      </c>
      <c r="C135" s="314"/>
      <c r="D135" s="317" t="s">
        <v>306</v>
      </c>
      <c r="E135" s="314"/>
      <c r="F135" s="317" t="s">
        <v>307</v>
      </c>
      <c r="G135" s="314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.75" customHeight="1">
      <c r="A136" s="157" t="s">
        <v>308</v>
      </c>
      <c r="B136" s="317" t="s">
        <v>309</v>
      </c>
      <c r="C136" s="314"/>
      <c r="D136" s="317" t="s">
        <v>310</v>
      </c>
      <c r="E136" s="314"/>
      <c r="F136" s="317" t="s">
        <v>311</v>
      </c>
      <c r="G136" s="314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>
      <c r="A137" s="157" t="s">
        <v>312</v>
      </c>
      <c r="B137" s="317" t="s">
        <v>313</v>
      </c>
      <c r="C137" s="314"/>
      <c r="D137" s="317" t="s">
        <v>314</v>
      </c>
      <c r="E137" s="314"/>
      <c r="F137" s="317" t="s">
        <v>315</v>
      </c>
      <c r="G137" s="314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>
      <c r="A138" s="157" t="s">
        <v>316</v>
      </c>
      <c r="B138" s="317" t="s">
        <v>317</v>
      </c>
      <c r="C138" s="314"/>
      <c r="D138" s="317" t="s">
        <v>318</v>
      </c>
      <c r="E138" s="314"/>
      <c r="F138" s="317" t="s">
        <v>319</v>
      </c>
      <c r="G138" s="314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>
      <c r="A139" s="157" t="s">
        <v>320</v>
      </c>
      <c r="B139" s="317" t="s">
        <v>321</v>
      </c>
      <c r="C139" s="314"/>
      <c r="D139" s="317" t="s">
        <v>322</v>
      </c>
      <c r="E139" s="314"/>
      <c r="F139" s="317" t="s">
        <v>323</v>
      </c>
      <c r="G139" s="314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.75" customHeight="1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.75" customHeight="1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.75" customHeight="1">
      <c r="A142" s="105" t="s">
        <v>324</v>
      </c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.75" customHeight="1">
      <c r="A143" s="105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.75" customHeight="1">
      <c r="A144" s="96"/>
      <c r="B144" s="318" t="s">
        <v>299</v>
      </c>
      <c r="C144" s="319"/>
      <c r="D144" s="319"/>
      <c r="E144" s="319"/>
      <c r="F144" s="319"/>
      <c r="G144" s="314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.75" customHeight="1">
      <c r="A145" s="96"/>
      <c r="B145" s="320" t="s">
        <v>325</v>
      </c>
      <c r="C145" s="314"/>
      <c r="D145" s="320" t="s">
        <v>326</v>
      </c>
      <c r="E145" s="314"/>
      <c r="F145" s="320" t="s">
        <v>327</v>
      </c>
      <c r="G145" s="314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.75" customHeight="1">
      <c r="A146" s="96"/>
      <c r="B146" s="317" t="s">
        <v>328</v>
      </c>
      <c r="C146" s="314"/>
      <c r="D146" s="317" t="s">
        <v>329</v>
      </c>
      <c r="E146" s="314"/>
      <c r="F146" s="317" t="s">
        <v>330</v>
      </c>
      <c r="G146" s="314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.75" customHeight="1">
      <c r="A147" s="96"/>
      <c r="B147" s="96"/>
      <c r="C147" s="96"/>
      <c r="D147" s="99"/>
      <c r="E147" s="99"/>
      <c r="F147" s="99"/>
      <c r="G147" s="99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.75" customHeight="1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.75" customHeight="1">
      <c r="A149" s="105" t="s">
        <v>331</v>
      </c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.75" customHeight="1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.75" customHeight="1">
      <c r="A151" s="318" t="s">
        <v>332</v>
      </c>
      <c r="B151" s="319"/>
      <c r="C151" s="319"/>
      <c r="D151" s="319"/>
      <c r="E151" s="319"/>
      <c r="F151" s="319"/>
      <c r="G151" s="314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.75" customHeight="1">
      <c r="A152" s="158" t="s">
        <v>300</v>
      </c>
      <c r="B152" s="318" t="s">
        <v>333</v>
      </c>
      <c r="C152" s="314"/>
      <c r="D152" s="318" t="s">
        <v>334</v>
      </c>
      <c r="E152" s="314"/>
      <c r="F152" s="318" t="s">
        <v>335</v>
      </c>
      <c r="G152" s="314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.75" customHeight="1">
      <c r="A153" s="143" t="s">
        <v>336</v>
      </c>
      <c r="B153" s="315" t="s">
        <v>337</v>
      </c>
      <c r="C153" s="314"/>
      <c r="D153" s="315" t="s">
        <v>338</v>
      </c>
      <c r="E153" s="314"/>
      <c r="F153" s="315" t="s">
        <v>339</v>
      </c>
      <c r="G153" s="314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.75" customHeight="1">
      <c r="A154" s="143" t="s">
        <v>340</v>
      </c>
      <c r="B154" s="315" t="s">
        <v>341</v>
      </c>
      <c r="C154" s="314"/>
      <c r="D154" s="315" t="s">
        <v>342</v>
      </c>
      <c r="E154" s="314"/>
      <c r="F154" s="315" t="s">
        <v>343</v>
      </c>
      <c r="G154" s="314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.75" customHeight="1">
      <c r="A155" s="143" t="s">
        <v>344</v>
      </c>
      <c r="B155" s="315" t="s">
        <v>345</v>
      </c>
      <c r="C155" s="314"/>
      <c r="D155" s="315" t="s">
        <v>346</v>
      </c>
      <c r="E155" s="314"/>
      <c r="F155" s="315" t="s">
        <v>347</v>
      </c>
      <c r="G155" s="314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.75" customHeight="1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.75" customHeight="1">
      <c r="A157" s="105" t="s">
        <v>348</v>
      </c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.75" customHeight="1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.75" customHeight="1">
      <c r="A159" s="96" t="s">
        <v>349</v>
      </c>
      <c r="B159" s="117">
        <v>0.25</v>
      </c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.75" customHeight="1">
      <c r="A160" s="105" t="s">
        <v>350</v>
      </c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.75" customHeight="1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.75" customHeight="1">
      <c r="A162" s="155" t="s">
        <v>351</v>
      </c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.75" customHeight="1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.75" customHeight="1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.75" customHeight="1">
      <c r="A165" s="451" t="s">
        <v>594</v>
      </c>
      <c r="B165" s="452"/>
      <c r="C165" s="452"/>
      <c r="D165" s="452"/>
      <c r="E165" s="452"/>
      <c r="F165" s="316"/>
      <c r="G165" s="31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.75" customHeight="1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.75" customHeight="1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.75" customHeight="1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.75" customHeight="1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30">
      <c r="A170" s="537" t="s">
        <v>593</v>
      </c>
      <c r="B170" s="538"/>
      <c r="C170" s="538"/>
      <c r="D170" s="539"/>
      <c r="E170" s="402" t="s">
        <v>352</v>
      </c>
      <c r="F170" s="96"/>
      <c r="G170" s="96"/>
      <c r="H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.75" customHeight="1">
      <c r="A171" s="19" t="s">
        <v>569</v>
      </c>
      <c r="B171" s="19">
        <v>1518</v>
      </c>
      <c r="C171" s="19"/>
      <c r="D171" s="19"/>
      <c r="E171" s="403">
        <v>0</v>
      </c>
      <c r="F171" s="96"/>
      <c r="H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.75" customHeight="1">
      <c r="A172" s="21" t="s">
        <v>570</v>
      </c>
      <c r="B172" s="21">
        <v>1518</v>
      </c>
      <c r="C172" s="21" t="s">
        <v>571</v>
      </c>
      <c r="D172" s="21">
        <v>1577</v>
      </c>
      <c r="E172" s="404">
        <v>5.0000000000000001E-3</v>
      </c>
      <c r="F172" s="96"/>
      <c r="H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.75" customHeight="1">
      <c r="A173" s="21" t="s">
        <v>570</v>
      </c>
      <c r="B173" s="21">
        <v>1577</v>
      </c>
      <c r="C173" s="21" t="s">
        <v>572</v>
      </c>
      <c r="D173" s="21">
        <v>1678</v>
      </c>
      <c r="E173" s="404">
        <v>1.2999999999999999E-2</v>
      </c>
      <c r="F173" s="96"/>
      <c r="H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.75" customHeight="1">
      <c r="A174" s="21" t="s">
        <v>570</v>
      </c>
      <c r="B174" s="21">
        <v>1678</v>
      </c>
      <c r="C174" s="21" t="s">
        <v>353</v>
      </c>
      <c r="D174" s="21">
        <v>1791</v>
      </c>
      <c r="E174" s="404">
        <v>2.1000000000000001E-2</v>
      </c>
      <c r="F174" s="96"/>
      <c r="H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.75" customHeight="1">
      <c r="A175" s="21" t="s">
        <v>570</v>
      </c>
      <c r="B175" s="21">
        <v>1791</v>
      </c>
      <c r="C175" s="21" t="s">
        <v>353</v>
      </c>
      <c r="D175" s="21">
        <v>1914</v>
      </c>
      <c r="E175" s="404">
        <v>2.9000000000000001E-2</v>
      </c>
      <c r="F175" s="96"/>
      <c r="H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.75" customHeight="1">
      <c r="A176" s="21" t="s">
        <v>570</v>
      </c>
      <c r="B176" s="21">
        <v>1914</v>
      </c>
      <c r="C176" s="21" t="s">
        <v>353</v>
      </c>
      <c r="D176" s="21">
        <v>2016</v>
      </c>
      <c r="E176" s="404">
        <v>3.5000000000000003E-2</v>
      </c>
      <c r="F176" s="96"/>
      <c r="H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.75" customHeight="1">
      <c r="A177" s="21" t="s">
        <v>570</v>
      </c>
      <c r="B177" s="21">
        <v>2016</v>
      </c>
      <c r="C177" s="21" t="s">
        <v>572</v>
      </c>
      <c r="D177" s="21">
        <v>2150</v>
      </c>
      <c r="E177" s="404">
        <v>4.1000000000000002E-2</v>
      </c>
      <c r="F177" s="96"/>
      <c r="H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.75" customHeight="1">
      <c r="A178" s="21" t="s">
        <v>570</v>
      </c>
      <c r="B178" s="21">
        <v>2150</v>
      </c>
      <c r="C178" s="21" t="s">
        <v>353</v>
      </c>
      <c r="D178" s="21">
        <v>2544</v>
      </c>
      <c r="E178" s="404">
        <v>5.2999999999999999E-2</v>
      </c>
      <c r="F178" s="96"/>
      <c r="H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.75" customHeight="1">
      <c r="A179" s="21" t="s">
        <v>570</v>
      </c>
      <c r="B179" s="21">
        <v>2544</v>
      </c>
      <c r="C179" s="21" t="s">
        <v>353</v>
      </c>
      <c r="D179" s="21">
        <v>2912</v>
      </c>
      <c r="E179" s="404">
        <v>7.4999999999999997E-2</v>
      </c>
      <c r="F179" s="96"/>
      <c r="H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.75" customHeight="1">
      <c r="A180" s="21" t="s">
        <v>570</v>
      </c>
      <c r="B180" s="21">
        <v>2912</v>
      </c>
      <c r="C180" s="21" t="s">
        <v>353</v>
      </c>
      <c r="D180" s="21">
        <v>3317</v>
      </c>
      <c r="E180" s="404">
        <v>9.9000000000000005E-2</v>
      </c>
      <c r="F180" s="96"/>
      <c r="H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.75" customHeight="1">
      <c r="A181" s="21" t="s">
        <v>570</v>
      </c>
      <c r="B181" s="21">
        <v>3317</v>
      </c>
      <c r="C181" s="21" t="s">
        <v>353</v>
      </c>
      <c r="D181" s="21">
        <v>3734</v>
      </c>
      <c r="E181" s="404">
        <v>0.11899999999999999</v>
      </c>
      <c r="F181" s="96"/>
      <c r="H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.75" customHeight="1">
      <c r="A182" s="21" t="s">
        <v>570</v>
      </c>
      <c r="B182" s="21">
        <v>3734</v>
      </c>
      <c r="C182" s="21" t="s">
        <v>353</v>
      </c>
      <c r="D182" s="21">
        <v>4357</v>
      </c>
      <c r="E182" s="404">
        <v>0.13800000000000001</v>
      </c>
      <c r="F182" s="96"/>
      <c r="H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.75" customHeight="1">
      <c r="A183" s="21" t="s">
        <v>570</v>
      </c>
      <c r="B183" s="21">
        <v>4357</v>
      </c>
      <c r="C183" s="21" t="s">
        <v>353</v>
      </c>
      <c r="D183" s="21">
        <v>5224</v>
      </c>
      <c r="E183" s="404">
        <v>0.158</v>
      </c>
      <c r="F183" s="96"/>
      <c r="H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.75" customHeight="1">
      <c r="A184" s="21" t="s">
        <v>570</v>
      </c>
      <c r="B184" s="21">
        <v>5224</v>
      </c>
      <c r="C184" s="21" t="s">
        <v>353</v>
      </c>
      <c r="D184" s="21">
        <v>6537</v>
      </c>
      <c r="E184" s="404">
        <v>0.17899999999999999</v>
      </c>
      <c r="F184" s="96"/>
      <c r="H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.75" customHeight="1">
      <c r="A185" s="21" t="s">
        <v>570</v>
      </c>
      <c r="B185" s="21">
        <v>6537</v>
      </c>
      <c r="C185" s="21" t="s">
        <v>572</v>
      </c>
      <c r="D185" s="21">
        <v>8165</v>
      </c>
      <c r="E185" s="404">
        <v>0.2</v>
      </c>
      <c r="F185" s="96"/>
      <c r="H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.75" customHeight="1">
      <c r="A186" s="21" t="s">
        <v>570</v>
      </c>
      <c r="B186" s="21">
        <v>8165</v>
      </c>
      <c r="C186" s="21" t="s">
        <v>353</v>
      </c>
      <c r="D186" s="21">
        <v>11333</v>
      </c>
      <c r="E186" s="404">
        <v>0.24</v>
      </c>
      <c r="F186" s="96"/>
      <c r="H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.75" customHeight="1">
      <c r="A187" s="21" t="s">
        <v>570</v>
      </c>
      <c r="B187" s="21">
        <v>11333</v>
      </c>
      <c r="C187" s="21" t="s">
        <v>353</v>
      </c>
      <c r="D187" s="21">
        <v>15349</v>
      </c>
      <c r="E187" s="404">
        <v>0.28000000000000003</v>
      </c>
      <c r="F187" s="96"/>
      <c r="H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.75" customHeight="1">
      <c r="A188" s="21" t="s">
        <v>570</v>
      </c>
      <c r="B188" s="21">
        <v>15349</v>
      </c>
      <c r="C188" s="21" t="s">
        <v>353</v>
      </c>
      <c r="D188" s="21">
        <v>24094</v>
      </c>
      <c r="E188" s="404">
        <v>0.33</v>
      </c>
      <c r="F188" s="96"/>
      <c r="H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.75" customHeight="1">
      <c r="A189" s="21" t="s">
        <v>570</v>
      </c>
      <c r="B189" s="21">
        <v>24094</v>
      </c>
      <c r="C189" s="21" t="s">
        <v>353</v>
      </c>
      <c r="D189" s="21">
        <v>51611</v>
      </c>
      <c r="E189" s="404">
        <v>0.38</v>
      </c>
      <c r="F189" s="96"/>
      <c r="H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.75" customHeight="1">
      <c r="A190" s="27" t="s">
        <v>570</v>
      </c>
      <c r="B190" s="27">
        <v>51611</v>
      </c>
      <c r="C190" s="27"/>
      <c r="D190" s="27"/>
      <c r="E190" s="405">
        <v>0.43</v>
      </c>
      <c r="F190" s="96"/>
      <c r="H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.75" customHeight="1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.75" customHeight="1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.75" customHeight="1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.75" customHeight="1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.75" customHeight="1">
      <c r="A195" s="311" t="s">
        <v>354</v>
      </c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.75" customHeight="1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.75" customHeight="1">
      <c r="A197" s="312" t="s">
        <v>355</v>
      </c>
      <c r="D197" s="313">
        <v>1150</v>
      </c>
      <c r="E197" s="314"/>
      <c r="F197" s="312"/>
      <c r="G197" s="312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.75" customHeight="1">
      <c r="A198" s="312" t="s">
        <v>356</v>
      </c>
      <c r="D198" s="313">
        <v>3</v>
      </c>
      <c r="E198" s="314"/>
      <c r="F198" s="312"/>
      <c r="G198" s="312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.75" customHeight="1">
      <c r="A199" s="301" t="s">
        <v>357</v>
      </c>
      <c r="D199" s="303">
        <v>122.5</v>
      </c>
      <c r="F199" s="312"/>
      <c r="G199" s="312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.75" customHeight="1">
      <c r="A200" s="312"/>
      <c r="B200" s="312"/>
      <c r="C200" s="159"/>
      <c r="D200" s="312"/>
      <c r="E200" s="312"/>
      <c r="F200" s="312"/>
      <c r="G200" s="312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  <row r="201" spans="1:26" ht="15" customHeight="1">
      <c r="A201" s="304" t="s">
        <v>358</v>
      </c>
      <c r="B201" s="305"/>
      <c r="C201" s="306"/>
      <c r="D201" s="307" t="s">
        <v>359</v>
      </c>
      <c r="E201" s="308"/>
      <c r="F201" s="297" t="s">
        <v>360</v>
      </c>
      <c r="G201" s="297" t="s">
        <v>361</v>
      </c>
      <c r="H201" s="297" t="s">
        <v>362</v>
      </c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</row>
    <row r="202" spans="1:26" ht="32.25" customHeight="1">
      <c r="A202" s="160" t="s">
        <v>363</v>
      </c>
      <c r="B202" s="161" t="s">
        <v>224</v>
      </c>
      <c r="C202" s="162" t="s">
        <v>225</v>
      </c>
      <c r="D202" s="309"/>
      <c r="E202" s="310"/>
      <c r="F202" s="298"/>
      <c r="G202" s="298"/>
      <c r="H202" s="298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</row>
    <row r="203" spans="1:26" ht="15.75" customHeight="1">
      <c r="A203" s="163" t="s">
        <v>57</v>
      </c>
      <c r="B203" s="164">
        <v>0</v>
      </c>
      <c r="C203" s="164">
        <f>IF($D$198&gt;0,319.17+($D$198*$D$199),319.17)</f>
        <v>686.67000000000007</v>
      </c>
      <c r="D203" s="299">
        <f t="shared" ref="D203:D208" si="19">C203-B203</f>
        <v>686.67000000000007</v>
      </c>
      <c r="E203" s="300"/>
      <c r="F203" s="165">
        <f t="shared" ref="F203:F209" si="20">IF($D$197&lt;B203,0,IF($D$197&lt;C203,$D$197-B203,D203))</f>
        <v>686.67000000000007</v>
      </c>
      <c r="G203" s="166">
        <v>0.05</v>
      </c>
      <c r="H203" s="167">
        <f t="shared" ref="H203:H209" si="21">F203*G203</f>
        <v>34.333500000000008</v>
      </c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</row>
    <row r="204" spans="1:26" ht="15.75" customHeight="1">
      <c r="A204" s="168" t="s">
        <v>258</v>
      </c>
      <c r="B204" s="169">
        <f t="shared" ref="B204:B209" si="22">C203</f>
        <v>686.67000000000007</v>
      </c>
      <c r="C204" s="169">
        <f>IF($D$198&gt;0,623.33+($D$198*$D$199),623.33)</f>
        <v>990.83</v>
      </c>
      <c r="D204" s="293">
        <f t="shared" si="19"/>
        <v>304.15999999999997</v>
      </c>
      <c r="E204" s="294"/>
      <c r="F204" s="170">
        <f t="shared" si="20"/>
        <v>304.15999999999997</v>
      </c>
      <c r="G204" s="171">
        <v>0.1</v>
      </c>
      <c r="H204" s="172">
        <f t="shared" si="21"/>
        <v>30.415999999999997</v>
      </c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</row>
    <row r="205" spans="1:26" ht="15.75" customHeight="1">
      <c r="A205" s="168" t="s">
        <v>364</v>
      </c>
      <c r="B205" s="169">
        <f t="shared" si="22"/>
        <v>990.83</v>
      </c>
      <c r="C205" s="169">
        <f>IF($D$198&gt;0,929.17+($D$198*$D$199),929.17)</f>
        <v>1296.67</v>
      </c>
      <c r="D205" s="293">
        <f t="shared" si="19"/>
        <v>305.84000000000003</v>
      </c>
      <c r="E205" s="294"/>
      <c r="F205" s="170">
        <f t="shared" si="20"/>
        <v>159.16999999999996</v>
      </c>
      <c r="G205" s="173">
        <v>0.2</v>
      </c>
      <c r="H205" s="172">
        <f t="shared" si="21"/>
        <v>31.833999999999993</v>
      </c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</row>
    <row r="206" spans="1:26" ht="15.75" customHeight="1">
      <c r="A206" s="168" t="s">
        <v>365</v>
      </c>
      <c r="B206" s="169">
        <f t="shared" si="22"/>
        <v>1296.67</v>
      </c>
      <c r="C206" s="169">
        <f>IF($D$198&gt;0,1233.33+($D$198*$D$199),1233.33)</f>
        <v>1600.83</v>
      </c>
      <c r="D206" s="293">
        <f t="shared" si="19"/>
        <v>304.15999999999985</v>
      </c>
      <c r="E206" s="294"/>
      <c r="F206" s="174">
        <f t="shared" si="20"/>
        <v>0</v>
      </c>
      <c r="G206" s="171">
        <v>0.25</v>
      </c>
      <c r="H206" s="172">
        <f t="shared" si="21"/>
        <v>0</v>
      </c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</row>
    <row r="207" spans="1:26" ht="15.75" customHeight="1">
      <c r="A207" s="168" t="s">
        <v>366</v>
      </c>
      <c r="B207" s="169">
        <f t="shared" si="22"/>
        <v>1600.83</v>
      </c>
      <c r="C207" s="169">
        <f>IF($D$198&gt;0,1537.5+($D$198*$D$199),1537.5)</f>
        <v>1905</v>
      </c>
      <c r="D207" s="293">
        <f t="shared" si="19"/>
        <v>304.17000000000007</v>
      </c>
      <c r="E207" s="294"/>
      <c r="F207" s="174">
        <f t="shared" si="20"/>
        <v>0</v>
      </c>
      <c r="G207" s="171">
        <v>0.33329999999999999</v>
      </c>
      <c r="H207" s="172">
        <f t="shared" si="21"/>
        <v>0</v>
      </c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</row>
    <row r="208" spans="1:26" ht="15.75" customHeight="1">
      <c r="A208" s="168" t="s">
        <v>367</v>
      </c>
      <c r="B208" s="169">
        <f t="shared" si="22"/>
        <v>1905</v>
      </c>
      <c r="C208" s="169">
        <f>IF($D$198&gt;0,1847.5+($D$198*$D$199),1847.5)</f>
        <v>2215</v>
      </c>
      <c r="D208" s="293">
        <f t="shared" si="19"/>
        <v>310</v>
      </c>
      <c r="E208" s="294"/>
      <c r="F208" s="174">
        <f t="shared" si="20"/>
        <v>0</v>
      </c>
      <c r="G208" s="171">
        <v>0.66669999999999996</v>
      </c>
      <c r="H208" s="172">
        <f t="shared" si="21"/>
        <v>0</v>
      </c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</row>
    <row r="209" spans="1:26" ht="15.75" customHeight="1">
      <c r="A209" s="175" t="s">
        <v>368</v>
      </c>
      <c r="B209" s="176">
        <f t="shared" si="22"/>
        <v>2215</v>
      </c>
      <c r="C209" s="176" t="s">
        <v>369</v>
      </c>
      <c r="D209" s="295"/>
      <c r="E209" s="296"/>
      <c r="F209" s="177">
        <f t="shared" si="20"/>
        <v>0</v>
      </c>
      <c r="G209" s="178">
        <v>1</v>
      </c>
      <c r="H209" s="179">
        <f t="shared" si="21"/>
        <v>0</v>
      </c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</row>
    <row r="210" spans="1:26" ht="15.75" customHeight="1">
      <c r="A210" s="312"/>
      <c r="B210" s="312"/>
      <c r="C210" s="312"/>
      <c r="D210" s="180"/>
      <c r="E210" s="181"/>
      <c r="F210" s="182" t="s">
        <v>362</v>
      </c>
      <c r="G210" s="183"/>
      <c r="H210" s="184">
        <f>SUM(H203:H209)</f>
        <v>96.583500000000001</v>
      </c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</row>
    <row r="211" spans="1:26" ht="15.75" customHeight="1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</row>
    <row r="212" spans="1:26" ht="15.75" customHeight="1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</row>
    <row r="213" spans="1:26" ht="15.75" customHeight="1">
      <c r="A213" s="322" t="str">
        <f>HYPERLINK("https://www.justice.fr/simulateurs/saisi_remu","Simulateur du Site Justice.fr")</f>
        <v>Simulateur du Site Justice.fr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</row>
    <row r="214" spans="1:26" ht="15.75" customHeight="1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</row>
    <row r="215" spans="1:26" ht="15.75" customHeight="1">
      <c r="A215" s="100" t="s">
        <v>370</v>
      </c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</row>
    <row r="216" spans="1:26" ht="15.75" customHeight="1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</row>
    <row r="217" spans="1:26" ht="15.75" customHeight="1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</row>
    <row r="218" spans="1:26" ht="15.75" customHeight="1">
      <c r="A218" s="322" t="str">
        <f>HYPERLINK("https://www.legifrance.gouv.fr/jo_pdf.do?id=JORFTEXT000036896997","Présentation du bulletin de salaire clarifié au 01/01/2019 Article 3")</f>
        <v>Présentation du bulletin de salaire clarifié au 01/01/2019 Article 3</v>
      </c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</row>
    <row r="219" spans="1:26" ht="15.75" customHeight="1">
      <c r="A219" s="322" t="str">
        <f>HYPERLINK("https://www.service-public.fr/professionnels-entreprises/vosdroits/F33512","Explications et détails relatifs à la nouvelle présentation du bulletin clarifié")</f>
        <v>Explications et détails relatifs à la nouvelle présentation du bulletin clarifié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</row>
    <row r="220" spans="1:26" ht="15.75" customHeight="1">
      <c r="A220" s="454" t="s">
        <v>574</v>
      </c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</row>
    <row r="221" spans="1:26" ht="15.75" customHeight="1">
      <c r="A221" s="454" t="s">
        <v>442</v>
      </c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</row>
    <row r="222" spans="1:26" ht="15.75" customHeight="1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</row>
    <row r="223" spans="1:26" ht="15.75" customHeight="1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</row>
    <row r="224" spans="1:26" ht="15.75" customHeight="1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</row>
    <row r="225" spans="1:26" ht="15.75" customHeight="1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</row>
    <row r="226" spans="1:26" ht="15.75" customHeight="1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</row>
    <row r="227" spans="1:26" ht="15.75" customHeight="1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</row>
    <row r="228" spans="1:26" ht="15.75" customHeight="1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</row>
    <row r="229" spans="1:26" ht="15.75" customHeight="1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</row>
    <row r="230" spans="1:26" ht="15.75" customHeight="1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</row>
    <row r="231" spans="1:26" ht="15.75" customHeight="1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</row>
    <row r="232" spans="1:26" ht="15.75" customHeight="1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</row>
    <row r="233" spans="1:26" ht="15.75" customHeight="1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</row>
    <row r="234" spans="1:26" ht="15.75" customHeight="1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</row>
    <row r="235" spans="1:26" ht="15.75" customHeight="1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</row>
    <row r="236" spans="1:26" ht="15.75" customHeight="1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</row>
    <row r="237" spans="1:26" ht="15.75" customHeight="1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</row>
    <row r="238" spans="1:26" ht="15.75" customHeight="1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</row>
    <row r="239" spans="1:26" ht="15.75" customHeight="1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</row>
    <row r="240" spans="1:26" ht="15.75" customHeight="1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</row>
    <row r="241" spans="1:26" ht="15.75" customHeight="1">
      <c r="A241" s="96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</row>
    <row r="242" spans="1:26" ht="15.75" customHeight="1">
      <c r="A242" s="96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</row>
    <row r="243" spans="1:26" ht="15.75" customHeight="1">
      <c r="A243" s="96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</row>
    <row r="244" spans="1:26" ht="15.75" customHeight="1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</row>
    <row r="245" spans="1:26" ht="15.75" customHeight="1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</row>
    <row r="246" spans="1:26" ht="15.75" customHeight="1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</row>
    <row r="247" spans="1:26" ht="15.75" customHeight="1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</row>
    <row r="248" spans="1:26" ht="15.75" customHeight="1">
      <c r="A248" s="96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</row>
    <row r="249" spans="1:26" ht="15.75" customHeight="1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</row>
    <row r="250" spans="1:26" ht="15.75" customHeight="1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</row>
    <row r="251" spans="1:26" ht="15.75" customHeight="1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</row>
    <row r="252" spans="1:26" ht="15.75" customHeight="1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</row>
    <row r="253" spans="1:26" ht="15.75" customHeight="1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</row>
    <row r="254" spans="1:26" ht="15.75" customHeight="1">
      <c r="A254" s="96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</row>
    <row r="255" spans="1:26" ht="15.75" customHeight="1">
      <c r="A255" s="96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</row>
    <row r="256" spans="1:26" ht="15.75" customHeight="1">
      <c r="A256" s="96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</row>
    <row r="257" spans="1:26" ht="15.75" customHeight="1">
      <c r="A257" s="96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</row>
    <row r="258" spans="1:26" ht="15.75" customHeight="1">
      <c r="A258" s="96"/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</row>
    <row r="259" spans="1:26" ht="15.75" customHeight="1">
      <c r="A259" s="96"/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</row>
    <row r="260" spans="1:26" ht="15.75" customHeight="1">
      <c r="A260" s="96"/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</row>
    <row r="261" spans="1:26" ht="15.75" customHeight="1">
      <c r="A261" s="96"/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</row>
    <row r="262" spans="1:26" ht="15.75" customHeight="1">
      <c r="A262" s="96"/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</row>
    <row r="263" spans="1:26" ht="15.75" customHeight="1">
      <c r="A263" s="96"/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</row>
    <row r="264" spans="1:26" ht="15.75" customHeight="1">
      <c r="A264" s="96"/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</row>
    <row r="265" spans="1:26" ht="15.75" customHeight="1">
      <c r="A265" s="96"/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</row>
    <row r="266" spans="1:26" ht="15.75" customHeight="1">
      <c r="A266" s="96"/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</row>
    <row r="267" spans="1:26" ht="15.75" customHeight="1">
      <c r="A267" s="96"/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</row>
    <row r="268" spans="1:26" ht="15.75" customHeight="1">
      <c r="A268" s="96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</row>
    <row r="269" spans="1:26" ht="15.75" customHeight="1">
      <c r="A269" s="96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</row>
    <row r="270" spans="1:26" ht="15.75" customHeight="1">
      <c r="A270" s="96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</row>
    <row r="271" spans="1:26" ht="15.75" customHeight="1">
      <c r="A271" s="96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</row>
    <row r="272" spans="1:26" ht="15.75" customHeight="1">
      <c r="A272" s="96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</row>
    <row r="273" spans="1:26" ht="15.75" customHeight="1">
      <c r="A273" s="96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</row>
    <row r="274" spans="1:26" ht="15.75" customHeight="1">
      <c r="A274" s="96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</row>
    <row r="275" spans="1:26" ht="15.75" customHeight="1">
      <c r="A275" s="96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</row>
    <row r="276" spans="1:26" ht="15.75" customHeight="1">
      <c r="A276" s="96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</row>
    <row r="277" spans="1:26" ht="15.75" customHeight="1">
      <c r="A277" s="96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</row>
    <row r="278" spans="1:26" ht="15.75" customHeight="1">
      <c r="A278" s="96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</row>
    <row r="279" spans="1:26" ht="15.75" customHeight="1">
      <c r="A279" s="96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</row>
    <row r="280" spans="1:26" ht="15.75" customHeight="1">
      <c r="A280" s="96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</row>
    <row r="281" spans="1:26" ht="15.75" customHeight="1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</row>
    <row r="282" spans="1:26" ht="15.75" customHeight="1">
      <c r="A282" s="96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</row>
    <row r="283" spans="1:26" ht="15.75" customHeight="1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</row>
    <row r="284" spans="1:26" ht="15.75" customHeight="1">
      <c r="A284" s="96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</row>
    <row r="285" spans="1:26" ht="15.75" customHeight="1">
      <c r="A285" s="96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</row>
    <row r="286" spans="1:26" ht="15.75" customHeight="1">
      <c r="A286" s="96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</row>
    <row r="287" spans="1:26" ht="15.75" customHeight="1">
      <c r="A287" s="96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</row>
    <row r="288" spans="1:26" ht="15.75" customHeight="1">
      <c r="A288" s="96"/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</row>
    <row r="289" spans="1:26" ht="15.75" customHeight="1">
      <c r="A289" s="96"/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</row>
    <row r="290" spans="1:26" ht="15.75" customHeight="1">
      <c r="A290" s="96"/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</row>
    <row r="291" spans="1:26" ht="15.75" customHeight="1">
      <c r="A291" s="96"/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</row>
    <row r="292" spans="1:26" ht="15.75" customHeight="1">
      <c r="A292" s="96"/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</row>
    <row r="293" spans="1:26" ht="15.75" customHeight="1">
      <c r="A293" s="96"/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</row>
    <row r="294" spans="1:26" ht="15.75" customHeight="1">
      <c r="A294" s="96"/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</row>
    <row r="295" spans="1:26" ht="15.75" customHeight="1">
      <c r="A295" s="96"/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</row>
    <row r="296" spans="1:26" ht="15.75" customHeight="1">
      <c r="A296" s="96"/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</row>
    <row r="297" spans="1:26" ht="15.75" customHeight="1">
      <c r="A297" s="96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</row>
    <row r="298" spans="1:26" ht="15.75" customHeight="1">
      <c r="A298" s="96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</row>
    <row r="299" spans="1:26" ht="15.75" customHeight="1">
      <c r="A299" s="96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</row>
    <row r="300" spans="1:26" ht="15.75" customHeight="1">
      <c r="A300" s="96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</row>
    <row r="301" spans="1:26" ht="15.75" customHeight="1">
      <c r="A301" s="96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</row>
    <row r="302" spans="1:26" ht="15.75" customHeight="1">
      <c r="A302" s="96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</row>
    <row r="303" spans="1:26" ht="15.75" customHeight="1">
      <c r="A303" s="96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</row>
    <row r="304" spans="1:26" ht="15.75" customHeight="1">
      <c r="A304" s="96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</row>
    <row r="305" spans="1:26" ht="15.75" customHeight="1">
      <c r="A305" s="96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</row>
    <row r="306" spans="1:26" ht="15.75" customHeight="1">
      <c r="A306" s="96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</row>
    <row r="307" spans="1:26" ht="15.75" customHeight="1">
      <c r="A307" s="96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</row>
    <row r="308" spans="1:26" ht="15.75" customHeight="1">
      <c r="A308" s="96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</row>
    <row r="309" spans="1:26" ht="15.75" customHeight="1">
      <c r="A309" s="96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</row>
    <row r="310" spans="1:26" ht="15.75" customHeight="1">
      <c r="A310" s="96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</row>
    <row r="311" spans="1:26" ht="15.75" customHeight="1">
      <c r="A311" s="96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</row>
    <row r="312" spans="1:26" ht="15.75" customHeight="1">
      <c r="A312" s="96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</row>
    <row r="313" spans="1:26" ht="15.75" customHeight="1">
      <c r="A313" s="96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</row>
    <row r="314" spans="1:26" ht="15.75" customHeight="1">
      <c r="A314" s="96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</row>
    <row r="315" spans="1:26" ht="15.75" customHeight="1">
      <c r="A315" s="96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</row>
    <row r="316" spans="1:26" ht="15.75" customHeight="1">
      <c r="A316" s="96"/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</row>
    <row r="317" spans="1:26" ht="15.75" customHeight="1">
      <c r="A317" s="96"/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</row>
    <row r="318" spans="1:26" ht="15.75" customHeight="1">
      <c r="A318" s="96"/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</row>
    <row r="319" spans="1:26" ht="15.75" customHeight="1">
      <c r="A319" s="96"/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</row>
    <row r="320" spans="1:26" ht="15.75" customHeight="1">
      <c r="A320" s="96"/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</row>
    <row r="321" spans="1:26" ht="15.75" customHeight="1">
      <c r="A321" s="96"/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</row>
    <row r="322" spans="1:26" ht="15.75" customHeight="1">
      <c r="A322" s="96"/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</row>
    <row r="323" spans="1:26" ht="15.75" customHeight="1">
      <c r="A323" s="96"/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</row>
    <row r="324" spans="1:26" ht="15.75" customHeight="1">
      <c r="A324" s="96"/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</row>
    <row r="325" spans="1:26" ht="15.75" customHeight="1">
      <c r="A325" s="96"/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</row>
    <row r="326" spans="1:26" ht="15.75" customHeight="1">
      <c r="A326" s="96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</row>
    <row r="327" spans="1:26" ht="15.75" customHeight="1">
      <c r="A327" s="96"/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</row>
    <row r="328" spans="1:26" ht="15.75" customHeight="1">
      <c r="A328" s="96"/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</row>
    <row r="329" spans="1:26" ht="15.75" customHeight="1">
      <c r="A329" s="96"/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</row>
    <row r="330" spans="1:26" ht="15.75" customHeight="1">
      <c r="A330" s="96"/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</row>
    <row r="331" spans="1:26" ht="15.75" customHeight="1">
      <c r="A331" s="96"/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</row>
    <row r="332" spans="1:26" ht="15.75" customHeight="1">
      <c r="A332" s="96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</row>
    <row r="333" spans="1:26" ht="15.75" customHeight="1">
      <c r="A333" s="96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</row>
    <row r="334" spans="1:26" ht="15.75" customHeight="1">
      <c r="A334" s="96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</row>
    <row r="335" spans="1:26" ht="15.75" customHeight="1">
      <c r="A335" s="96"/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</row>
    <row r="336" spans="1:26" ht="15.75" customHeight="1">
      <c r="A336" s="96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</row>
    <row r="337" spans="1:26" ht="15.75" customHeight="1">
      <c r="A337" s="96"/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</row>
    <row r="338" spans="1:26" ht="15.75" customHeight="1">
      <c r="A338" s="96"/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</row>
    <row r="339" spans="1:26" ht="15.75" customHeight="1">
      <c r="A339" s="96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</row>
    <row r="340" spans="1:26" ht="15.75" customHeight="1">
      <c r="A340" s="96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</row>
    <row r="341" spans="1:26" ht="15.75" customHeight="1">
      <c r="A341" s="96"/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</row>
    <row r="342" spans="1:26" ht="15.75" customHeight="1">
      <c r="A342" s="96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</row>
    <row r="343" spans="1:26" ht="15.75" customHeight="1">
      <c r="A343" s="96"/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</row>
    <row r="344" spans="1:26" ht="15.75" customHeight="1">
      <c r="A344" s="96"/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</row>
    <row r="345" spans="1:26" ht="15.75" customHeight="1">
      <c r="A345" s="96"/>
      <c r="B345" s="96"/>
      <c r="C345" s="96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</row>
    <row r="346" spans="1:26" ht="15.75" customHeight="1">
      <c r="A346" s="96"/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</row>
    <row r="347" spans="1:26" ht="15.75" customHeight="1">
      <c r="A347" s="96"/>
      <c r="B347" s="96"/>
      <c r="C347" s="96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</row>
    <row r="348" spans="1:26" ht="15.75" customHeight="1">
      <c r="A348" s="96"/>
      <c r="B348" s="96"/>
      <c r="C348" s="96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</row>
    <row r="349" spans="1:26" ht="15.75" customHeight="1">
      <c r="A349" s="96"/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</row>
    <row r="350" spans="1:26" ht="15.75" customHeight="1">
      <c r="A350" s="96"/>
      <c r="B350" s="96"/>
      <c r="C350" s="96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</row>
    <row r="351" spans="1:26" ht="15.75" customHeight="1">
      <c r="A351" s="96"/>
      <c r="B351" s="96"/>
      <c r="C351" s="96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</row>
    <row r="352" spans="1:26" ht="15.75" customHeight="1">
      <c r="A352" s="96"/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</row>
    <row r="353" spans="1:26" ht="15.75" customHeight="1">
      <c r="A353" s="96"/>
      <c r="B353" s="96"/>
      <c r="C353" s="96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</row>
    <row r="354" spans="1:26" ht="15.75" customHeight="1">
      <c r="A354" s="96"/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</row>
    <row r="355" spans="1:26" ht="15.75" customHeight="1">
      <c r="A355" s="96"/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</row>
    <row r="356" spans="1:26" ht="15.75" customHeight="1">
      <c r="A356" s="96"/>
      <c r="B356" s="96"/>
      <c r="C356" s="96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</row>
    <row r="357" spans="1:26" ht="15.75" customHeight="1">
      <c r="A357" s="96"/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</row>
    <row r="358" spans="1:26" ht="15.75" customHeight="1">
      <c r="A358" s="96"/>
      <c r="B358" s="96"/>
      <c r="C358" s="96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</row>
    <row r="359" spans="1:26" ht="15.75" customHeight="1">
      <c r="A359" s="96"/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</row>
    <row r="360" spans="1:26" ht="15.75" customHeight="1">
      <c r="A360" s="96"/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</row>
    <row r="361" spans="1:26" ht="15.75" customHeight="1">
      <c r="A361" s="96"/>
      <c r="B361" s="96"/>
      <c r="C361" s="96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</row>
    <row r="362" spans="1:26" ht="15.75" customHeight="1">
      <c r="A362" s="96"/>
      <c r="B362" s="96"/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</row>
    <row r="363" spans="1:26" ht="15.75" customHeight="1">
      <c r="A363" s="96"/>
      <c r="B363" s="96"/>
      <c r="C363" s="96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</row>
    <row r="364" spans="1:26" ht="15.75" customHeight="1">
      <c r="A364" s="96"/>
      <c r="B364" s="96"/>
      <c r="C364" s="96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</row>
    <row r="365" spans="1:26" ht="15.75" customHeight="1">
      <c r="A365" s="96"/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</row>
    <row r="366" spans="1:26" ht="15.75" customHeight="1">
      <c r="A366" s="96"/>
      <c r="B366" s="96"/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</row>
    <row r="367" spans="1:26" ht="15.75" customHeight="1">
      <c r="A367" s="96"/>
      <c r="B367" s="96"/>
      <c r="C367" s="96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</row>
    <row r="368" spans="1:26" ht="15.75" customHeight="1">
      <c r="A368" s="96"/>
      <c r="B368" s="96"/>
      <c r="C368" s="96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</row>
    <row r="369" spans="1:26" ht="15.75" customHeight="1">
      <c r="A369" s="96"/>
      <c r="B369" s="96"/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</row>
    <row r="370" spans="1:26" ht="15.75" customHeight="1">
      <c r="A370" s="96"/>
      <c r="B370" s="96"/>
      <c r="C370" s="96"/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</row>
    <row r="371" spans="1:26" ht="15.75" customHeight="1">
      <c r="A371" s="96"/>
      <c r="B371" s="96"/>
      <c r="C371" s="96"/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</row>
    <row r="372" spans="1:26" ht="15.75" customHeight="1">
      <c r="A372" s="96"/>
      <c r="B372" s="96"/>
      <c r="C372" s="96"/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</row>
    <row r="373" spans="1:26" ht="15.75" customHeight="1">
      <c r="A373" s="96"/>
      <c r="B373" s="96"/>
      <c r="C373" s="96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</row>
    <row r="374" spans="1:26" ht="15.75" customHeight="1">
      <c r="A374" s="96"/>
      <c r="B374" s="96"/>
      <c r="C374" s="96"/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</row>
    <row r="375" spans="1:26" ht="15.75" customHeight="1">
      <c r="A375" s="96"/>
      <c r="B375" s="96"/>
      <c r="C375" s="96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</row>
    <row r="376" spans="1:26" ht="15.75" customHeight="1">
      <c r="A376" s="96"/>
      <c r="B376" s="96"/>
      <c r="C376" s="96"/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</row>
    <row r="377" spans="1:26" ht="15.75" customHeight="1">
      <c r="A377" s="96"/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</row>
    <row r="378" spans="1:26" ht="15.75" customHeight="1">
      <c r="A378" s="96"/>
      <c r="B378" s="96"/>
      <c r="C378" s="96"/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</row>
    <row r="379" spans="1:26" ht="15.75" customHeight="1">
      <c r="A379" s="96"/>
      <c r="B379" s="96"/>
      <c r="C379" s="96"/>
      <c r="D379" s="96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</row>
    <row r="380" spans="1:26" ht="15.75" customHeight="1">
      <c r="A380" s="96"/>
      <c r="B380" s="96"/>
      <c r="C380" s="96"/>
      <c r="D380" s="96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</row>
    <row r="381" spans="1:26" ht="15.75" customHeight="1">
      <c r="A381" s="96"/>
      <c r="B381" s="96"/>
      <c r="C381" s="96"/>
      <c r="D381" s="96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</row>
    <row r="382" spans="1:26" ht="15.75" customHeight="1">
      <c r="A382" s="96"/>
      <c r="B382" s="96"/>
      <c r="C382" s="96"/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</row>
    <row r="383" spans="1:26" ht="15.75" customHeight="1">
      <c r="A383" s="96"/>
      <c r="B383" s="96"/>
      <c r="C383" s="96"/>
      <c r="D383" s="96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</row>
    <row r="384" spans="1:26" ht="15.75" customHeight="1">
      <c r="A384" s="96"/>
      <c r="B384" s="96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</row>
    <row r="385" spans="1:26" ht="15.75" customHeight="1">
      <c r="A385" s="96"/>
      <c r="B385" s="96"/>
      <c r="C385" s="96"/>
      <c r="D385" s="96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</row>
    <row r="386" spans="1:26" ht="15.75" customHeight="1">
      <c r="A386" s="96"/>
      <c r="B386" s="96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</row>
    <row r="387" spans="1:26" ht="15.75" customHeight="1">
      <c r="A387" s="96"/>
      <c r="B387" s="96"/>
      <c r="C387" s="96"/>
      <c r="D387" s="96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</row>
    <row r="388" spans="1:26" ht="15.75" customHeight="1">
      <c r="A388" s="96"/>
      <c r="B388" s="96"/>
      <c r="C388" s="96"/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</row>
    <row r="389" spans="1:26" ht="15.75" customHeight="1">
      <c r="A389" s="96"/>
      <c r="B389" s="96"/>
      <c r="C389" s="96"/>
      <c r="D389" s="96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</row>
    <row r="390" spans="1:26" ht="15.75" customHeight="1">
      <c r="A390" s="96"/>
      <c r="B390" s="96"/>
      <c r="C390" s="96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</row>
    <row r="391" spans="1:26" ht="15.75" customHeight="1">
      <c r="A391" s="96"/>
      <c r="B391" s="96"/>
      <c r="C391" s="96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</row>
    <row r="392" spans="1:26" ht="15.75" customHeight="1">
      <c r="A392" s="96"/>
      <c r="B392" s="96"/>
      <c r="C392" s="96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</row>
    <row r="393" spans="1:26" ht="15.75" customHeight="1">
      <c r="A393" s="96"/>
      <c r="B393" s="96"/>
      <c r="C393" s="96"/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</row>
    <row r="394" spans="1:26" ht="15.75" customHeight="1">
      <c r="A394" s="96"/>
      <c r="B394" s="96"/>
      <c r="C394" s="96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</row>
    <row r="395" spans="1:26" ht="15.75" customHeight="1">
      <c r="A395" s="96"/>
      <c r="B395" s="96"/>
      <c r="C395" s="96"/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</row>
    <row r="396" spans="1:26" ht="15.75" customHeight="1">
      <c r="A396" s="96"/>
      <c r="B396" s="96"/>
      <c r="C396" s="96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</row>
    <row r="397" spans="1:26" ht="15.75" customHeight="1">
      <c r="A397" s="96"/>
      <c r="B397" s="96"/>
      <c r="C397" s="96"/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</row>
    <row r="398" spans="1:26" ht="15.75" customHeight="1">
      <c r="A398" s="96"/>
      <c r="B398" s="96"/>
      <c r="C398" s="96"/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</row>
    <row r="399" spans="1:26" ht="15.75" customHeight="1">
      <c r="A399" s="96"/>
      <c r="B399" s="96"/>
      <c r="C399" s="96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</row>
    <row r="400" spans="1:26" ht="15.75" customHeight="1">
      <c r="A400" s="96"/>
      <c r="B400" s="96"/>
      <c r="C400" s="96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</row>
    <row r="401" spans="1:26" ht="15.75" customHeight="1">
      <c r="A401" s="96"/>
      <c r="B401" s="96"/>
      <c r="C401" s="96"/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</row>
    <row r="402" spans="1:26" ht="15.75" customHeight="1">
      <c r="A402" s="96"/>
      <c r="B402" s="96"/>
      <c r="C402" s="96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</row>
    <row r="403" spans="1:26" ht="15.75" customHeight="1">
      <c r="A403" s="96"/>
      <c r="B403" s="96"/>
      <c r="C403" s="96"/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</row>
    <row r="404" spans="1:26" ht="15.75" customHeight="1">
      <c r="A404" s="96"/>
      <c r="B404" s="96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</row>
    <row r="405" spans="1:26" ht="15.75" customHeight="1">
      <c r="A405" s="96"/>
      <c r="B405" s="96"/>
      <c r="C405" s="96"/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</row>
    <row r="406" spans="1:26" ht="15.75" customHeight="1">
      <c r="A406" s="96"/>
      <c r="B406" s="96"/>
      <c r="C406" s="96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</row>
    <row r="407" spans="1:26" ht="15.75" customHeight="1">
      <c r="A407" s="96"/>
      <c r="B407" s="96"/>
      <c r="C407" s="96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</row>
    <row r="408" spans="1:26" ht="15.75" customHeight="1">
      <c r="A408" s="96"/>
      <c r="B408" s="96"/>
      <c r="C408" s="96"/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</row>
    <row r="409" spans="1:26" ht="15.75" customHeight="1">
      <c r="A409" s="96"/>
      <c r="B409" s="96"/>
      <c r="C409" s="96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</row>
    <row r="410" spans="1:26" ht="15.75" customHeight="1">
      <c r="A410" s="96"/>
      <c r="B410" s="96"/>
      <c r="C410" s="96"/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</row>
    <row r="411" spans="1:26" ht="15.75" customHeight="1">
      <c r="A411" s="96"/>
      <c r="B411" s="96"/>
      <c r="C411" s="96"/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</row>
    <row r="412" spans="1:26" ht="15.75" customHeight="1">
      <c r="A412" s="96"/>
      <c r="B412" s="96"/>
      <c r="C412" s="96"/>
      <c r="D412" s="96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</row>
    <row r="413" spans="1:26" ht="15.75" customHeight="1">
      <c r="A413" s="96"/>
      <c r="B413" s="96"/>
      <c r="C413" s="96"/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</row>
    <row r="414" spans="1:26" ht="15.75" customHeight="1">
      <c r="A414" s="96"/>
      <c r="B414" s="96"/>
      <c r="C414" s="96"/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</row>
    <row r="415" spans="1:26" ht="15.75" customHeight="1">
      <c r="A415" s="96"/>
      <c r="B415" s="96"/>
      <c r="C415" s="96"/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</row>
    <row r="416" spans="1:26" ht="15.75" customHeight="1">
      <c r="A416" s="96"/>
      <c r="B416" s="96"/>
      <c r="C416" s="96"/>
      <c r="D416" s="96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</row>
    <row r="417" spans="1:26" ht="15.75" customHeight="1">
      <c r="A417" s="96"/>
      <c r="B417" s="96"/>
      <c r="C417" s="96"/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</row>
    <row r="418" spans="1:26" ht="15.75" customHeight="1">
      <c r="A418" s="96"/>
      <c r="B418" s="96"/>
      <c r="C418" s="96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</row>
    <row r="419" spans="1:26" ht="15.75" customHeight="1">
      <c r="A419" s="96"/>
      <c r="B419" s="96"/>
      <c r="C419" s="96"/>
      <c r="D419" s="96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</row>
    <row r="420" spans="1:26" ht="15.75" customHeight="1">
      <c r="A420" s="96"/>
      <c r="B420" s="96"/>
      <c r="C420" s="96"/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</row>
    <row r="421" spans="1:26" ht="15.75" customHeight="1">
      <c r="A421" s="96"/>
      <c r="B421" s="96"/>
      <c r="C421" s="96"/>
      <c r="D421" s="96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</row>
    <row r="422" spans="1:26" ht="15.75" customHeight="1">
      <c r="A422" s="96"/>
      <c r="B422" s="96"/>
      <c r="C422" s="96"/>
      <c r="D422" s="96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</row>
    <row r="423" spans="1:26" ht="15.75" customHeight="1">
      <c r="A423" s="96"/>
      <c r="B423" s="96"/>
      <c r="C423" s="96"/>
      <c r="D423" s="96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</row>
    <row r="424" spans="1:26" ht="15.75" customHeight="1">
      <c r="A424" s="96"/>
      <c r="B424" s="96"/>
      <c r="C424" s="96"/>
      <c r="D424" s="96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</row>
    <row r="425" spans="1:26" ht="15.75" customHeight="1">
      <c r="A425" s="96"/>
      <c r="B425" s="96"/>
      <c r="C425" s="96"/>
      <c r="D425" s="96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</row>
    <row r="426" spans="1:26" ht="15.75" customHeight="1">
      <c r="A426" s="96"/>
      <c r="B426" s="96"/>
      <c r="C426" s="96"/>
      <c r="D426" s="96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</row>
    <row r="427" spans="1:26" ht="15.75" customHeight="1">
      <c r="A427" s="96"/>
      <c r="B427" s="96"/>
      <c r="C427" s="96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</row>
    <row r="428" spans="1:26" ht="15.75" customHeight="1">
      <c r="A428" s="96"/>
      <c r="B428" s="96"/>
      <c r="C428" s="96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</row>
    <row r="429" spans="1:26" ht="15.75" customHeight="1">
      <c r="A429" s="96"/>
      <c r="B429" s="96"/>
      <c r="C429" s="96"/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</row>
    <row r="430" spans="1:26" ht="15.75" customHeight="1">
      <c r="A430" s="96"/>
      <c r="B430" s="96"/>
      <c r="C430" s="96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</row>
    <row r="431" spans="1:26" ht="15.75" customHeight="1">
      <c r="A431" s="96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</row>
    <row r="432" spans="1:26" ht="15.75" customHeight="1">
      <c r="A432" s="96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</row>
    <row r="433" spans="1:26" ht="15.75" customHeight="1">
      <c r="A433" s="96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</row>
    <row r="434" spans="1:26" ht="15.75" customHeight="1">
      <c r="A434" s="96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</row>
    <row r="435" spans="1:26" ht="15.75" customHeight="1">
      <c r="A435" s="96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</row>
    <row r="436" spans="1:26" ht="15.75" customHeight="1">
      <c r="A436" s="96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</row>
    <row r="437" spans="1:26" ht="15.75" customHeight="1">
      <c r="A437" s="96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</row>
    <row r="438" spans="1:26" ht="15.75" customHeight="1">
      <c r="A438" s="96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</row>
    <row r="439" spans="1:26" ht="15.75" customHeight="1">
      <c r="A439" s="96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</row>
    <row r="440" spans="1:26" ht="15.75" customHeight="1">
      <c r="A440" s="96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</row>
    <row r="441" spans="1:26" ht="15.75" customHeight="1">
      <c r="A441" s="96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</row>
    <row r="442" spans="1:26" ht="15.75" customHeight="1">
      <c r="A442" s="96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</row>
    <row r="443" spans="1:26" ht="15.75" customHeight="1">
      <c r="A443" s="96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</row>
    <row r="444" spans="1:26" ht="15.75" customHeight="1">
      <c r="A444" s="96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</row>
    <row r="445" spans="1:26" ht="15.75" customHeight="1">
      <c r="A445" s="96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</row>
    <row r="446" spans="1:26" ht="15.75" customHeight="1">
      <c r="A446" s="96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</row>
    <row r="447" spans="1:26" ht="15.75" customHeight="1">
      <c r="A447" s="96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</row>
    <row r="448" spans="1:26" ht="15.75" customHeight="1">
      <c r="A448" s="96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</row>
    <row r="449" spans="1:26" ht="15.75" customHeight="1">
      <c r="A449" s="96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</row>
    <row r="450" spans="1:26" ht="15.75" customHeight="1">
      <c r="A450" s="96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</row>
    <row r="451" spans="1:26" ht="15.75" customHeight="1">
      <c r="A451" s="96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</row>
    <row r="452" spans="1:26" ht="15.75" customHeight="1">
      <c r="A452" s="96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</row>
    <row r="453" spans="1:26" ht="15.75" customHeight="1">
      <c r="A453" s="96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</row>
    <row r="454" spans="1:26" ht="15.75" customHeight="1">
      <c r="A454" s="96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</row>
    <row r="455" spans="1:26" ht="15.75" customHeight="1">
      <c r="A455" s="96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</row>
    <row r="456" spans="1:26" ht="15.75" customHeight="1">
      <c r="A456" s="96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</row>
    <row r="457" spans="1:26" ht="15.75" customHeight="1">
      <c r="A457" s="96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</row>
    <row r="458" spans="1:26" ht="15.75" customHeight="1">
      <c r="A458" s="96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</row>
    <row r="459" spans="1:26" ht="15.75" customHeight="1">
      <c r="A459" s="96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</row>
    <row r="460" spans="1:26" ht="15.75" customHeight="1">
      <c r="A460" s="96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</row>
    <row r="461" spans="1:26" ht="15.75" customHeight="1">
      <c r="A461" s="96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</row>
    <row r="462" spans="1:26" ht="15.75" customHeight="1">
      <c r="A462" s="96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</row>
    <row r="463" spans="1:26" ht="15.75" customHeight="1">
      <c r="A463" s="96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</row>
    <row r="464" spans="1:26" ht="15.75" customHeight="1">
      <c r="A464" s="96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</row>
    <row r="465" spans="1:26" ht="15.75" customHeight="1">
      <c r="A465" s="96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</row>
    <row r="466" spans="1:26" ht="15.75" customHeight="1">
      <c r="A466" s="96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</row>
    <row r="467" spans="1:26" ht="15.75" customHeight="1">
      <c r="A467" s="96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</row>
    <row r="468" spans="1:26" ht="15.75" customHeight="1">
      <c r="A468" s="96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</row>
    <row r="469" spans="1:26" ht="15.75" customHeight="1">
      <c r="A469" s="96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</row>
    <row r="470" spans="1:26" ht="15.75" customHeight="1">
      <c r="A470" s="96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</row>
    <row r="471" spans="1:26" ht="15.75" customHeight="1">
      <c r="A471" s="96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</row>
    <row r="472" spans="1:26" ht="15.75" customHeight="1">
      <c r="A472" s="96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</row>
    <row r="473" spans="1:26" ht="15.75" customHeight="1">
      <c r="A473" s="96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</row>
    <row r="474" spans="1:26" ht="15.75" customHeight="1">
      <c r="A474" s="96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</row>
    <row r="475" spans="1:26" ht="15.75" customHeight="1">
      <c r="A475" s="96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</row>
    <row r="476" spans="1:26" ht="15.75" customHeight="1">
      <c r="A476" s="96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</row>
    <row r="477" spans="1:26" ht="15.75" customHeight="1">
      <c r="A477" s="96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</row>
    <row r="478" spans="1:26" ht="15.75" customHeight="1">
      <c r="A478" s="96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</row>
    <row r="479" spans="1:26" ht="15.75" customHeight="1">
      <c r="A479" s="96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</row>
    <row r="480" spans="1:26" ht="15.75" customHeight="1">
      <c r="A480" s="96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</row>
    <row r="481" spans="1:26" ht="15.75" customHeight="1">
      <c r="A481" s="96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</row>
    <row r="482" spans="1:26" ht="15.75" customHeight="1">
      <c r="A482" s="96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</row>
    <row r="483" spans="1:26" ht="15.75" customHeight="1">
      <c r="A483" s="96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</row>
    <row r="484" spans="1:26" ht="15.75" customHeight="1">
      <c r="A484" s="96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</row>
    <row r="485" spans="1:26" ht="15.75" customHeight="1">
      <c r="A485" s="96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</row>
    <row r="486" spans="1:26" ht="15.75" customHeight="1">
      <c r="A486" s="96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</row>
    <row r="487" spans="1:26" ht="15.75" customHeight="1">
      <c r="A487" s="96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</row>
    <row r="488" spans="1:26" ht="15.75" customHeight="1">
      <c r="A488" s="96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</row>
    <row r="489" spans="1:26" ht="15.75" customHeight="1">
      <c r="A489" s="96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</row>
    <row r="490" spans="1:26" ht="15.75" customHeight="1">
      <c r="A490" s="96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</row>
    <row r="491" spans="1:26" ht="15.75" customHeight="1">
      <c r="A491" s="96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</row>
    <row r="492" spans="1:26" ht="15.75" customHeight="1">
      <c r="A492" s="96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</row>
    <row r="493" spans="1:26" ht="15.75" customHeight="1">
      <c r="A493" s="96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</row>
    <row r="494" spans="1:26" ht="15.75" customHeight="1">
      <c r="A494" s="96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</row>
    <row r="495" spans="1:26" ht="15.75" customHeight="1">
      <c r="A495" s="96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</row>
    <row r="496" spans="1:26" ht="15.75" customHeight="1">
      <c r="A496" s="96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</row>
    <row r="497" spans="1:26" ht="15.75" customHeight="1">
      <c r="A497" s="96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</row>
    <row r="498" spans="1:26" ht="15.75" customHeight="1">
      <c r="A498" s="96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</row>
    <row r="499" spans="1:26" ht="15.75" customHeight="1">
      <c r="A499" s="96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</row>
    <row r="500" spans="1:26" ht="15.75" customHeight="1">
      <c r="A500" s="96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</row>
    <row r="501" spans="1:26" ht="15.75" customHeight="1">
      <c r="A501" s="96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</row>
    <row r="502" spans="1:26" ht="15.75" customHeight="1">
      <c r="A502" s="96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</row>
    <row r="503" spans="1:26" ht="15.75" customHeight="1">
      <c r="A503" s="96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</row>
    <row r="504" spans="1:26" ht="15.75" customHeight="1">
      <c r="A504" s="96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</row>
    <row r="505" spans="1:26" ht="15.75" customHeight="1">
      <c r="A505" s="96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</row>
    <row r="506" spans="1:26" ht="15.75" customHeight="1">
      <c r="A506" s="96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</row>
    <row r="507" spans="1:26" ht="15.75" customHeight="1">
      <c r="A507" s="96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</row>
    <row r="508" spans="1:26" ht="15.75" customHeight="1">
      <c r="A508" s="96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</row>
    <row r="509" spans="1:26" ht="15.75" customHeight="1">
      <c r="A509" s="96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</row>
    <row r="510" spans="1:26" ht="15.75" customHeight="1">
      <c r="A510" s="96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</row>
    <row r="511" spans="1:26" ht="15.75" customHeight="1">
      <c r="A511" s="96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</row>
    <row r="512" spans="1:26" ht="15.75" customHeight="1">
      <c r="A512" s="96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</row>
    <row r="513" spans="1:26" ht="15.75" customHeight="1">
      <c r="A513" s="96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</row>
    <row r="514" spans="1:26" ht="15.75" customHeight="1">
      <c r="A514" s="96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</row>
    <row r="515" spans="1:26" ht="15.75" customHeight="1">
      <c r="A515" s="96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</row>
    <row r="516" spans="1:26" ht="15.75" customHeight="1">
      <c r="A516" s="96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</row>
    <row r="517" spans="1:26" ht="15.75" customHeight="1">
      <c r="A517" s="96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</row>
    <row r="518" spans="1:26" ht="15.75" customHeight="1">
      <c r="A518" s="96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</row>
    <row r="519" spans="1:26" ht="15.75" customHeight="1">
      <c r="A519" s="96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</row>
    <row r="520" spans="1:26" ht="15.75" customHeight="1">
      <c r="A520" s="96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</row>
    <row r="521" spans="1:26" ht="15.75" customHeight="1">
      <c r="A521" s="96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</row>
    <row r="522" spans="1:26" ht="15.75" customHeight="1">
      <c r="A522" s="96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</row>
    <row r="523" spans="1:26" ht="15.75" customHeight="1">
      <c r="A523" s="96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</row>
    <row r="524" spans="1:26" ht="15.75" customHeight="1">
      <c r="A524" s="96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</row>
    <row r="525" spans="1:26" ht="15.75" customHeight="1">
      <c r="A525" s="96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</row>
    <row r="526" spans="1:26" ht="15.75" customHeight="1">
      <c r="A526" s="96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</row>
    <row r="527" spans="1:26" ht="15.75" customHeight="1">
      <c r="A527" s="96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</row>
    <row r="528" spans="1:26" ht="15.75" customHeight="1">
      <c r="A528" s="96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</row>
    <row r="529" spans="1:26" ht="15.75" customHeight="1">
      <c r="A529" s="96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</row>
    <row r="530" spans="1:26" ht="15.75" customHeight="1">
      <c r="A530" s="96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</row>
    <row r="531" spans="1:26" ht="15.75" customHeight="1">
      <c r="A531" s="96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</row>
    <row r="532" spans="1:26" ht="15.75" customHeight="1">
      <c r="A532" s="96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</row>
    <row r="533" spans="1:26" ht="15.75" customHeight="1">
      <c r="A533" s="96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</row>
    <row r="534" spans="1:26" ht="15.75" customHeight="1">
      <c r="A534" s="96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</row>
    <row r="535" spans="1:26" ht="15.75" customHeight="1">
      <c r="A535" s="96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</row>
    <row r="536" spans="1:26" ht="15.75" customHeight="1">
      <c r="A536" s="96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</row>
    <row r="537" spans="1:26" ht="15.75" customHeight="1">
      <c r="A537" s="96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</row>
    <row r="538" spans="1:26" ht="15.75" customHeight="1">
      <c r="A538" s="96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</row>
    <row r="539" spans="1:26" ht="15.75" customHeight="1">
      <c r="A539" s="96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</row>
    <row r="540" spans="1:26" ht="15.75" customHeight="1">
      <c r="A540" s="96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</row>
    <row r="541" spans="1:26" ht="15.75" customHeight="1">
      <c r="A541" s="96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</row>
    <row r="542" spans="1:26" ht="15.75" customHeight="1">
      <c r="A542" s="96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</row>
    <row r="543" spans="1:26" ht="15.75" customHeight="1">
      <c r="A543" s="96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</row>
    <row r="544" spans="1:26" ht="15.75" customHeight="1">
      <c r="A544" s="96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</row>
    <row r="545" spans="1:26" ht="15.75" customHeight="1">
      <c r="A545" s="96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</row>
    <row r="546" spans="1:26" ht="15.75" customHeight="1">
      <c r="A546" s="96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</row>
    <row r="547" spans="1:26" ht="15.75" customHeight="1">
      <c r="A547" s="96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</row>
    <row r="548" spans="1:26" ht="15.75" customHeight="1">
      <c r="A548" s="96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</row>
    <row r="549" spans="1:26" ht="15.75" customHeight="1">
      <c r="A549" s="96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</row>
    <row r="550" spans="1:26" ht="15.75" customHeight="1">
      <c r="A550" s="96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</row>
    <row r="551" spans="1:26" ht="15.75" customHeight="1">
      <c r="A551" s="96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</row>
    <row r="552" spans="1:26" ht="15.75" customHeight="1">
      <c r="A552" s="96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</row>
    <row r="553" spans="1:26" ht="15.75" customHeight="1">
      <c r="A553" s="96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</row>
    <row r="554" spans="1:26" ht="15.75" customHeight="1">
      <c r="A554" s="96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</row>
    <row r="555" spans="1:26" ht="15.75" customHeight="1">
      <c r="A555" s="96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</row>
    <row r="556" spans="1:26" ht="15.75" customHeight="1">
      <c r="A556" s="96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</row>
    <row r="557" spans="1:26" ht="15.75" customHeight="1">
      <c r="A557" s="96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</row>
    <row r="558" spans="1:26" ht="15.75" customHeight="1">
      <c r="A558" s="96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</row>
    <row r="559" spans="1:26" ht="15.75" customHeight="1">
      <c r="A559" s="96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</row>
    <row r="560" spans="1:26" ht="15.75" customHeight="1">
      <c r="A560" s="96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</row>
    <row r="561" spans="1:26" ht="15.75" customHeight="1">
      <c r="A561" s="96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</row>
    <row r="562" spans="1:26" ht="15.75" customHeight="1">
      <c r="A562" s="96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</row>
    <row r="563" spans="1:26" ht="15.75" customHeight="1">
      <c r="A563" s="96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</row>
    <row r="564" spans="1:26" ht="15.75" customHeight="1">
      <c r="A564" s="96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</row>
    <row r="565" spans="1:26" ht="15.75" customHeight="1">
      <c r="A565" s="96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</row>
    <row r="566" spans="1:26" ht="15.75" customHeight="1">
      <c r="A566" s="96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</row>
    <row r="567" spans="1:26" ht="15.75" customHeight="1">
      <c r="A567" s="96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</row>
    <row r="568" spans="1:26" ht="15.75" customHeight="1">
      <c r="A568" s="96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</row>
    <row r="569" spans="1:26" ht="15.75" customHeight="1">
      <c r="A569" s="96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</row>
    <row r="570" spans="1:26" ht="15.75" customHeight="1">
      <c r="A570" s="96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</row>
    <row r="571" spans="1:26" ht="15.75" customHeight="1">
      <c r="A571" s="96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</row>
    <row r="572" spans="1:26" ht="15.75" customHeight="1">
      <c r="A572" s="96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</row>
    <row r="573" spans="1:26" ht="15.75" customHeight="1">
      <c r="A573" s="96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</row>
    <row r="574" spans="1:26" ht="15.75" customHeight="1">
      <c r="A574" s="96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</row>
    <row r="575" spans="1:26" ht="15.75" customHeight="1">
      <c r="A575" s="96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</row>
    <row r="576" spans="1:26" ht="15.75" customHeight="1">
      <c r="A576" s="96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</row>
    <row r="577" spans="1:26" ht="15.75" customHeight="1">
      <c r="A577" s="96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</row>
    <row r="578" spans="1:26" ht="15.75" customHeight="1">
      <c r="A578" s="96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</row>
    <row r="579" spans="1:26" ht="15.75" customHeight="1">
      <c r="A579" s="96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</row>
    <row r="580" spans="1:26" ht="15.75" customHeight="1">
      <c r="A580" s="96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</row>
    <row r="581" spans="1:26" ht="15.75" customHeight="1">
      <c r="A581" s="96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</row>
    <row r="582" spans="1:26" ht="15.75" customHeight="1">
      <c r="A582" s="96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</row>
    <row r="583" spans="1:26" ht="15.75" customHeight="1">
      <c r="A583" s="96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</row>
    <row r="584" spans="1:26" ht="15.75" customHeight="1">
      <c r="A584" s="96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</row>
    <row r="585" spans="1:26" ht="15.75" customHeight="1">
      <c r="A585" s="96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</row>
    <row r="586" spans="1:26" ht="15.75" customHeight="1">
      <c r="A586" s="96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</row>
    <row r="587" spans="1:26" ht="15.75" customHeight="1">
      <c r="A587" s="96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</row>
    <row r="588" spans="1:26" ht="15.75" customHeight="1">
      <c r="A588" s="96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</row>
    <row r="589" spans="1:26" ht="15.75" customHeight="1">
      <c r="A589" s="96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</row>
    <row r="590" spans="1:26" ht="15.75" customHeight="1">
      <c r="A590" s="96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</row>
    <row r="591" spans="1:26" ht="15.75" customHeight="1">
      <c r="A591" s="96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</row>
    <row r="592" spans="1:26" ht="15.75" customHeight="1">
      <c r="A592" s="96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</row>
    <row r="593" spans="1:26" ht="15.75" customHeight="1">
      <c r="A593" s="96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</row>
    <row r="594" spans="1:26" ht="15.75" customHeight="1">
      <c r="A594" s="96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</row>
    <row r="595" spans="1:26" ht="15.75" customHeight="1">
      <c r="A595" s="96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</row>
    <row r="596" spans="1:26" ht="15.75" customHeight="1">
      <c r="A596" s="96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</row>
    <row r="597" spans="1:26" ht="15.75" customHeight="1">
      <c r="A597" s="96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</row>
    <row r="598" spans="1:26" ht="15.75" customHeight="1">
      <c r="A598" s="96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</row>
    <row r="599" spans="1:26" ht="15.75" customHeight="1">
      <c r="A599" s="96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</row>
    <row r="600" spans="1:26" ht="15.75" customHeight="1">
      <c r="A600" s="96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</row>
    <row r="601" spans="1:26" ht="15.75" customHeight="1">
      <c r="A601" s="96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</row>
    <row r="602" spans="1:26" ht="15.75" customHeight="1">
      <c r="A602" s="96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</row>
    <row r="603" spans="1:26" ht="15.75" customHeight="1">
      <c r="A603" s="96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</row>
    <row r="604" spans="1:26" ht="15.75" customHeight="1">
      <c r="A604" s="96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</row>
    <row r="605" spans="1:26" ht="15.75" customHeight="1">
      <c r="A605" s="96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</row>
    <row r="606" spans="1:26" ht="15.75" customHeight="1">
      <c r="A606" s="96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</row>
    <row r="607" spans="1:26" ht="15.75" customHeight="1">
      <c r="A607" s="96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</row>
    <row r="608" spans="1:26" ht="15.75" customHeight="1">
      <c r="A608" s="96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</row>
    <row r="609" spans="1:26" ht="15.75" customHeight="1">
      <c r="A609" s="96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</row>
    <row r="610" spans="1:26" ht="15.75" customHeight="1">
      <c r="A610" s="96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</row>
    <row r="611" spans="1:26" ht="15.75" customHeight="1">
      <c r="A611" s="96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</row>
    <row r="612" spans="1:26" ht="15.75" customHeight="1">
      <c r="A612" s="96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</row>
    <row r="613" spans="1:26" ht="15.75" customHeight="1">
      <c r="A613" s="96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</row>
    <row r="614" spans="1:26" ht="15.75" customHeight="1">
      <c r="A614" s="96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</row>
    <row r="615" spans="1:26" ht="15.75" customHeight="1">
      <c r="A615" s="96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</row>
    <row r="616" spans="1:26" ht="15.75" customHeight="1">
      <c r="A616" s="96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</row>
    <row r="617" spans="1:26" ht="15.75" customHeight="1">
      <c r="A617" s="96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</row>
    <row r="618" spans="1:26" ht="15.75" customHeight="1">
      <c r="A618" s="96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</row>
    <row r="619" spans="1:26" ht="15.75" customHeight="1">
      <c r="A619" s="96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</row>
    <row r="620" spans="1:26" ht="15.75" customHeight="1">
      <c r="A620" s="96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</row>
    <row r="621" spans="1:26" ht="15.75" customHeight="1">
      <c r="A621" s="96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</row>
    <row r="622" spans="1:26" ht="15.75" customHeight="1">
      <c r="A622" s="96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</row>
    <row r="623" spans="1:26" ht="15.75" customHeight="1">
      <c r="A623" s="96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</row>
    <row r="624" spans="1:26" ht="15.75" customHeight="1">
      <c r="A624" s="96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</row>
    <row r="625" spans="1:26" ht="15.75" customHeight="1">
      <c r="A625" s="96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</row>
    <row r="626" spans="1:26" ht="15.75" customHeight="1">
      <c r="A626" s="96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</row>
    <row r="627" spans="1:26" ht="15.75" customHeight="1">
      <c r="A627" s="96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</row>
    <row r="628" spans="1:26" ht="15.75" customHeight="1">
      <c r="A628" s="96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</row>
    <row r="629" spans="1:26" ht="15.75" customHeight="1">
      <c r="A629" s="96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</row>
    <row r="630" spans="1:26" ht="15.75" customHeight="1">
      <c r="A630" s="96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</row>
    <row r="631" spans="1:26" ht="15.75" customHeight="1">
      <c r="A631" s="96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</row>
    <row r="632" spans="1:26" ht="15.75" customHeight="1">
      <c r="A632" s="96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</row>
    <row r="633" spans="1:26" ht="15.75" customHeight="1">
      <c r="A633" s="96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</row>
    <row r="634" spans="1:26" ht="15.75" customHeight="1">
      <c r="A634" s="96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</row>
    <row r="635" spans="1:26" ht="15.75" customHeight="1">
      <c r="A635" s="96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</row>
    <row r="636" spans="1:26" ht="15.75" customHeight="1">
      <c r="A636" s="96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</row>
    <row r="637" spans="1:26" ht="15.75" customHeight="1">
      <c r="A637" s="96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</row>
    <row r="638" spans="1:26" ht="15.75" customHeight="1">
      <c r="A638" s="96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</row>
    <row r="639" spans="1:26" ht="15.75" customHeight="1">
      <c r="A639" s="96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</row>
    <row r="640" spans="1:26" ht="15.75" customHeight="1">
      <c r="A640" s="96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</row>
    <row r="641" spans="1:26" ht="15.75" customHeight="1">
      <c r="A641" s="96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</row>
    <row r="642" spans="1:26" ht="15.75" customHeight="1">
      <c r="A642" s="96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</row>
    <row r="643" spans="1:26" ht="15.75" customHeight="1">
      <c r="A643" s="96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</row>
    <row r="644" spans="1:26" ht="15.75" customHeight="1">
      <c r="A644" s="96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</row>
    <row r="645" spans="1:26" ht="15.75" customHeight="1">
      <c r="A645" s="96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</row>
    <row r="646" spans="1:26" ht="15.75" customHeight="1">
      <c r="A646" s="96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</row>
    <row r="647" spans="1:26" ht="15.75" customHeight="1">
      <c r="A647" s="96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</row>
    <row r="648" spans="1:26" ht="15.75" customHeight="1">
      <c r="A648" s="96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</row>
    <row r="649" spans="1:26" ht="15.75" customHeight="1">
      <c r="A649" s="96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</row>
    <row r="650" spans="1:26" ht="15.75" customHeight="1">
      <c r="A650" s="96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</row>
    <row r="651" spans="1:26" ht="15.75" customHeight="1">
      <c r="A651" s="96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</row>
    <row r="652" spans="1:26" ht="15.75" customHeight="1">
      <c r="A652" s="96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</row>
    <row r="653" spans="1:26" ht="15.75" customHeight="1">
      <c r="A653" s="96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</row>
    <row r="654" spans="1:26" ht="15.75" customHeight="1">
      <c r="A654" s="96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</row>
    <row r="655" spans="1:26" ht="15.75" customHeight="1">
      <c r="A655" s="96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</row>
    <row r="656" spans="1:26" ht="15.75" customHeight="1">
      <c r="A656" s="96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</row>
    <row r="657" spans="1:26" ht="15.75" customHeight="1">
      <c r="A657" s="96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</row>
    <row r="658" spans="1:26" ht="15.75" customHeight="1">
      <c r="A658" s="96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</row>
    <row r="659" spans="1:26" ht="15.75" customHeight="1">
      <c r="A659" s="96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</row>
    <row r="660" spans="1:26" ht="15.75" customHeight="1">
      <c r="A660" s="96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</row>
    <row r="661" spans="1:26" ht="15.75" customHeight="1">
      <c r="A661" s="96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</row>
    <row r="662" spans="1:26" ht="15.75" customHeight="1">
      <c r="A662" s="96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</row>
    <row r="663" spans="1:26" ht="15.75" customHeight="1">
      <c r="A663" s="96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</row>
    <row r="664" spans="1:26" ht="15.75" customHeight="1">
      <c r="A664" s="96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</row>
    <row r="665" spans="1:26" ht="15.75" customHeight="1">
      <c r="A665" s="96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</row>
    <row r="666" spans="1:26" ht="15.75" customHeight="1">
      <c r="A666" s="96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</row>
    <row r="667" spans="1:26" ht="15.75" customHeight="1">
      <c r="A667" s="96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</row>
    <row r="668" spans="1:26" ht="15.75" customHeight="1">
      <c r="A668" s="96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</row>
    <row r="669" spans="1:26" ht="15.75" customHeight="1">
      <c r="A669" s="96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</row>
    <row r="670" spans="1:26" ht="15.75" customHeight="1">
      <c r="A670" s="96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</row>
    <row r="671" spans="1:26" ht="15.75" customHeight="1">
      <c r="A671" s="96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</row>
    <row r="672" spans="1:26" ht="15.75" customHeight="1">
      <c r="A672" s="96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</row>
    <row r="673" spans="1:26" ht="15.75" customHeight="1">
      <c r="A673" s="96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</row>
    <row r="674" spans="1:26" ht="15.75" customHeight="1">
      <c r="A674" s="96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</row>
    <row r="675" spans="1:26" ht="15.75" customHeight="1">
      <c r="A675" s="96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</row>
    <row r="676" spans="1:26" ht="15.75" customHeight="1">
      <c r="A676" s="96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</row>
    <row r="677" spans="1:26" ht="15.75" customHeight="1">
      <c r="A677" s="96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</row>
    <row r="678" spans="1:26" ht="15.75" customHeight="1">
      <c r="A678" s="96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</row>
    <row r="679" spans="1:26" ht="15.75" customHeight="1">
      <c r="A679" s="96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</row>
    <row r="680" spans="1:26" ht="15.75" customHeight="1">
      <c r="A680" s="96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</row>
    <row r="681" spans="1:26" ht="15.75" customHeight="1">
      <c r="A681" s="96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</row>
    <row r="682" spans="1:26" ht="15.75" customHeight="1">
      <c r="A682" s="96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</row>
    <row r="683" spans="1:26" ht="15.75" customHeight="1">
      <c r="A683" s="96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</row>
    <row r="684" spans="1:26" ht="15.75" customHeight="1">
      <c r="A684" s="96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</row>
    <row r="685" spans="1:26" ht="15.75" customHeight="1">
      <c r="A685" s="96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</row>
    <row r="686" spans="1:26" ht="15.75" customHeight="1">
      <c r="A686" s="96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</row>
    <row r="687" spans="1:26" ht="15.75" customHeight="1">
      <c r="A687" s="96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</row>
    <row r="688" spans="1:26" ht="15.75" customHeight="1">
      <c r="A688" s="96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</row>
    <row r="689" spans="1:26" ht="15.75" customHeight="1">
      <c r="A689" s="96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</row>
    <row r="690" spans="1:26" ht="15.75" customHeight="1">
      <c r="A690" s="96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</row>
    <row r="691" spans="1:26" ht="15.75" customHeight="1">
      <c r="A691" s="96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</row>
    <row r="692" spans="1:26" ht="15.75" customHeight="1">
      <c r="A692" s="96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</row>
    <row r="693" spans="1:26" ht="15.75" customHeight="1">
      <c r="A693" s="96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</row>
    <row r="694" spans="1:26" ht="15.75" customHeight="1">
      <c r="A694" s="96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</row>
    <row r="695" spans="1:26" ht="15.75" customHeight="1">
      <c r="A695" s="96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</row>
    <row r="696" spans="1:26" ht="15.75" customHeight="1">
      <c r="A696" s="96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</row>
    <row r="697" spans="1:26" ht="15.75" customHeight="1">
      <c r="A697" s="96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</row>
    <row r="698" spans="1:26" ht="15.75" customHeight="1">
      <c r="A698" s="96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</row>
    <row r="699" spans="1:26" ht="15.75" customHeight="1">
      <c r="A699" s="96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</row>
    <row r="700" spans="1:26" ht="15.75" customHeight="1">
      <c r="A700" s="96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</row>
    <row r="701" spans="1:26" ht="15.75" customHeight="1">
      <c r="A701" s="96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</row>
    <row r="702" spans="1:26" ht="15.75" customHeight="1">
      <c r="A702" s="96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</row>
    <row r="703" spans="1:26" ht="15.75" customHeight="1">
      <c r="A703" s="96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</row>
    <row r="704" spans="1:26" ht="15.75" customHeight="1">
      <c r="A704" s="96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</row>
    <row r="705" spans="1:26" ht="15.75" customHeight="1">
      <c r="A705" s="96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</row>
    <row r="706" spans="1:26" ht="15.75" customHeight="1">
      <c r="A706" s="96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</row>
    <row r="707" spans="1:26" ht="15.75" customHeight="1">
      <c r="A707" s="96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</row>
    <row r="708" spans="1:26" ht="15.75" customHeight="1">
      <c r="A708" s="96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</row>
    <row r="709" spans="1:26" ht="15.75" customHeight="1">
      <c r="A709" s="96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</row>
    <row r="710" spans="1:26" ht="15.75" customHeight="1">
      <c r="A710" s="96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</row>
    <row r="711" spans="1:26" ht="15.75" customHeight="1">
      <c r="A711" s="96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</row>
    <row r="712" spans="1:26" ht="15.75" customHeight="1">
      <c r="A712" s="96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</row>
    <row r="713" spans="1:26" ht="15.75" customHeight="1">
      <c r="A713" s="96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</row>
    <row r="714" spans="1:26" ht="15.75" customHeight="1">
      <c r="A714" s="96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</row>
    <row r="715" spans="1:26" ht="15.75" customHeight="1">
      <c r="A715" s="96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</row>
    <row r="716" spans="1:26" ht="15.75" customHeight="1">
      <c r="A716" s="96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</row>
    <row r="717" spans="1:26" ht="15.75" customHeight="1">
      <c r="A717" s="96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</row>
    <row r="718" spans="1:26" ht="15.75" customHeight="1">
      <c r="A718" s="96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</row>
    <row r="719" spans="1:26" ht="15.75" customHeight="1">
      <c r="A719" s="96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</row>
    <row r="720" spans="1:26" ht="15.75" customHeight="1">
      <c r="A720" s="96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</row>
    <row r="721" spans="1:26" ht="15.75" customHeight="1">
      <c r="A721" s="96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</row>
    <row r="722" spans="1:26" ht="15.75" customHeight="1">
      <c r="A722" s="96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</row>
    <row r="723" spans="1:26" ht="15.75" customHeight="1">
      <c r="A723" s="96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</row>
    <row r="724" spans="1:26" ht="15.75" customHeight="1">
      <c r="A724" s="96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</row>
    <row r="725" spans="1:26" ht="15.75" customHeight="1">
      <c r="A725" s="96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</row>
    <row r="726" spans="1:26" ht="15.75" customHeight="1">
      <c r="A726" s="96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</row>
    <row r="727" spans="1:26" ht="15.75" customHeight="1">
      <c r="A727" s="96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</row>
    <row r="728" spans="1:26" ht="15.75" customHeight="1">
      <c r="A728" s="96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</row>
    <row r="729" spans="1:26" ht="15.75" customHeight="1">
      <c r="A729" s="96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</row>
    <row r="730" spans="1:26" ht="15.75" customHeight="1">
      <c r="A730" s="96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</row>
    <row r="731" spans="1:26" ht="15.75" customHeight="1">
      <c r="A731" s="96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</row>
    <row r="732" spans="1:26" ht="15.75" customHeight="1">
      <c r="A732" s="96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</row>
    <row r="733" spans="1:26" ht="15.75" customHeight="1">
      <c r="A733" s="96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</row>
    <row r="734" spans="1:26" ht="15.75" customHeight="1">
      <c r="A734" s="96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</row>
    <row r="735" spans="1:26" ht="15.75" customHeight="1">
      <c r="A735" s="96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</row>
    <row r="736" spans="1:26" ht="15.75" customHeight="1">
      <c r="A736" s="96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</row>
    <row r="737" spans="1:26" ht="15.75" customHeight="1">
      <c r="A737" s="96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</row>
    <row r="738" spans="1:26" ht="15.75" customHeight="1">
      <c r="A738" s="96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</row>
    <row r="739" spans="1:26" ht="15.75" customHeight="1">
      <c r="A739" s="96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</row>
    <row r="740" spans="1:26" ht="15.75" customHeight="1">
      <c r="A740" s="96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</row>
    <row r="741" spans="1:26" ht="15.75" customHeight="1">
      <c r="A741" s="96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</row>
    <row r="742" spans="1:26" ht="15.75" customHeight="1">
      <c r="A742" s="96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</row>
    <row r="743" spans="1:26" ht="15.75" customHeight="1">
      <c r="A743" s="96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</row>
    <row r="744" spans="1:26" ht="15.75" customHeight="1">
      <c r="A744" s="96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</row>
    <row r="745" spans="1:26" ht="15.75" customHeight="1">
      <c r="A745" s="96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</row>
    <row r="746" spans="1:26" ht="15.75" customHeight="1">
      <c r="A746" s="96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</row>
    <row r="747" spans="1:26" ht="15.75" customHeight="1">
      <c r="A747" s="96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</row>
    <row r="748" spans="1:26" ht="15.75" customHeight="1">
      <c r="A748" s="96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</row>
    <row r="749" spans="1:26" ht="15.75" customHeight="1">
      <c r="A749" s="96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</row>
    <row r="750" spans="1:26" ht="15.75" customHeight="1">
      <c r="A750" s="96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</row>
    <row r="751" spans="1:26" ht="15.75" customHeight="1">
      <c r="A751" s="96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</row>
    <row r="752" spans="1:26" ht="15.75" customHeight="1">
      <c r="A752" s="96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</row>
    <row r="753" spans="1:26" ht="15.75" customHeight="1">
      <c r="A753" s="96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</row>
    <row r="754" spans="1:26" ht="15.75" customHeight="1">
      <c r="A754" s="96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</row>
    <row r="755" spans="1:26" ht="15.75" customHeight="1">
      <c r="A755" s="96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</row>
    <row r="756" spans="1:26" ht="15.75" customHeight="1">
      <c r="A756" s="96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</row>
    <row r="757" spans="1:26" ht="15.75" customHeight="1">
      <c r="A757" s="96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</row>
    <row r="758" spans="1:26" ht="15.75" customHeight="1">
      <c r="A758" s="96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</row>
    <row r="759" spans="1:26" ht="15.75" customHeight="1">
      <c r="A759" s="96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</row>
    <row r="760" spans="1:26" ht="15.75" customHeight="1">
      <c r="A760" s="96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</row>
    <row r="761" spans="1:26" ht="15.75" customHeight="1">
      <c r="A761" s="96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</row>
    <row r="762" spans="1:26" ht="15.75" customHeight="1">
      <c r="A762" s="96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</row>
    <row r="763" spans="1:26" ht="15.75" customHeight="1">
      <c r="A763" s="96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</row>
    <row r="764" spans="1:26" ht="15.75" customHeight="1">
      <c r="A764" s="96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</row>
    <row r="765" spans="1:26" ht="15.75" customHeight="1">
      <c r="A765" s="96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</row>
    <row r="766" spans="1:26" ht="15.75" customHeight="1">
      <c r="A766" s="96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</row>
    <row r="767" spans="1:26" ht="15.75" customHeight="1">
      <c r="A767" s="96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</row>
    <row r="768" spans="1:26" ht="15.75" customHeight="1">
      <c r="A768" s="96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</row>
    <row r="769" spans="1:26" ht="15.75" customHeight="1">
      <c r="A769" s="96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</row>
    <row r="770" spans="1:26" ht="15.75" customHeight="1">
      <c r="A770" s="96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</row>
    <row r="771" spans="1:26" ht="15.75" customHeight="1">
      <c r="A771" s="96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</row>
    <row r="772" spans="1:26" ht="15.75" customHeight="1">
      <c r="A772" s="96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</row>
    <row r="773" spans="1:26" ht="15.75" customHeight="1">
      <c r="A773" s="96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</row>
    <row r="774" spans="1:26" ht="15.75" customHeight="1">
      <c r="A774" s="96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</row>
    <row r="775" spans="1:26" ht="15.75" customHeight="1">
      <c r="A775" s="96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</row>
    <row r="776" spans="1:26" ht="15.75" customHeight="1">
      <c r="A776" s="96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</row>
    <row r="777" spans="1:26" ht="15.75" customHeight="1">
      <c r="A777" s="96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</row>
    <row r="778" spans="1:26" ht="15.75" customHeight="1">
      <c r="A778" s="96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</row>
    <row r="779" spans="1:26" ht="15.75" customHeight="1">
      <c r="A779" s="96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</row>
    <row r="780" spans="1:26" ht="15.75" customHeight="1">
      <c r="A780" s="96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</row>
    <row r="781" spans="1:26" ht="15.75" customHeight="1">
      <c r="A781" s="96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</row>
    <row r="782" spans="1:26" ht="15.75" customHeight="1">
      <c r="A782" s="96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</row>
    <row r="783" spans="1:26" ht="15.75" customHeight="1">
      <c r="A783" s="96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</row>
    <row r="784" spans="1:26" ht="15.75" customHeight="1">
      <c r="A784" s="96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</row>
    <row r="785" spans="1:26" ht="15.75" customHeight="1">
      <c r="A785" s="96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</row>
    <row r="786" spans="1:26" ht="15.75" customHeight="1">
      <c r="A786" s="96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</row>
    <row r="787" spans="1:26" ht="15.75" customHeight="1">
      <c r="A787" s="96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</row>
    <row r="788" spans="1:26" ht="15.75" customHeight="1">
      <c r="A788" s="96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</row>
    <row r="789" spans="1:26" ht="15.75" customHeight="1">
      <c r="A789" s="96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</row>
    <row r="790" spans="1:26" ht="15.75" customHeight="1">
      <c r="A790" s="96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</row>
    <row r="791" spans="1:26" ht="15.75" customHeight="1">
      <c r="A791" s="96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</row>
    <row r="792" spans="1:26" ht="15.75" customHeight="1">
      <c r="A792" s="96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</row>
    <row r="793" spans="1:26" ht="15.75" customHeight="1">
      <c r="A793" s="96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</row>
    <row r="794" spans="1:26" ht="15.75" customHeight="1">
      <c r="A794" s="96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</row>
    <row r="795" spans="1:26" ht="15.75" customHeight="1">
      <c r="A795" s="96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</row>
    <row r="796" spans="1:26" ht="15.75" customHeight="1">
      <c r="A796" s="96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</row>
    <row r="797" spans="1:26" ht="15.75" customHeight="1">
      <c r="A797" s="96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</row>
    <row r="798" spans="1:26" ht="15.75" customHeight="1">
      <c r="A798" s="96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</row>
    <row r="799" spans="1:26" ht="15.75" customHeight="1">
      <c r="A799" s="96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</row>
    <row r="800" spans="1:26" ht="15.75" customHeight="1">
      <c r="A800" s="96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</row>
    <row r="801" spans="1:26" ht="15.75" customHeight="1">
      <c r="A801" s="96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</row>
    <row r="802" spans="1:26" ht="15.75" customHeight="1">
      <c r="A802" s="96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</row>
    <row r="803" spans="1:26" ht="15.75" customHeight="1">
      <c r="A803" s="96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</row>
    <row r="804" spans="1:26" ht="15.75" customHeight="1">
      <c r="A804" s="96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</row>
    <row r="805" spans="1:26" ht="15.75" customHeight="1">
      <c r="A805" s="96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</row>
    <row r="806" spans="1:26" ht="15.75" customHeight="1">
      <c r="A806" s="96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</row>
    <row r="807" spans="1:26" ht="15.75" customHeight="1">
      <c r="A807" s="96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</row>
    <row r="808" spans="1:26" ht="15.75" customHeight="1">
      <c r="A808" s="96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</row>
    <row r="809" spans="1:26" ht="15.75" customHeight="1">
      <c r="A809" s="96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</row>
    <row r="810" spans="1:26" ht="15.75" customHeight="1">
      <c r="A810" s="96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</row>
    <row r="811" spans="1:26" ht="15.75" customHeight="1">
      <c r="A811" s="96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</row>
    <row r="812" spans="1:26" ht="15.75" customHeight="1">
      <c r="A812" s="96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</row>
    <row r="813" spans="1:26" ht="15.75" customHeight="1">
      <c r="A813" s="96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</row>
    <row r="814" spans="1:26" ht="15.75" customHeight="1">
      <c r="A814" s="96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</row>
    <row r="815" spans="1:26" ht="15.75" customHeight="1">
      <c r="A815" s="96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</row>
    <row r="816" spans="1:26" ht="15.75" customHeight="1">
      <c r="A816" s="96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</row>
    <row r="817" spans="1:26" ht="15.75" customHeight="1">
      <c r="A817" s="96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</row>
    <row r="818" spans="1:26" ht="15.75" customHeight="1">
      <c r="A818" s="96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</row>
    <row r="819" spans="1:26" ht="15.75" customHeight="1">
      <c r="A819" s="96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</row>
    <row r="820" spans="1:26" ht="15.75" customHeight="1">
      <c r="A820" s="96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</row>
    <row r="821" spans="1:26" ht="15.75" customHeight="1">
      <c r="A821" s="96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</row>
    <row r="822" spans="1:26" ht="15.75" customHeight="1">
      <c r="A822" s="96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</row>
    <row r="823" spans="1:26" ht="15.75" customHeight="1">
      <c r="A823" s="96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</row>
    <row r="824" spans="1:26" ht="15.75" customHeight="1">
      <c r="A824" s="96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</row>
    <row r="825" spans="1:26" ht="15.75" customHeight="1">
      <c r="A825" s="96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</row>
    <row r="826" spans="1:26" ht="15.75" customHeight="1">
      <c r="A826" s="96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</row>
    <row r="827" spans="1:26" ht="15.75" customHeight="1">
      <c r="A827" s="96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</row>
    <row r="828" spans="1:26" ht="15.75" customHeight="1">
      <c r="A828" s="96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</row>
    <row r="829" spans="1:26" ht="15.75" customHeight="1">
      <c r="A829" s="96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</row>
    <row r="830" spans="1:26" ht="15.75" customHeight="1">
      <c r="A830" s="96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</row>
    <row r="831" spans="1:26" ht="15.75" customHeight="1">
      <c r="A831" s="96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</row>
    <row r="832" spans="1:26" ht="15.75" customHeight="1">
      <c r="A832" s="96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</row>
    <row r="833" spans="1:26" ht="15.75" customHeight="1">
      <c r="A833" s="96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</row>
    <row r="834" spans="1:26" ht="15.75" customHeight="1">
      <c r="A834" s="96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</row>
    <row r="835" spans="1:26" ht="15.75" customHeight="1">
      <c r="A835" s="96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</row>
    <row r="836" spans="1:26" ht="15.75" customHeight="1">
      <c r="A836" s="96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</row>
    <row r="837" spans="1:26" ht="15.75" customHeight="1">
      <c r="A837" s="96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</row>
    <row r="838" spans="1:26" ht="15.75" customHeight="1">
      <c r="A838" s="96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</row>
    <row r="839" spans="1:26" ht="15.75" customHeight="1">
      <c r="A839" s="96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</row>
    <row r="840" spans="1:26" ht="15.75" customHeight="1">
      <c r="A840" s="96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</row>
    <row r="841" spans="1:26" ht="15.75" customHeight="1">
      <c r="A841" s="96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</row>
    <row r="842" spans="1:26" ht="15.75" customHeight="1">
      <c r="A842" s="96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</row>
    <row r="843" spans="1:26" ht="15.75" customHeight="1">
      <c r="A843" s="96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</row>
    <row r="844" spans="1:26" ht="15.75" customHeight="1">
      <c r="A844" s="96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</row>
    <row r="845" spans="1:26" ht="15.75" customHeight="1">
      <c r="A845" s="96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</row>
    <row r="846" spans="1:26" ht="15.75" customHeight="1">
      <c r="A846" s="96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</row>
    <row r="847" spans="1:26" ht="15.75" customHeight="1">
      <c r="A847" s="96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</row>
    <row r="848" spans="1:26" ht="15.75" customHeight="1">
      <c r="A848" s="96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</row>
    <row r="849" spans="1:26" ht="15.75" customHeight="1">
      <c r="A849" s="96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</row>
    <row r="850" spans="1:26" ht="15.75" customHeight="1">
      <c r="A850" s="96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</row>
    <row r="851" spans="1:26" ht="15.75" customHeight="1">
      <c r="A851" s="96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</row>
    <row r="852" spans="1:26" ht="15.75" customHeight="1">
      <c r="A852" s="96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</row>
    <row r="853" spans="1:26" ht="15.75" customHeight="1">
      <c r="A853" s="96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</row>
    <row r="854" spans="1:26" ht="15.75" customHeight="1">
      <c r="A854" s="96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</row>
    <row r="855" spans="1:26" ht="15.75" customHeight="1">
      <c r="A855" s="96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</row>
    <row r="856" spans="1:26" ht="15.75" customHeight="1">
      <c r="A856" s="96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</row>
    <row r="857" spans="1:26" ht="15.75" customHeight="1">
      <c r="A857" s="96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</row>
    <row r="858" spans="1:26" ht="15.75" customHeight="1">
      <c r="A858" s="96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</row>
    <row r="859" spans="1:26" ht="15.75" customHeight="1">
      <c r="A859" s="96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</row>
    <row r="860" spans="1:26" ht="15.75" customHeight="1">
      <c r="A860" s="96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</row>
    <row r="861" spans="1:26" ht="15.75" customHeight="1">
      <c r="A861" s="96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</row>
    <row r="862" spans="1:26" ht="15.75" customHeight="1">
      <c r="A862" s="96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</row>
    <row r="863" spans="1:26" ht="15.75" customHeight="1">
      <c r="A863" s="96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</row>
    <row r="864" spans="1:26" ht="15.75" customHeight="1">
      <c r="A864" s="96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</row>
    <row r="865" spans="1:26" ht="15.75" customHeight="1">
      <c r="A865" s="96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</row>
    <row r="866" spans="1:26" ht="15.75" customHeight="1">
      <c r="A866" s="96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</row>
    <row r="867" spans="1:26" ht="15.75" customHeight="1">
      <c r="A867" s="96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</row>
    <row r="868" spans="1:26" ht="15.75" customHeight="1">
      <c r="A868" s="96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</row>
    <row r="869" spans="1:26" ht="15.75" customHeight="1">
      <c r="A869" s="96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</row>
    <row r="870" spans="1:26" ht="15.75" customHeight="1">
      <c r="A870" s="96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</row>
    <row r="871" spans="1:26" ht="15.75" customHeight="1">
      <c r="A871" s="96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</row>
    <row r="872" spans="1:26" ht="15.75" customHeight="1">
      <c r="A872" s="96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</row>
    <row r="873" spans="1:26" ht="15.75" customHeight="1">
      <c r="A873" s="96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</row>
    <row r="874" spans="1:26" ht="15.75" customHeight="1">
      <c r="A874" s="96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</row>
    <row r="875" spans="1:26" ht="15.75" customHeight="1">
      <c r="A875" s="96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</row>
    <row r="876" spans="1:26" ht="15.75" customHeight="1">
      <c r="A876" s="96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</row>
    <row r="877" spans="1:26" ht="15.75" customHeight="1">
      <c r="A877" s="96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</row>
    <row r="878" spans="1:26" ht="15.75" customHeight="1">
      <c r="A878" s="96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</row>
    <row r="879" spans="1:26" ht="15.75" customHeight="1">
      <c r="A879" s="96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</row>
    <row r="880" spans="1:26" ht="15.75" customHeight="1">
      <c r="A880" s="96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</row>
    <row r="881" spans="1:26" ht="15.75" customHeight="1">
      <c r="A881" s="96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</row>
    <row r="882" spans="1:26" ht="15.75" customHeight="1">
      <c r="A882" s="96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</row>
    <row r="883" spans="1:26" ht="15.75" customHeight="1">
      <c r="A883" s="96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</row>
    <row r="884" spans="1:26" ht="15.75" customHeight="1">
      <c r="A884" s="96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</row>
    <row r="885" spans="1:26" ht="15.75" customHeight="1">
      <c r="A885" s="96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</row>
    <row r="886" spans="1:26" ht="15.75" customHeight="1">
      <c r="A886" s="96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</row>
    <row r="887" spans="1:26" ht="15.75" customHeight="1">
      <c r="A887" s="96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</row>
    <row r="888" spans="1:26" ht="15.75" customHeight="1">
      <c r="A888" s="96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</row>
    <row r="889" spans="1:26" ht="15.75" customHeight="1">
      <c r="A889" s="96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</row>
    <row r="890" spans="1:26" ht="15.75" customHeight="1">
      <c r="A890" s="96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</row>
    <row r="891" spans="1:26" ht="15.75" customHeight="1">
      <c r="A891" s="96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</row>
    <row r="892" spans="1:26" ht="15.75" customHeight="1">
      <c r="A892" s="96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</row>
    <row r="893" spans="1:26" ht="15.75" customHeight="1">
      <c r="A893" s="96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</row>
    <row r="894" spans="1:26" ht="15.75" customHeight="1">
      <c r="A894" s="96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</row>
    <row r="895" spans="1:26" ht="15.75" customHeight="1">
      <c r="A895" s="96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</row>
    <row r="896" spans="1:26" ht="15.75" customHeight="1">
      <c r="A896" s="96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</row>
    <row r="897" spans="1:26" ht="15.75" customHeight="1">
      <c r="A897" s="96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</row>
    <row r="898" spans="1:26" ht="15.75" customHeight="1">
      <c r="A898" s="96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</row>
    <row r="899" spans="1:26" ht="15.75" customHeight="1">
      <c r="A899" s="96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</row>
    <row r="900" spans="1:26" ht="15.75" customHeight="1">
      <c r="A900" s="96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</row>
    <row r="901" spans="1:26" ht="15.75" customHeight="1">
      <c r="A901" s="96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</row>
    <row r="902" spans="1:26" ht="15.75" customHeight="1">
      <c r="A902" s="96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</row>
    <row r="903" spans="1:26" ht="15.75" customHeight="1">
      <c r="A903" s="96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</row>
    <row r="904" spans="1:26" ht="15.75" customHeight="1">
      <c r="A904" s="96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</row>
    <row r="905" spans="1:26" ht="15.75" customHeight="1">
      <c r="A905" s="96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</row>
    <row r="906" spans="1:26" ht="15.75" customHeight="1">
      <c r="A906" s="96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</row>
    <row r="907" spans="1:26" ht="15.75" customHeight="1">
      <c r="A907" s="96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</row>
    <row r="908" spans="1:26" ht="15.75" customHeight="1">
      <c r="A908" s="96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</row>
    <row r="909" spans="1:26" ht="15.75" customHeight="1">
      <c r="A909" s="96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</row>
    <row r="910" spans="1:26" ht="15.75" customHeight="1">
      <c r="A910" s="96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</row>
    <row r="911" spans="1:26" ht="15.75" customHeight="1">
      <c r="A911" s="96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</row>
    <row r="912" spans="1:26" ht="15.75" customHeight="1">
      <c r="A912" s="96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</row>
    <row r="913" spans="1:26" ht="15.75" customHeight="1">
      <c r="A913" s="96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</row>
    <row r="914" spans="1:26" ht="15.75" customHeight="1">
      <c r="A914" s="96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</row>
    <row r="915" spans="1:26" ht="15.75" customHeight="1">
      <c r="A915" s="96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</row>
    <row r="916" spans="1:26" ht="15.75" customHeight="1">
      <c r="A916" s="96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</row>
    <row r="917" spans="1:26" ht="15.75" customHeight="1">
      <c r="A917" s="96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</row>
    <row r="918" spans="1:26" ht="15.75" customHeight="1">
      <c r="A918" s="96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</row>
    <row r="919" spans="1:26" ht="15.75" customHeight="1">
      <c r="A919" s="96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</row>
    <row r="920" spans="1:26" ht="15.75" customHeight="1">
      <c r="A920" s="96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</row>
    <row r="921" spans="1:26" ht="15.75" customHeight="1">
      <c r="A921" s="96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</row>
    <row r="922" spans="1:26" ht="15.75" customHeight="1">
      <c r="A922" s="96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</row>
    <row r="923" spans="1:26" ht="15.75" customHeight="1">
      <c r="A923" s="96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</row>
    <row r="924" spans="1:26" ht="15.75" customHeight="1">
      <c r="A924" s="96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</row>
    <row r="925" spans="1:26" ht="15.75" customHeight="1">
      <c r="A925" s="96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</row>
    <row r="926" spans="1:26" ht="15.75" customHeight="1">
      <c r="A926" s="96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</row>
    <row r="927" spans="1:26" ht="15.75" customHeight="1">
      <c r="A927" s="96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</row>
    <row r="928" spans="1:26" ht="15.75" customHeight="1">
      <c r="A928" s="96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</row>
    <row r="929" spans="1:26" ht="15.75" customHeight="1">
      <c r="A929" s="96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</row>
    <row r="930" spans="1:26" ht="15.75" customHeight="1">
      <c r="A930" s="96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</row>
    <row r="931" spans="1:26" ht="15.75" customHeight="1">
      <c r="A931" s="96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</row>
    <row r="932" spans="1:26" ht="15.75" customHeight="1">
      <c r="A932" s="96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</row>
    <row r="933" spans="1:26" ht="15.75" customHeight="1">
      <c r="A933" s="96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</row>
    <row r="934" spans="1:26" ht="15.75" customHeight="1">
      <c r="A934" s="96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</row>
    <row r="935" spans="1:26" ht="15.75" customHeight="1">
      <c r="A935" s="96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</row>
    <row r="936" spans="1:26" ht="15.75" customHeight="1">
      <c r="A936" s="96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</row>
    <row r="937" spans="1:26" ht="15.75" customHeight="1">
      <c r="A937" s="96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</row>
    <row r="938" spans="1:26" ht="15.75" customHeight="1">
      <c r="A938" s="96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</row>
    <row r="939" spans="1:26" ht="15.75" customHeight="1">
      <c r="A939" s="96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</row>
    <row r="940" spans="1:26" ht="15.75" customHeight="1">
      <c r="A940" s="96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</row>
    <row r="941" spans="1:26" ht="15.75" customHeight="1">
      <c r="A941" s="96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</row>
    <row r="942" spans="1:26" ht="15.75" customHeight="1">
      <c r="A942" s="96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</row>
    <row r="943" spans="1:26" ht="15.75" customHeight="1">
      <c r="A943" s="96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</row>
    <row r="944" spans="1:26" ht="15.75" customHeight="1">
      <c r="A944" s="96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</row>
    <row r="945" spans="1:26" ht="15.75" customHeight="1">
      <c r="A945" s="96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</row>
    <row r="946" spans="1:26" ht="15.75" customHeight="1">
      <c r="A946" s="96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</row>
    <row r="947" spans="1:26" ht="15.75" customHeight="1">
      <c r="A947" s="96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</row>
    <row r="948" spans="1:26" ht="15.75" customHeight="1">
      <c r="A948" s="96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</row>
    <row r="949" spans="1:26" ht="15.75" customHeight="1">
      <c r="A949" s="96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</row>
    <row r="950" spans="1:26" ht="15.75" customHeight="1">
      <c r="A950" s="96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</row>
    <row r="951" spans="1:26" ht="15.75" customHeight="1">
      <c r="A951" s="96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</row>
    <row r="952" spans="1:26" ht="15.75" customHeight="1">
      <c r="A952" s="96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</row>
    <row r="953" spans="1:26" ht="15.75" customHeight="1">
      <c r="A953" s="96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</row>
    <row r="954" spans="1:26" ht="15.75" customHeight="1">
      <c r="A954" s="96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</row>
    <row r="955" spans="1:26" ht="15.75" customHeight="1">
      <c r="A955" s="96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</row>
    <row r="956" spans="1:26" ht="15.75" customHeight="1">
      <c r="A956" s="96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</row>
    <row r="957" spans="1:26" ht="15.75" customHeight="1">
      <c r="A957" s="96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</row>
    <row r="958" spans="1:26" ht="15.75" customHeight="1">
      <c r="A958" s="96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</row>
    <row r="959" spans="1:26" ht="15.75" customHeight="1">
      <c r="A959" s="96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</row>
    <row r="960" spans="1:26" ht="15.75" customHeight="1">
      <c r="A960" s="96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</row>
    <row r="961" spans="1:26" ht="15.75" customHeight="1">
      <c r="A961" s="96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</row>
    <row r="962" spans="1:26" ht="15.75" customHeight="1">
      <c r="A962" s="96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</row>
    <row r="963" spans="1:26" ht="15.75" customHeight="1">
      <c r="A963" s="96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</row>
    <row r="964" spans="1:26" ht="15.75" customHeight="1">
      <c r="A964" s="96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</row>
    <row r="965" spans="1:26" ht="15.75" customHeight="1">
      <c r="A965" s="96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</row>
    <row r="966" spans="1:26" ht="15.75" customHeight="1">
      <c r="A966" s="96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</row>
    <row r="967" spans="1:26" ht="15.75" customHeight="1">
      <c r="A967" s="96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</row>
    <row r="968" spans="1:26" ht="15.75" customHeight="1">
      <c r="A968" s="96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</row>
    <row r="969" spans="1:26" ht="15.75" customHeight="1">
      <c r="A969" s="96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</row>
    <row r="970" spans="1:26" ht="15.75" customHeight="1">
      <c r="A970" s="96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</row>
    <row r="971" spans="1:26" ht="15.75" customHeight="1">
      <c r="A971" s="96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</row>
    <row r="972" spans="1:26" ht="15.75" customHeight="1">
      <c r="A972" s="96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</row>
    <row r="973" spans="1:26" ht="15.75" customHeight="1">
      <c r="A973" s="96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</row>
    <row r="974" spans="1:26" ht="15.75" customHeight="1">
      <c r="A974" s="96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</row>
    <row r="975" spans="1:26" ht="15.75" customHeight="1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</row>
    <row r="976" spans="1:26" ht="15.75" customHeight="1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</row>
    <row r="977" spans="1:26" ht="15.75" customHeight="1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</row>
    <row r="978" spans="1:26" ht="15.75" customHeight="1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</row>
    <row r="979" spans="1:26" ht="15.75" customHeight="1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</row>
    <row r="980" spans="1:26" ht="15.75" customHeight="1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</row>
    <row r="981" spans="1:26" ht="15.75" customHeight="1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</row>
    <row r="982" spans="1:26" ht="15.75" customHeight="1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</row>
    <row r="983" spans="1:26" ht="15.75" customHeight="1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</row>
    <row r="984" spans="1:26" ht="15.75" customHeight="1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</row>
    <row r="985" spans="1:26" ht="15.75" customHeight="1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</row>
    <row r="986" spans="1:26" ht="15.75" customHeight="1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</row>
    <row r="987" spans="1:26" ht="15.75" customHeight="1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</row>
    <row r="988" spans="1:26" ht="15.75" customHeight="1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</row>
    <row r="989" spans="1:26" ht="15.75" customHeight="1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</row>
    <row r="990" spans="1:26" ht="15.75" customHeight="1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</row>
    <row r="991" spans="1:26" ht="15.75" customHeight="1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</row>
    <row r="992" spans="1:26" ht="15.75" customHeight="1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</row>
    <row r="993" spans="1:26" ht="15.75" customHeight="1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</row>
    <row r="994" spans="1:26" ht="15.75" customHeight="1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</row>
    <row r="995" spans="1:26" ht="15.75" customHeight="1">
      <c r="A995" s="96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</row>
    <row r="996" spans="1:26" ht="15.75" customHeight="1">
      <c r="A996" s="96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</row>
    <row r="997" spans="1:26" ht="15.75" customHeight="1">
      <c r="A997" s="96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</row>
    <row r="998" spans="1:26" ht="15.75" customHeight="1">
      <c r="A998" s="96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</row>
    <row r="999" spans="1:26" ht="15.75" customHeight="1">
      <c r="A999" s="96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  <c r="Z999" s="96"/>
    </row>
    <row r="1000" spans="1:26" ht="15.75" customHeight="1">
      <c r="A1000" s="96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  <c r="Z1000" s="96"/>
    </row>
    <row r="1001" spans="1:26" ht="15.75" customHeight="1">
      <c r="A1001" s="96"/>
      <c r="B1001" s="96"/>
      <c r="C1001" s="96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  <c r="Z1001" s="96"/>
    </row>
    <row r="1002" spans="1:26" ht="15.75" customHeight="1">
      <c r="A1002" s="96"/>
      <c r="B1002" s="96"/>
      <c r="C1002" s="96"/>
      <c r="D1002" s="96"/>
      <c r="E1002" s="96"/>
      <c r="F1002" s="96"/>
      <c r="G1002" s="96"/>
      <c r="H1002" s="96"/>
      <c r="I1002" s="96"/>
      <c r="J1002" s="96"/>
      <c r="K1002" s="96"/>
      <c r="L1002" s="96"/>
      <c r="M1002" s="96"/>
      <c r="N1002" s="96"/>
      <c r="O1002" s="96"/>
      <c r="P1002" s="96"/>
      <c r="Q1002" s="96"/>
      <c r="R1002" s="96"/>
      <c r="S1002" s="96"/>
      <c r="T1002" s="96"/>
      <c r="U1002" s="96"/>
      <c r="V1002" s="96"/>
      <c r="W1002" s="96"/>
      <c r="X1002" s="96"/>
      <c r="Y1002" s="96"/>
      <c r="Z1002" s="96"/>
    </row>
    <row r="1003" spans="1:26" ht="15.75" customHeight="1">
      <c r="A1003" s="96"/>
      <c r="B1003" s="96"/>
      <c r="C1003" s="96"/>
      <c r="D1003" s="96"/>
      <c r="E1003" s="96"/>
      <c r="F1003" s="96"/>
      <c r="G1003" s="96"/>
      <c r="H1003" s="96"/>
      <c r="I1003" s="96"/>
      <c r="J1003" s="96"/>
      <c r="K1003" s="96"/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  <c r="Z1003" s="96"/>
    </row>
    <row r="1004" spans="1:26" ht="15.75" customHeight="1">
      <c r="A1004" s="96"/>
      <c r="B1004" s="96"/>
      <c r="C1004" s="96"/>
      <c r="D1004" s="96"/>
      <c r="E1004" s="96"/>
      <c r="F1004" s="96"/>
      <c r="G1004" s="96"/>
      <c r="H1004" s="96"/>
      <c r="I1004" s="96"/>
      <c r="J1004" s="96"/>
      <c r="K1004" s="96"/>
      <c r="L1004" s="96"/>
      <c r="M1004" s="96"/>
      <c r="N1004" s="96"/>
      <c r="O1004" s="96"/>
      <c r="P1004" s="96"/>
      <c r="Q1004" s="96"/>
      <c r="R1004" s="96"/>
      <c r="S1004" s="96"/>
      <c r="T1004" s="96"/>
      <c r="U1004" s="96"/>
      <c r="V1004" s="96"/>
      <c r="W1004" s="96"/>
      <c r="X1004" s="96"/>
      <c r="Y1004" s="96"/>
      <c r="Z1004" s="96"/>
    </row>
    <row r="1005" spans="1:26" ht="15.75" customHeight="1">
      <c r="A1005" s="96"/>
      <c r="B1005" s="96"/>
      <c r="C1005" s="96"/>
      <c r="D1005" s="96"/>
      <c r="E1005" s="96"/>
      <c r="F1005" s="96"/>
      <c r="G1005" s="96"/>
      <c r="H1005" s="96"/>
      <c r="I1005" s="96"/>
      <c r="J1005" s="96"/>
      <c r="K1005" s="96"/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  <c r="Z1005" s="96"/>
    </row>
    <row r="1006" spans="1:26" ht="15.75" customHeight="1">
      <c r="A1006" s="96"/>
      <c r="B1006" s="96"/>
      <c r="C1006" s="96"/>
      <c r="D1006" s="96"/>
      <c r="E1006" s="96"/>
      <c r="F1006" s="96"/>
      <c r="G1006" s="96"/>
      <c r="H1006" s="96"/>
      <c r="I1006" s="96"/>
      <c r="J1006" s="96"/>
      <c r="K1006" s="96"/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  <c r="Z1006" s="96"/>
    </row>
    <row r="1007" spans="1:26" ht="15.75" customHeight="1">
      <c r="A1007" s="96"/>
      <c r="B1007" s="96"/>
      <c r="C1007" s="96"/>
      <c r="D1007" s="96"/>
      <c r="E1007" s="96"/>
      <c r="F1007" s="96"/>
      <c r="G1007" s="96"/>
      <c r="H1007" s="96"/>
      <c r="I1007" s="96"/>
      <c r="J1007" s="96"/>
      <c r="K1007" s="96"/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  <c r="Z1007" s="96"/>
    </row>
    <row r="1008" spans="1:26" ht="15.75" customHeight="1">
      <c r="A1008" s="96"/>
      <c r="B1008" s="96"/>
      <c r="C1008" s="96"/>
      <c r="D1008" s="96"/>
      <c r="E1008" s="96"/>
      <c r="F1008" s="96"/>
      <c r="G1008" s="96"/>
      <c r="H1008" s="96"/>
      <c r="I1008" s="96"/>
      <c r="J1008" s="96"/>
      <c r="K1008" s="96"/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  <c r="Z1008" s="96"/>
    </row>
    <row r="1009" spans="1:26" ht="15.75" customHeight="1">
      <c r="A1009" s="96"/>
      <c r="B1009" s="96"/>
      <c r="C1009" s="96"/>
      <c r="D1009" s="96"/>
      <c r="E1009" s="96"/>
      <c r="F1009" s="96"/>
      <c r="G1009" s="96"/>
      <c r="H1009" s="96"/>
      <c r="I1009" s="96"/>
      <c r="J1009" s="96"/>
      <c r="K1009" s="96"/>
      <c r="L1009" s="96"/>
      <c r="M1009" s="96"/>
      <c r="N1009" s="96"/>
      <c r="O1009" s="96"/>
      <c r="P1009" s="96"/>
      <c r="Q1009" s="96"/>
      <c r="R1009" s="96"/>
      <c r="S1009" s="96"/>
      <c r="T1009" s="96"/>
      <c r="U1009" s="96"/>
      <c r="V1009" s="96"/>
      <c r="W1009" s="96"/>
      <c r="X1009" s="96"/>
      <c r="Y1009" s="96"/>
      <c r="Z1009" s="96"/>
    </row>
    <row r="1010" spans="1:26" ht="15.75" customHeight="1">
      <c r="A1010" s="96"/>
      <c r="B1010" s="96"/>
      <c r="C1010" s="96"/>
      <c r="D1010" s="96"/>
      <c r="E1010" s="96"/>
      <c r="F1010" s="96"/>
      <c r="G1010" s="96"/>
      <c r="H1010" s="96"/>
      <c r="I1010" s="96"/>
      <c r="J1010" s="96"/>
      <c r="K1010" s="96"/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  <c r="W1010" s="96"/>
      <c r="X1010" s="96"/>
      <c r="Y1010" s="96"/>
      <c r="Z1010" s="96"/>
    </row>
    <row r="1011" spans="1:26" ht="15.75" customHeight="1">
      <c r="A1011" s="96"/>
      <c r="B1011" s="96"/>
      <c r="C1011" s="96"/>
      <c r="D1011" s="96"/>
      <c r="E1011" s="96"/>
      <c r="F1011" s="96"/>
      <c r="G1011" s="96"/>
      <c r="H1011" s="96"/>
      <c r="I1011" s="96"/>
      <c r="J1011" s="96"/>
      <c r="K1011" s="96"/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  <c r="Z1011" s="96"/>
    </row>
    <row r="1012" spans="1:26" ht="15.75" customHeight="1">
      <c r="A1012" s="96"/>
      <c r="B1012" s="96"/>
      <c r="C1012" s="96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  <c r="Z1012" s="96"/>
    </row>
    <row r="1013" spans="1:26" ht="15.75" customHeight="1">
      <c r="A1013" s="96"/>
      <c r="B1013" s="96"/>
      <c r="C1013" s="96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  <c r="Z1013" s="96"/>
    </row>
    <row r="1014" spans="1:26" ht="15.75" customHeight="1">
      <c r="A1014" s="96"/>
      <c r="B1014" s="96"/>
      <c r="C1014" s="96"/>
      <c r="D1014" s="96"/>
      <c r="E1014" s="96"/>
      <c r="F1014" s="96"/>
      <c r="G1014" s="96"/>
      <c r="H1014" s="96"/>
      <c r="I1014" s="96"/>
      <c r="J1014" s="96"/>
      <c r="K1014" s="96"/>
      <c r="L1014" s="96"/>
      <c r="M1014" s="96"/>
      <c r="N1014" s="96"/>
      <c r="O1014" s="96"/>
      <c r="P1014" s="96"/>
      <c r="Q1014" s="96"/>
      <c r="R1014" s="96"/>
      <c r="S1014" s="96"/>
      <c r="T1014" s="96"/>
      <c r="U1014" s="96"/>
      <c r="V1014" s="96"/>
      <c r="W1014" s="96"/>
      <c r="X1014" s="96"/>
      <c r="Y1014" s="96"/>
      <c r="Z1014" s="96"/>
    </row>
    <row r="1015" spans="1:26" ht="15.75" customHeight="1">
      <c r="A1015" s="96"/>
      <c r="B1015" s="96"/>
      <c r="C1015" s="96"/>
      <c r="D1015" s="96"/>
      <c r="E1015" s="96"/>
      <c r="F1015" s="96"/>
      <c r="G1015" s="96"/>
      <c r="H1015" s="96"/>
      <c r="I1015" s="96"/>
      <c r="J1015" s="96"/>
      <c r="K1015" s="96"/>
      <c r="L1015" s="96"/>
      <c r="M1015" s="96"/>
      <c r="N1015" s="96"/>
      <c r="O1015" s="96"/>
      <c r="P1015" s="96"/>
      <c r="Q1015" s="96"/>
      <c r="R1015" s="96"/>
      <c r="S1015" s="96"/>
      <c r="T1015" s="96"/>
      <c r="U1015" s="96"/>
      <c r="V1015" s="96"/>
      <c r="W1015" s="96"/>
      <c r="X1015" s="96"/>
      <c r="Y1015" s="96"/>
      <c r="Z1015" s="96"/>
    </row>
    <row r="1016" spans="1:26" ht="15.75" customHeight="1">
      <c r="A1016" s="96"/>
      <c r="B1016" s="96"/>
      <c r="C1016" s="96"/>
      <c r="D1016" s="96"/>
      <c r="E1016" s="96"/>
      <c r="F1016" s="96"/>
      <c r="G1016" s="96"/>
      <c r="H1016" s="96"/>
      <c r="I1016" s="96"/>
      <c r="J1016" s="96"/>
      <c r="K1016" s="96"/>
      <c r="L1016" s="96"/>
      <c r="M1016" s="96"/>
      <c r="N1016" s="96"/>
      <c r="O1016" s="96"/>
      <c r="P1016" s="96"/>
      <c r="Q1016" s="96"/>
      <c r="R1016" s="96"/>
      <c r="S1016" s="96"/>
      <c r="T1016" s="96"/>
      <c r="U1016" s="96"/>
      <c r="V1016" s="96"/>
      <c r="W1016" s="96"/>
      <c r="X1016" s="96"/>
      <c r="Y1016" s="96"/>
      <c r="Z1016" s="96"/>
    </row>
    <row r="1017" spans="1:26" ht="15.75" customHeight="1">
      <c r="A1017" s="96"/>
      <c r="B1017" s="96"/>
      <c r="C1017" s="96"/>
      <c r="D1017" s="96"/>
      <c r="E1017" s="96"/>
      <c r="F1017" s="96"/>
      <c r="G1017" s="96"/>
      <c r="H1017" s="96"/>
      <c r="I1017" s="96"/>
      <c r="J1017" s="96"/>
      <c r="K1017" s="96"/>
      <c r="L1017" s="96"/>
      <c r="M1017" s="96"/>
      <c r="N1017" s="96"/>
      <c r="O1017" s="96"/>
      <c r="P1017" s="96"/>
      <c r="Q1017" s="96"/>
      <c r="R1017" s="96"/>
      <c r="S1017" s="96"/>
      <c r="T1017" s="96"/>
      <c r="U1017" s="96"/>
      <c r="V1017" s="96"/>
      <c r="W1017" s="96"/>
      <c r="X1017" s="96"/>
      <c r="Y1017" s="96"/>
      <c r="Z1017" s="96"/>
    </row>
    <row r="1018" spans="1:26" ht="15.75" customHeight="1">
      <c r="A1018" s="96"/>
      <c r="B1018" s="96"/>
      <c r="C1018" s="96"/>
      <c r="D1018" s="96"/>
      <c r="E1018" s="96"/>
      <c r="F1018" s="96"/>
      <c r="G1018" s="96"/>
      <c r="H1018" s="96"/>
      <c r="I1018" s="96"/>
      <c r="J1018" s="96"/>
      <c r="K1018" s="96"/>
      <c r="L1018" s="96"/>
      <c r="M1018" s="96"/>
      <c r="N1018" s="96"/>
      <c r="O1018" s="96"/>
      <c r="P1018" s="96"/>
      <c r="Q1018" s="96"/>
      <c r="R1018" s="96"/>
      <c r="S1018" s="96"/>
      <c r="T1018" s="96"/>
      <c r="U1018" s="96"/>
      <c r="V1018" s="96"/>
      <c r="W1018" s="96"/>
      <c r="X1018" s="96"/>
      <c r="Y1018" s="96"/>
      <c r="Z1018" s="96"/>
    </row>
    <row r="1019" spans="1:26" ht="15.75" customHeight="1">
      <c r="A1019" s="96"/>
      <c r="B1019" s="96"/>
      <c r="C1019" s="96"/>
      <c r="D1019" s="96"/>
      <c r="E1019" s="96"/>
      <c r="F1019" s="96"/>
      <c r="G1019" s="96"/>
      <c r="H1019" s="96"/>
      <c r="I1019" s="96"/>
      <c r="J1019" s="96"/>
      <c r="K1019" s="96"/>
      <c r="L1019" s="96"/>
      <c r="M1019" s="96"/>
      <c r="N1019" s="96"/>
      <c r="O1019" s="96"/>
      <c r="P1019" s="96"/>
      <c r="Q1019" s="96"/>
      <c r="R1019" s="96"/>
      <c r="S1019" s="96"/>
      <c r="T1019" s="96"/>
      <c r="U1019" s="96"/>
      <c r="V1019" s="96"/>
      <c r="W1019" s="96"/>
      <c r="X1019" s="96"/>
      <c r="Y1019" s="96"/>
      <c r="Z1019" s="96"/>
    </row>
    <row r="1020" spans="1:26" ht="15.75" customHeight="1">
      <c r="A1020" s="96"/>
      <c r="B1020" s="96"/>
      <c r="C1020" s="96"/>
      <c r="D1020" s="96"/>
      <c r="E1020" s="96"/>
      <c r="F1020" s="96"/>
      <c r="G1020" s="96"/>
      <c r="H1020" s="96"/>
      <c r="I1020" s="96"/>
      <c r="J1020" s="96"/>
      <c r="K1020" s="96"/>
      <c r="L1020" s="96"/>
      <c r="M1020" s="96"/>
      <c r="N1020" s="96"/>
      <c r="O1020" s="96"/>
      <c r="P1020" s="96"/>
      <c r="Q1020" s="96"/>
      <c r="R1020" s="96"/>
      <c r="S1020" s="96"/>
      <c r="T1020" s="96"/>
      <c r="U1020" s="96"/>
      <c r="V1020" s="96"/>
      <c r="W1020" s="96"/>
      <c r="X1020" s="96"/>
      <c r="Y1020" s="96"/>
      <c r="Z1020" s="96"/>
    </row>
    <row r="1021" spans="1:26" ht="15.75" customHeight="1">
      <c r="A1021" s="96"/>
      <c r="B1021" s="96"/>
      <c r="C1021" s="96"/>
      <c r="D1021" s="96"/>
      <c r="E1021" s="96"/>
      <c r="F1021" s="96"/>
      <c r="G1021" s="96"/>
      <c r="H1021" s="96"/>
      <c r="I1021" s="96"/>
      <c r="J1021" s="96"/>
      <c r="K1021" s="96"/>
      <c r="L1021" s="96"/>
      <c r="M1021" s="96"/>
      <c r="N1021" s="96"/>
      <c r="O1021" s="96"/>
      <c r="P1021" s="96"/>
      <c r="Q1021" s="96"/>
      <c r="R1021" s="96"/>
      <c r="S1021" s="96"/>
      <c r="T1021" s="96"/>
      <c r="U1021" s="96"/>
      <c r="V1021" s="96"/>
      <c r="W1021" s="96"/>
      <c r="X1021" s="96"/>
      <c r="Y1021" s="96"/>
      <c r="Z1021" s="96"/>
    </row>
    <row r="1022" spans="1:26" ht="15.75" customHeight="1">
      <c r="A1022" s="96"/>
      <c r="B1022" s="96"/>
      <c r="C1022" s="96"/>
      <c r="D1022" s="96"/>
      <c r="E1022" s="96"/>
      <c r="F1022" s="96"/>
      <c r="G1022" s="96"/>
      <c r="H1022" s="96"/>
      <c r="I1022" s="96"/>
      <c r="J1022" s="96"/>
      <c r="K1022" s="96"/>
      <c r="L1022" s="96"/>
      <c r="M1022" s="96"/>
      <c r="N1022" s="96"/>
      <c r="O1022" s="96"/>
      <c r="P1022" s="96"/>
      <c r="Q1022" s="96"/>
      <c r="R1022" s="96"/>
      <c r="S1022" s="96"/>
      <c r="T1022" s="96"/>
      <c r="U1022" s="96"/>
      <c r="V1022" s="96"/>
      <c r="W1022" s="96"/>
      <c r="X1022" s="96"/>
      <c r="Y1022" s="96"/>
      <c r="Z1022" s="96"/>
    </row>
    <row r="1023" spans="1:26" ht="15.75" customHeight="1">
      <c r="A1023" s="96"/>
      <c r="B1023" s="96"/>
      <c r="C1023" s="96"/>
      <c r="D1023" s="96"/>
      <c r="E1023" s="96"/>
      <c r="F1023" s="96"/>
      <c r="G1023" s="96"/>
      <c r="H1023" s="96"/>
      <c r="I1023" s="96"/>
      <c r="J1023" s="96"/>
      <c r="K1023" s="96"/>
      <c r="L1023" s="96"/>
      <c r="M1023" s="96"/>
      <c r="N1023" s="96"/>
      <c r="O1023" s="96"/>
      <c r="P1023" s="96"/>
      <c r="Q1023" s="96"/>
      <c r="R1023" s="96"/>
      <c r="S1023" s="96"/>
      <c r="T1023" s="96"/>
      <c r="U1023" s="96"/>
      <c r="V1023" s="96"/>
      <c r="W1023" s="96"/>
      <c r="X1023" s="96"/>
      <c r="Y1023" s="96"/>
      <c r="Z1023" s="96"/>
    </row>
    <row r="1024" spans="1:26" ht="15.75" customHeight="1">
      <c r="A1024" s="96"/>
      <c r="B1024" s="96"/>
      <c r="C1024" s="96"/>
      <c r="D1024" s="96"/>
      <c r="E1024" s="96"/>
      <c r="F1024" s="96"/>
      <c r="G1024" s="96"/>
      <c r="H1024" s="96"/>
      <c r="I1024" s="96"/>
      <c r="J1024" s="96"/>
      <c r="K1024" s="96"/>
      <c r="L1024" s="96"/>
      <c r="M1024" s="96"/>
      <c r="N1024" s="96"/>
      <c r="O1024" s="96"/>
      <c r="P1024" s="96"/>
      <c r="Q1024" s="96"/>
      <c r="R1024" s="96"/>
      <c r="S1024" s="96"/>
      <c r="T1024" s="96"/>
      <c r="U1024" s="96"/>
      <c r="V1024" s="96"/>
      <c r="W1024" s="96"/>
      <c r="X1024" s="96"/>
      <c r="Y1024" s="96"/>
      <c r="Z1024" s="96"/>
    </row>
  </sheetData>
  <mergeCells count="10">
    <mergeCell ref="S69:S70"/>
    <mergeCell ref="A170:D170"/>
    <mergeCell ref="G69:G70"/>
    <mergeCell ref="H69:I69"/>
    <mergeCell ref="J69:K69"/>
    <mergeCell ref="L69:M69"/>
    <mergeCell ref="N69:O69"/>
    <mergeCell ref="Q69:Q70"/>
    <mergeCell ref="R69:R70"/>
    <mergeCell ref="H86:I86"/>
  </mergeCells>
  <conditionalFormatting sqref="S71:S82">
    <cfRule type="cellIs" dxfId="0" priority="1" operator="notBetween">
      <formula>0</formula>
      <formula>0</formula>
    </cfRule>
  </conditionalFormatting>
  <hyperlinks>
    <hyperlink ref="A220" r:id="rId1"/>
    <hyperlink ref="A221" r:id="rId2"/>
  </hyperlinks>
  <pageMargins left="0.70866141732283472" right="0.70866141732283472" top="0.74803149606299213" bottom="0.74803149606299213" header="0" footer="0"/>
  <pageSetup paperSize="9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B1:O18"/>
  <sheetViews>
    <sheetView workbookViewId="0">
      <selection activeCell="I14" sqref="I14"/>
    </sheetView>
  </sheetViews>
  <sheetFormatPr baseColWidth="10" defaultRowHeight="15"/>
  <cols>
    <col min="1" max="1" width="4" customWidth="1"/>
    <col min="2" max="2" width="10.85546875" customWidth="1"/>
    <col min="3" max="3" width="10.140625" customWidth="1"/>
    <col min="4" max="4" width="7.85546875" customWidth="1"/>
    <col min="5" max="5" width="8" customWidth="1"/>
    <col min="6" max="6" width="9.7109375" customWidth="1"/>
    <col min="7" max="7" width="8.5703125" customWidth="1"/>
    <col min="8" max="8" width="9.5703125" customWidth="1"/>
    <col min="9" max="9" width="8.85546875" customWidth="1"/>
    <col min="10" max="10" width="10.140625" customWidth="1"/>
    <col min="11" max="12" width="10" customWidth="1"/>
    <col min="13" max="13" width="11.42578125" customWidth="1"/>
    <col min="15" max="15" width="15.85546875" customWidth="1"/>
  </cols>
  <sheetData>
    <row r="1" spans="2:15" ht="15.75" thickBot="1"/>
    <row r="2" spans="2:15" ht="75.75" thickBot="1">
      <c r="B2" s="415" t="s">
        <v>444</v>
      </c>
      <c r="C2" s="416" t="s">
        <v>445</v>
      </c>
      <c r="D2" s="415" t="s">
        <v>446</v>
      </c>
      <c r="E2" s="416" t="s">
        <v>448</v>
      </c>
      <c r="F2" s="416" t="s">
        <v>449</v>
      </c>
      <c r="G2" s="416" t="s">
        <v>450</v>
      </c>
      <c r="H2" s="416" t="s">
        <v>454</v>
      </c>
      <c r="I2" s="416" t="s">
        <v>462</v>
      </c>
      <c r="J2" s="416" t="s">
        <v>461</v>
      </c>
      <c r="K2" s="416" t="s">
        <v>451</v>
      </c>
      <c r="L2" s="417" t="s">
        <v>452</v>
      </c>
      <c r="M2" s="416" t="s">
        <v>453</v>
      </c>
      <c r="N2" s="416" t="s">
        <v>457</v>
      </c>
      <c r="O2" s="418" t="s">
        <v>458</v>
      </c>
    </row>
    <row r="3" spans="2:15">
      <c r="B3" s="426" t="s">
        <v>443</v>
      </c>
      <c r="C3" s="426">
        <v>151.66999999999999</v>
      </c>
      <c r="D3" s="419"/>
      <c r="E3" s="470">
        <v>11.54</v>
      </c>
      <c r="F3" s="426"/>
      <c r="G3" s="419">
        <f>ROUNDDOWN(C3*E3,-1)+(D3*1.25*E3)+F3</f>
        <v>1750</v>
      </c>
      <c r="H3" s="419">
        <f>G3</f>
        <v>1750</v>
      </c>
      <c r="I3" s="419">
        <f>(C3*COTISATIONS!$G$100)+(D3*COTISATIONS!$G$100)</f>
        <v>1709.3208999999997</v>
      </c>
      <c r="J3" s="419">
        <f>I3</f>
        <v>1709.3208999999997</v>
      </c>
      <c r="K3" s="419">
        <f>I3*1.6</f>
        <v>2734.9134399999998</v>
      </c>
      <c r="L3" s="419">
        <f>K3</f>
        <v>2734.9134399999998</v>
      </c>
      <c r="M3" s="420">
        <f>(COTISATIONS!$F$110/0.6)*(('Réduction génerale'!L3/'Réduction génerale'!H3)-1)</f>
        <v>0.29931988447999996</v>
      </c>
      <c r="N3" s="420">
        <f>H3*M3</f>
        <v>523.80979783999999</v>
      </c>
      <c r="O3" s="420">
        <f>N3</f>
        <v>523.80979783999999</v>
      </c>
    </row>
    <row r="4" spans="2:15">
      <c r="B4" s="7" t="s">
        <v>267</v>
      </c>
      <c r="C4" s="426">
        <v>151.66999999999999</v>
      </c>
      <c r="D4" s="421"/>
      <c r="E4" s="470">
        <v>11.54</v>
      </c>
      <c r="F4" s="7"/>
      <c r="G4" s="419">
        <f>ROUNDDOWN(C4*E4,-1)+(D4*1.25*E4)+F4</f>
        <v>1750</v>
      </c>
      <c r="H4" s="422">
        <f>H3+G4</f>
        <v>3500</v>
      </c>
      <c r="I4" s="419">
        <f>(C4*COTISATIONS!$G$100)+(D4*COTISATIONS!$G$100)</f>
        <v>1709.3208999999997</v>
      </c>
      <c r="J4" s="421">
        <f>J3+I4</f>
        <v>3418.6417999999994</v>
      </c>
      <c r="K4" s="421">
        <f t="shared" ref="K4:K14" si="0">I4*1.6</f>
        <v>2734.9134399999998</v>
      </c>
      <c r="L4" s="421">
        <f>L3+K4</f>
        <v>5469.8268799999996</v>
      </c>
      <c r="M4" s="423">
        <f>(COTISATIONS!$F$110/0.6)*(('Réduction génerale'!L4/'Réduction génerale'!H4)-1)</f>
        <v>0.29931988447999996</v>
      </c>
      <c r="N4" s="423">
        <f t="shared" ref="N4:N14" si="1">H4*M4</f>
        <v>1047.61959568</v>
      </c>
      <c r="O4" s="423">
        <f>N4-N3</f>
        <v>523.80979783999999</v>
      </c>
    </row>
    <row r="5" spans="2:15">
      <c r="B5" s="7" t="s">
        <v>268</v>
      </c>
      <c r="C5" s="426">
        <v>151.66999999999999</v>
      </c>
      <c r="D5" s="421"/>
      <c r="E5" s="470">
        <v>11.54</v>
      </c>
      <c r="F5" s="7"/>
      <c r="G5" s="419">
        <f t="shared" ref="G4:G14" si="2">ROUNDDOWN(C5*E5,-1)+(D5*1.25*E5)+F5</f>
        <v>1750</v>
      </c>
      <c r="H5" s="421">
        <f t="shared" ref="H5:H14" si="3">H4+G5</f>
        <v>5250</v>
      </c>
      <c r="I5" s="419">
        <f>(C5*COTISATIONS!$G$100)+(D5*COTISATIONS!$G$100)</f>
        <v>1709.3208999999997</v>
      </c>
      <c r="J5" s="421">
        <f t="shared" ref="J5:J14" si="4">J4+I5</f>
        <v>5127.9626999999991</v>
      </c>
      <c r="K5" s="421">
        <f t="shared" si="0"/>
        <v>2734.9134399999998</v>
      </c>
      <c r="L5" s="421">
        <f t="shared" ref="L5:L14" si="5">L4+K5</f>
        <v>8204.740319999999</v>
      </c>
      <c r="M5" s="423">
        <f>(COTISATIONS!$F$110/0.6)*(('Réduction génerale'!L5/'Réduction génerale'!H5)-1)</f>
        <v>0.29931988447999985</v>
      </c>
      <c r="N5" s="423">
        <f t="shared" si="1"/>
        <v>1571.4293935199992</v>
      </c>
      <c r="O5" s="423">
        <f t="shared" ref="O5:O14" si="6">N5-N4</f>
        <v>523.80979783999919</v>
      </c>
    </row>
    <row r="6" spans="2:15">
      <c r="B6" s="7" t="s">
        <v>269</v>
      </c>
      <c r="C6" s="426">
        <v>151.66999999999999</v>
      </c>
      <c r="D6" s="421"/>
      <c r="E6" s="470">
        <v>10.77</v>
      </c>
      <c r="F6" s="7"/>
      <c r="G6" s="419">
        <f>ROUNDDOWN(C6*E6,1)+(D6*1.25*E6)+F6</f>
        <v>1633.4</v>
      </c>
      <c r="H6" s="419">
        <f t="shared" si="3"/>
        <v>6883.4</v>
      </c>
      <c r="I6" s="419">
        <f>(C6*COTISATIONS!$G$100)+(D6*COTISATIONS!$G$100)</f>
        <v>1709.3208999999997</v>
      </c>
      <c r="J6" s="421">
        <f t="shared" si="4"/>
        <v>6837.2835999999988</v>
      </c>
      <c r="K6" s="421">
        <f t="shared" si="0"/>
        <v>2734.9134399999998</v>
      </c>
      <c r="L6" s="421">
        <f t="shared" si="5"/>
        <v>10939.653759999999</v>
      </c>
      <c r="M6" s="423">
        <f>(COTISATIONS!$F$110/0.6)*(('Réduction génerale'!L6/'Réduction génerale'!H6)-1)</f>
        <v>0.31339904088483406</v>
      </c>
      <c r="N6" s="423">
        <f t="shared" si="1"/>
        <v>2157.2509580266665</v>
      </c>
      <c r="O6" s="423">
        <f t="shared" si="6"/>
        <v>585.8215645066673</v>
      </c>
    </row>
    <row r="7" spans="2:15">
      <c r="B7" s="227" t="s">
        <v>270</v>
      </c>
      <c r="C7" s="426">
        <v>151.66999999999999</v>
      </c>
      <c r="D7" s="49"/>
      <c r="E7" s="470">
        <v>11.54</v>
      </c>
      <c r="F7" s="227"/>
      <c r="G7" s="419">
        <f t="shared" si="2"/>
        <v>1750</v>
      </c>
      <c r="H7" s="49">
        <f t="shared" si="3"/>
        <v>8633.4</v>
      </c>
      <c r="I7" s="49">
        <f>(C7*COTISATIONS!$F$100)+(D7*COTISATIONS!$F$100)</f>
        <v>1747.2383999999997</v>
      </c>
      <c r="J7" s="49">
        <f t="shared" si="4"/>
        <v>8584.521999999999</v>
      </c>
      <c r="K7" s="49">
        <f t="shared" si="0"/>
        <v>2795.5814399999999</v>
      </c>
      <c r="L7" s="49">
        <f t="shared" si="5"/>
        <v>13735.235199999999</v>
      </c>
      <c r="M7" s="335">
        <f>(COTISATIONS!$F$110/0.6)*(('Réduction génerale'!L7/'Réduction génerale'!H7)-1)</f>
        <v>0.31428244035181191</v>
      </c>
      <c r="N7" s="335">
        <f t="shared" si="1"/>
        <v>2713.3260205333327</v>
      </c>
      <c r="O7" s="337">
        <f t="shared" si="6"/>
        <v>556.0750625066662</v>
      </c>
    </row>
    <row r="8" spans="2:15">
      <c r="B8" s="227" t="s">
        <v>271</v>
      </c>
      <c r="C8" s="426">
        <v>151.66999999999999</v>
      </c>
      <c r="D8" s="49"/>
      <c r="E8" s="470">
        <v>11.54</v>
      </c>
      <c r="F8" s="227">
        <v>875</v>
      </c>
      <c r="G8" s="419">
        <f t="shared" si="2"/>
        <v>2625</v>
      </c>
      <c r="H8" s="49">
        <f t="shared" si="3"/>
        <v>11258.4</v>
      </c>
      <c r="I8" s="49">
        <f>(C8*COTISATIONS!$F$100)+(D8*COTISATIONS!$F$100)</f>
        <v>1747.2383999999997</v>
      </c>
      <c r="J8" s="49">
        <f t="shared" si="4"/>
        <v>10331.760399999999</v>
      </c>
      <c r="K8" s="49">
        <f t="shared" si="0"/>
        <v>2795.5814399999999</v>
      </c>
      <c r="L8" s="49">
        <f t="shared" si="5"/>
        <v>16530.816639999997</v>
      </c>
      <c r="M8" s="335">
        <f>(COTISATIONS!$F$110/0.6)*(('Réduction génerale'!L8/'Réduction génerale'!H8)-1)</f>
        <v>0.2490626480115587</v>
      </c>
      <c r="N8" s="335">
        <f t="shared" si="1"/>
        <v>2804.0469163733324</v>
      </c>
      <c r="O8" s="337">
        <f t="shared" si="6"/>
        <v>90.720895839999685</v>
      </c>
    </row>
    <row r="9" spans="2:15">
      <c r="B9" s="227" t="s">
        <v>272</v>
      </c>
      <c r="C9" s="426">
        <v>151.66999999999999</v>
      </c>
      <c r="D9" s="49"/>
      <c r="E9" s="470"/>
      <c r="F9" s="227"/>
      <c r="G9" s="419">
        <f t="shared" si="2"/>
        <v>0</v>
      </c>
      <c r="H9" s="49">
        <f t="shared" si="3"/>
        <v>11258.4</v>
      </c>
      <c r="I9" s="49">
        <f>(C9*COTISATIONS!$F$100)+(D9*COTISATIONS!$F$100)</f>
        <v>1747.2383999999997</v>
      </c>
      <c r="J9" s="49">
        <f t="shared" si="4"/>
        <v>12078.998799999999</v>
      </c>
      <c r="K9" s="49">
        <f t="shared" si="0"/>
        <v>2795.5814399999999</v>
      </c>
      <c r="L9" s="49">
        <f t="shared" si="5"/>
        <v>19326.398079999999</v>
      </c>
      <c r="M9" s="335">
        <f>(COTISATIONS!$F$110/0.6)*(('Réduction génerale'!L9/'Réduction génerale'!H9)-1)</f>
        <v>0.38112256734645544</v>
      </c>
      <c r="N9" s="335">
        <f t="shared" si="1"/>
        <v>4290.8303122133339</v>
      </c>
      <c r="O9" s="337">
        <f t="shared" si="6"/>
        <v>1486.7833958400015</v>
      </c>
    </row>
    <row r="10" spans="2:15">
      <c r="B10" s="227" t="s">
        <v>273</v>
      </c>
      <c r="C10" s="426">
        <v>151.66999999999999</v>
      </c>
      <c r="D10" s="49"/>
      <c r="E10" s="470"/>
      <c r="F10" s="227"/>
      <c r="G10" s="419">
        <f t="shared" si="2"/>
        <v>0</v>
      </c>
      <c r="H10" s="49">
        <f t="shared" si="3"/>
        <v>11258.4</v>
      </c>
      <c r="I10" s="49">
        <f>(C10*COTISATIONS!$F$100)+(D10*COTISATIONS!$F$100)</f>
        <v>1747.2383999999997</v>
      </c>
      <c r="J10" s="49">
        <f t="shared" si="4"/>
        <v>13826.2372</v>
      </c>
      <c r="K10" s="49">
        <f t="shared" si="0"/>
        <v>2795.5814399999999</v>
      </c>
      <c r="L10" s="49">
        <f t="shared" si="5"/>
        <v>22121.979520000001</v>
      </c>
      <c r="M10" s="335">
        <f>(COTISATIONS!$F$110/0.6)*(('Réduction génerale'!L10/'Réduction génerale'!H10)-1)</f>
        <v>0.51318248668135213</v>
      </c>
      <c r="N10" s="335">
        <f t="shared" si="1"/>
        <v>5777.6137080533344</v>
      </c>
      <c r="O10" s="337">
        <f t="shared" si="6"/>
        <v>1486.7833958400006</v>
      </c>
    </row>
    <row r="11" spans="2:15">
      <c r="B11" s="227" t="s">
        <v>274</v>
      </c>
      <c r="C11" s="426">
        <v>151.66999999999999</v>
      </c>
      <c r="D11" s="49"/>
      <c r="E11" s="470"/>
      <c r="F11" s="227"/>
      <c r="G11" s="419">
        <f t="shared" si="2"/>
        <v>0</v>
      </c>
      <c r="H11" s="49">
        <f t="shared" si="3"/>
        <v>11258.4</v>
      </c>
      <c r="I11" s="49">
        <f>(C11*COTISATIONS!$F$100)+(D11*COTISATIONS!$F$100)</f>
        <v>1747.2383999999997</v>
      </c>
      <c r="J11" s="49">
        <f t="shared" si="4"/>
        <v>15573.4756</v>
      </c>
      <c r="K11" s="49">
        <f t="shared" si="0"/>
        <v>2795.5814399999999</v>
      </c>
      <c r="L11" s="49">
        <f t="shared" si="5"/>
        <v>24917.560960000003</v>
      </c>
      <c r="M11" s="335">
        <f>(COTISATIONS!$F$110/0.6)*(('Réduction génerale'!L11/'Réduction génerale'!H11)-1)</f>
        <v>0.64524240601624894</v>
      </c>
      <c r="N11" s="335">
        <f t="shared" si="1"/>
        <v>7264.3971038933369</v>
      </c>
      <c r="O11" s="337">
        <f t="shared" si="6"/>
        <v>1486.7833958400024</v>
      </c>
    </row>
    <row r="12" spans="2:15">
      <c r="B12" s="227" t="s">
        <v>275</v>
      </c>
      <c r="C12" s="426">
        <v>151.66999999999999</v>
      </c>
      <c r="D12" s="49"/>
      <c r="E12" s="470"/>
      <c r="F12" s="227"/>
      <c r="G12" s="419">
        <f t="shared" si="2"/>
        <v>0</v>
      </c>
      <c r="H12" s="49">
        <f t="shared" si="3"/>
        <v>11258.4</v>
      </c>
      <c r="I12" s="49">
        <f>(C12*COTISATIONS!$F$100)+(D12*COTISATIONS!$F$100)</f>
        <v>1747.2383999999997</v>
      </c>
      <c r="J12" s="49">
        <f t="shared" si="4"/>
        <v>17320.714</v>
      </c>
      <c r="K12" s="49">
        <f t="shared" si="0"/>
        <v>2795.5814399999999</v>
      </c>
      <c r="L12" s="49">
        <f t="shared" si="5"/>
        <v>27713.142400000004</v>
      </c>
      <c r="M12" s="335">
        <f>(COTISATIONS!$F$110/0.6)*(('Réduction génerale'!L12/'Réduction génerale'!H12)-1)</f>
        <v>0.77730232535114563</v>
      </c>
      <c r="N12" s="335">
        <f t="shared" si="1"/>
        <v>8751.1804997333384</v>
      </c>
      <c r="O12" s="337">
        <f t="shared" si="6"/>
        <v>1486.7833958400015</v>
      </c>
    </row>
    <row r="13" spans="2:15">
      <c r="B13" s="227" t="s">
        <v>276</v>
      </c>
      <c r="C13" s="426">
        <v>151.66999999999999</v>
      </c>
      <c r="D13" s="49"/>
      <c r="E13" s="470"/>
      <c r="F13" s="227"/>
      <c r="G13" s="419">
        <f t="shared" si="2"/>
        <v>0</v>
      </c>
      <c r="H13" s="49">
        <f t="shared" si="3"/>
        <v>11258.4</v>
      </c>
      <c r="I13" s="49">
        <f>(C13*COTISATIONS!$F$100)+(D13*COTISATIONS!$F$100)</f>
        <v>1747.2383999999997</v>
      </c>
      <c r="J13" s="49">
        <f t="shared" si="4"/>
        <v>19067.952399999998</v>
      </c>
      <c r="K13" s="49">
        <f t="shared" si="0"/>
        <v>2795.5814399999999</v>
      </c>
      <c r="L13" s="49">
        <f t="shared" si="5"/>
        <v>30508.723840000006</v>
      </c>
      <c r="M13" s="335">
        <f>(COTISATIONS!$F$110/0.6)*(('Réduction génerale'!L13/'Réduction génerale'!H13)-1)</f>
        <v>0.90936224468604232</v>
      </c>
      <c r="N13" s="335">
        <f t="shared" si="1"/>
        <v>10237.963895573339</v>
      </c>
      <c r="O13" s="337">
        <f t="shared" si="6"/>
        <v>1486.7833958400006</v>
      </c>
    </row>
    <row r="14" spans="2:15" ht="15.75" thickBot="1">
      <c r="B14" s="19" t="s">
        <v>277</v>
      </c>
      <c r="C14" s="426">
        <v>151.66999999999999</v>
      </c>
      <c r="D14" s="278"/>
      <c r="E14" s="470"/>
      <c r="F14" s="19"/>
      <c r="G14" s="419">
        <f t="shared" si="2"/>
        <v>0</v>
      </c>
      <c r="H14" s="278">
        <f t="shared" si="3"/>
        <v>11258.4</v>
      </c>
      <c r="I14" s="49">
        <f>(C14*COTISATIONS!$F$100)+(D14*COTISATIONS!$F$100)</f>
        <v>1747.2383999999997</v>
      </c>
      <c r="J14" s="278">
        <f t="shared" si="4"/>
        <v>20815.190799999997</v>
      </c>
      <c r="K14" s="278">
        <f t="shared" si="0"/>
        <v>2795.5814399999999</v>
      </c>
      <c r="L14" s="278">
        <f t="shared" si="5"/>
        <v>33304.305280000008</v>
      </c>
      <c r="M14" s="336">
        <f>(COTISATIONS!$F$110/0.6)*(('Réduction génerale'!L14/'Réduction génerale'!H14)-1)</f>
        <v>1.0414221640209389</v>
      </c>
      <c r="N14" s="336">
        <f t="shared" si="1"/>
        <v>11724.747291413338</v>
      </c>
      <c r="O14" s="338">
        <f t="shared" si="6"/>
        <v>1486.7833958399988</v>
      </c>
    </row>
    <row r="15" spans="2:15" ht="15.75" thickBot="1">
      <c r="B15" s="277" t="s">
        <v>447</v>
      </c>
      <c r="C15" s="279">
        <f>SUM(C3:C14)</f>
        <v>1820.0400000000002</v>
      </c>
      <c r="D15" s="280">
        <f>SUM(D3:D14)</f>
        <v>0</v>
      </c>
      <c r="E15" s="424"/>
      <c r="F15" s="277">
        <f>SUM(F3:F14)</f>
        <v>875</v>
      </c>
      <c r="G15" s="281">
        <f>SUM(G3:G14)</f>
        <v>11258.4</v>
      </c>
      <c r="H15" s="425"/>
      <c r="I15" s="280">
        <f>SUM(I3:I14)</f>
        <v>20815.190799999997</v>
      </c>
      <c r="J15" s="425"/>
      <c r="K15" s="280">
        <f>SUM(K3:K14)</f>
        <v>33304.305280000008</v>
      </c>
      <c r="L15" s="425"/>
      <c r="M15" s="425"/>
      <c r="N15" s="425"/>
      <c r="O15" s="339">
        <f>SUM(O3:O14)</f>
        <v>11724.747291413338</v>
      </c>
    </row>
    <row r="16" spans="2:15" ht="15.75" thickBot="1"/>
    <row r="17" spans="2:12" ht="15.75" thickBot="1">
      <c r="B17" s="284" t="s">
        <v>459</v>
      </c>
      <c r="C17" s="285" t="s">
        <v>464</v>
      </c>
      <c r="J17" s="279" t="s">
        <v>460</v>
      </c>
      <c r="K17" s="427"/>
      <c r="L17" s="428">
        <f>IF(C17="janvier",O3,IF(C17="fevrier",O4,IF(C17="mars",O5,IF(C17="avril",O6,IF(C17="mai;O7;si(C17=""juin",O8,IF(C17="juillet",O9,IF(C17="août",O10,IF(C17="septembre",O11,IF(C17="octobre",O12,IF(C17="novembre",O13,O14))))))))))</f>
        <v>523.80979783999999</v>
      </c>
    </row>
    <row r="18" spans="2:12" ht="15.75" thickBot="1">
      <c r="B18" s="286" t="s">
        <v>455</v>
      </c>
      <c r="C18" s="287">
        <f>COTISATIONS!F18</f>
        <v>38</v>
      </c>
      <c r="E18" s="282" t="s">
        <v>456</v>
      </c>
      <c r="F18" s="283">
        <f>COTISATIONS!F110</f>
        <v>0.31909999999999999</v>
      </c>
      <c r="G18" s="288"/>
    </row>
  </sheetData>
  <pageMargins left="0.7" right="0.7" top="0.75" bottom="0.75" header="0.3" footer="0.3"/>
  <pageSetup paperSize="9" orientation="portrait" horizont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I40"/>
  <sheetViews>
    <sheetView workbookViewId="0">
      <selection activeCell="C20" sqref="C20"/>
    </sheetView>
  </sheetViews>
  <sheetFormatPr baseColWidth="10" defaultRowHeight="15"/>
  <cols>
    <col min="1" max="1" width="30.140625" customWidth="1"/>
    <col min="2" max="2" width="8.85546875" customWidth="1"/>
    <col min="3" max="3" width="13.85546875" customWidth="1"/>
    <col min="4" max="5" width="10.140625" customWidth="1"/>
    <col min="6" max="6" width="14.140625" customWidth="1"/>
    <col min="7" max="7" width="20.28515625" customWidth="1"/>
    <col min="8" max="8" width="18.42578125" customWidth="1"/>
    <col min="9" max="9" width="16" customWidth="1"/>
  </cols>
  <sheetData>
    <row r="1" spans="1:9">
      <c r="A1" s="573" t="s">
        <v>417</v>
      </c>
      <c r="B1" s="573"/>
      <c r="C1" s="573"/>
      <c r="D1" s="573"/>
      <c r="F1" s="621" t="s">
        <v>440</v>
      </c>
      <c r="G1" s="622"/>
      <c r="H1" s="622"/>
      <c r="I1" s="623"/>
    </row>
    <row r="2" spans="1:9">
      <c r="A2" s="269"/>
      <c r="B2" s="271" t="s">
        <v>110</v>
      </c>
      <c r="C2" s="271" t="s">
        <v>108</v>
      </c>
      <c r="D2" s="271" t="s">
        <v>107</v>
      </c>
      <c r="F2" s="272" t="s">
        <v>418</v>
      </c>
      <c r="G2" s="272" t="s">
        <v>419</v>
      </c>
      <c r="H2" s="272" t="s">
        <v>425</v>
      </c>
      <c r="I2" s="272" t="s">
        <v>426</v>
      </c>
    </row>
    <row r="3" spans="1:9">
      <c r="A3" s="227" t="s">
        <v>179</v>
      </c>
      <c r="B3" s="227">
        <v>151.66999999999999</v>
      </c>
      <c r="C3" s="49">
        <v>11.27</v>
      </c>
      <c r="D3" s="270">
        <f>B3*C3</f>
        <v>1709.3208999999997</v>
      </c>
      <c r="F3" s="341">
        <v>45047</v>
      </c>
      <c r="G3" s="273" t="s">
        <v>553</v>
      </c>
      <c r="H3" s="273" t="s">
        <v>558</v>
      </c>
      <c r="I3" s="273" t="s">
        <v>563</v>
      </c>
    </row>
    <row r="4" spans="1:9">
      <c r="A4" s="227" t="s">
        <v>378</v>
      </c>
      <c r="B4" s="227"/>
      <c r="C4" s="49"/>
      <c r="D4" s="270">
        <f t="shared" ref="D4:D8" si="0">B4*C4</f>
        <v>0</v>
      </c>
      <c r="F4" s="341">
        <v>44927</v>
      </c>
      <c r="G4" s="273" t="s">
        <v>554</v>
      </c>
      <c r="H4" s="273" t="s">
        <v>559</v>
      </c>
      <c r="I4" s="273" t="s">
        <v>564</v>
      </c>
    </row>
    <row r="5" spans="1:9">
      <c r="A5" s="227" t="s">
        <v>180</v>
      </c>
      <c r="B5" s="227"/>
      <c r="C5" s="49">
        <f>C3*1.1</f>
        <v>12.397</v>
      </c>
      <c r="D5" s="270">
        <f t="shared" si="0"/>
        <v>0</v>
      </c>
      <c r="F5" s="341">
        <v>44774</v>
      </c>
      <c r="G5" s="273" t="s">
        <v>555</v>
      </c>
      <c r="H5" s="273" t="s">
        <v>560</v>
      </c>
      <c r="I5" s="273" t="s">
        <v>565</v>
      </c>
    </row>
    <row r="6" spans="1:9">
      <c r="A6" s="227" t="s">
        <v>181</v>
      </c>
      <c r="B6" s="227">
        <v>15</v>
      </c>
      <c r="C6" s="49">
        <f>C3*1.25</f>
        <v>14.087499999999999</v>
      </c>
      <c r="D6" s="270">
        <f t="shared" si="0"/>
        <v>211.31249999999997</v>
      </c>
      <c r="F6" s="341">
        <v>44682</v>
      </c>
      <c r="G6" s="273" t="s">
        <v>556</v>
      </c>
      <c r="H6" s="273" t="s">
        <v>561</v>
      </c>
      <c r="I6" s="273" t="s">
        <v>566</v>
      </c>
    </row>
    <row r="7" spans="1:9">
      <c r="A7" s="227" t="s">
        <v>182</v>
      </c>
      <c r="B7" s="227">
        <v>3</v>
      </c>
      <c r="C7" s="49">
        <f>C3*1.5</f>
        <v>16.905000000000001</v>
      </c>
      <c r="D7" s="270">
        <f t="shared" si="0"/>
        <v>50.715000000000003</v>
      </c>
      <c r="F7" s="341">
        <v>44562</v>
      </c>
      <c r="G7" s="273" t="s">
        <v>557</v>
      </c>
      <c r="H7" s="273" t="s">
        <v>562</v>
      </c>
      <c r="I7" s="273" t="s">
        <v>567</v>
      </c>
    </row>
    <row r="8" spans="1:9">
      <c r="A8" s="227" t="s">
        <v>183</v>
      </c>
      <c r="B8" s="227"/>
      <c r="C8" s="49">
        <f>C3*2</f>
        <v>22.54</v>
      </c>
      <c r="D8" s="270">
        <f t="shared" si="0"/>
        <v>0</v>
      </c>
      <c r="F8" s="621" t="s">
        <v>441</v>
      </c>
      <c r="G8" s="622"/>
      <c r="H8" s="622"/>
      <c r="I8" s="623"/>
    </row>
    <row r="9" spans="1:9">
      <c r="F9" s="272" t="s">
        <v>418</v>
      </c>
      <c r="G9" s="272" t="s">
        <v>427</v>
      </c>
      <c r="H9" s="272" t="s">
        <v>428</v>
      </c>
      <c r="I9" s="272" t="s">
        <v>429</v>
      </c>
    </row>
    <row r="10" spans="1:9">
      <c r="F10" s="341">
        <v>45047</v>
      </c>
      <c r="G10" s="273" t="s">
        <v>420</v>
      </c>
      <c r="H10" s="274" t="s">
        <v>430</v>
      </c>
      <c r="I10" s="273" t="s">
        <v>431</v>
      </c>
    </row>
    <row r="11" spans="1:9">
      <c r="F11" s="341">
        <v>44927</v>
      </c>
      <c r="G11" s="273" t="s">
        <v>421</v>
      </c>
      <c r="H11" s="274" t="s">
        <v>432</v>
      </c>
      <c r="I11" s="273" t="s">
        <v>433</v>
      </c>
    </row>
    <row r="12" spans="1:9">
      <c r="F12" s="341">
        <v>44774</v>
      </c>
      <c r="G12" s="273" t="s">
        <v>422</v>
      </c>
      <c r="H12" s="274" t="s">
        <v>434</v>
      </c>
      <c r="I12" s="273" t="s">
        <v>435</v>
      </c>
    </row>
    <row r="13" spans="1:9">
      <c r="F13" s="341">
        <v>44682</v>
      </c>
      <c r="G13" s="273" t="s">
        <v>423</v>
      </c>
      <c r="H13" s="274" t="s">
        <v>436</v>
      </c>
      <c r="I13" s="273" t="s">
        <v>437</v>
      </c>
    </row>
    <row r="14" spans="1:9">
      <c r="F14" s="341">
        <v>44562</v>
      </c>
      <c r="G14" s="273" t="s">
        <v>424</v>
      </c>
      <c r="H14" s="274" t="s">
        <v>438</v>
      </c>
      <c r="I14" s="273" t="s">
        <v>439</v>
      </c>
    </row>
    <row r="15" spans="1:9">
      <c r="A15" s="275"/>
    </row>
    <row r="17" spans="2:6">
      <c r="B17">
        <v>1630</v>
      </c>
      <c r="F17" s="624">
        <v>1709.28</v>
      </c>
    </row>
    <row r="18" spans="2:6">
      <c r="B18" s="201">
        <v>0.02</v>
      </c>
    </row>
    <row r="19" spans="2:6" s="401" customFormat="1">
      <c r="B19" s="401">
        <f>B17*B18</f>
        <v>32.6</v>
      </c>
      <c r="D19" s="195"/>
    </row>
    <row r="20" spans="2:6" s="401" customFormat="1">
      <c r="C20" s="401">
        <f>B17+B19</f>
        <v>1662.6</v>
      </c>
      <c r="D20" s="195">
        <f>F17-C20</f>
        <v>46.680000000000064</v>
      </c>
    </row>
    <row r="21" spans="2:6" s="401" customFormat="1"/>
    <row r="22" spans="2:6" s="401" customFormat="1"/>
    <row r="23" spans="2:6" s="401" customFormat="1"/>
    <row r="24" spans="2:6" s="401" customFormat="1"/>
    <row r="25" spans="2:6" s="401" customFormat="1"/>
    <row r="26" spans="2:6" s="401" customFormat="1"/>
    <row r="27" spans="2:6" s="401" customFormat="1"/>
    <row r="28" spans="2:6" s="401" customFormat="1"/>
    <row r="29" spans="2:6" s="401" customFormat="1"/>
    <row r="30" spans="2:6" s="401" customFormat="1"/>
    <row r="31" spans="2:6" s="401" customFormat="1"/>
    <row r="32" spans="2:6" s="401" customFormat="1"/>
    <row r="33" spans="1:1" s="401" customFormat="1"/>
    <row r="34" spans="1:1" s="401" customFormat="1"/>
    <row r="35" spans="1:1" s="401" customFormat="1"/>
    <row r="36" spans="1:1" s="401" customFormat="1"/>
    <row r="37" spans="1:1" s="401" customFormat="1"/>
    <row r="38" spans="1:1" s="401" customFormat="1"/>
    <row r="39" spans="1:1" s="401" customFormat="1"/>
    <row r="40" spans="1:1">
      <c r="A40" s="275"/>
    </row>
  </sheetData>
  <mergeCells count="3">
    <mergeCell ref="A1:D1"/>
    <mergeCell ref="F1:I1"/>
    <mergeCell ref="F8:I8"/>
  </mergeCells>
  <hyperlinks>
    <hyperlink ref="A15" r:id="rId1" display="https://emploi.lefigaro.fr/remuneration/guide-de-la-remuneration/103-smic-2023-bientot-une-revalorisation-de-2-decouvrez-quand-le-montant-du-smic-augmentera-16-mars-2023/"/>
    <hyperlink ref="A40" r:id="rId2" display="https://bofip.impots.gouv.fr/bofip/11255-PGP.html/identifiant%3DBOI-BAREME-000037-20230621"/>
  </hyperlinks>
  <pageMargins left="0.7" right="0.7" top="0.75" bottom="0.75" header="0.3" footer="0.3"/>
  <pageSetup paperSize="9" orientation="portrait" horizontalDpi="4294967294"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71"/>
  <sheetViews>
    <sheetView workbookViewId="0">
      <selection activeCell="K23" sqref="K23"/>
    </sheetView>
  </sheetViews>
  <sheetFormatPr baseColWidth="10" defaultRowHeight="12.75"/>
  <cols>
    <col min="1" max="1" width="11.42578125" style="345"/>
    <col min="2" max="2" width="11.7109375" style="345" bestFit="1" customWidth="1"/>
    <col min="3" max="16384" width="11.42578125" style="345"/>
  </cols>
  <sheetData>
    <row r="1" spans="1:13">
      <c r="A1" s="343" t="s">
        <v>465</v>
      </c>
      <c r="B1" s="344"/>
      <c r="C1" s="344"/>
      <c r="D1" s="344"/>
      <c r="E1" s="344"/>
      <c r="F1" s="344"/>
    </row>
    <row r="2" spans="1:13">
      <c r="A2" s="343" t="s">
        <v>466</v>
      </c>
      <c r="B2" s="343"/>
    </row>
    <row r="3" spans="1:13">
      <c r="A3" s="345" t="s">
        <v>467</v>
      </c>
    </row>
    <row r="4" spans="1:13">
      <c r="A4" s="346" t="s">
        <v>468</v>
      </c>
    </row>
    <row r="6" spans="1:13">
      <c r="A6" s="346"/>
    </row>
    <row r="7" spans="1:13">
      <c r="A7" s="346"/>
      <c r="B7" s="347"/>
    </row>
    <row r="8" spans="1:13">
      <c r="A8" s="346"/>
    </row>
    <row r="9" spans="1:13" ht="15">
      <c r="A9" s="346"/>
      <c r="C9" s="348"/>
      <c r="H9" s="349" t="s">
        <v>448</v>
      </c>
    </row>
    <row r="10" spans="1:13" ht="15">
      <c r="A10" s="346"/>
      <c r="C10" s="348"/>
      <c r="H10" s="350" t="s">
        <v>469</v>
      </c>
      <c r="I10" s="630">
        <v>1633.33</v>
      </c>
    </row>
    <row r="11" spans="1:13" ht="15">
      <c r="A11" s="346"/>
      <c r="C11" s="348"/>
      <c r="H11" s="350" t="s">
        <v>470</v>
      </c>
      <c r="I11" s="351">
        <v>151.66999999999999</v>
      </c>
    </row>
    <row r="12" spans="1:13" ht="15">
      <c r="A12" s="346"/>
      <c r="C12" s="348"/>
      <c r="H12" s="352" t="s">
        <v>471</v>
      </c>
      <c r="I12" s="353">
        <f>(I10/I11)</f>
        <v>10.768972110503066</v>
      </c>
    </row>
    <row r="13" spans="1:13" ht="15">
      <c r="A13" s="346"/>
      <c r="C13" s="348"/>
    </row>
    <row r="14" spans="1:13">
      <c r="A14" s="345" t="s">
        <v>472</v>
      </c>
      <c r="H14" s="349" t="s">
        <v>473</v>
      </c>
      <c r="L14" s="345">
        <f>35*52/12</f>
        <v>151.66666666666666</v>
      </c>
      <c r="M14" s="345">
        <v>35</v>
      </c>
    </row>
    <row r="15" spans="1:13">
      <c r="H15" s="354" t="s">
        <v>470</v>
      </c>
      <c r="I15" s="355">
        <v>151.66999999999999</v>
      </c>
    </row>
    <row r="16" spans="1:13">
      <c r="H16" s="354" t="s">
        <v>471</v>
      </c>
      <c r="I16" s="355">
        <v>12.16</v>
      </c>
    </row>
    <row r="17" spans="1:14">
      <c r="H17" s="356" t="s">
        <v>469</v>
      </c>
      <c r="I17" s="357">
        <f>ROUNDDOWN(I15*I16,-1)</f>
        <v>1840</v>
      </c>
    </row>
    <row r="18" spans="1:14">
      <c r="A18" s="358" t="s">
        <v>474</v>
      </c>
    </row>
    <row r="19" spans="1:14">
      <c r="A19" s="343" t="s">
        <v>475</v>
      </c>
      <c r="B19" s="344"/>
      <c r="C19" s="343"/>
      <c r="D19" s="344"/>
    </row>
    <row r="20" spans="1:14">
      <c r="A20" s="346" t="s">
        <v>476</v>
      </c>
      <c r="L20" s="345">
        <v>151.66999999999999</v>
      </c>
      <c r="M20" s="345">
        <f>N20/L20</f>
        <v>5.2746093492450719</v>
      </c>
      <c r="N20" s="345">
        <v>800</v>
      </c>
    </row>
    <row r="21" spans="1:14" ht="13.5" thickBot="1"/>
    <row r="22" spans="1:14">
      <c r="H22" s="386" t="s">
        <v>477</v>
      </c>
      <c r="I22" s="387"/>
      <c r="J22" s="388"/>
    </row>
    <row r="23" spans="1:14">
      <c r="H23" s="389" t="s">
        <v>478</v>
      </c>
      <c r="I23" s="390"/>
      <c r="J23" s="391"/>
    </row>
    <row r="24" spans="1:14" ht="15">
      <c r="A24" s="359" t="s">
        <v>479</v>
      </c>
      <c r="H24" s="392" t="s">
        <v>480</v>
      </c>
      <c r="I24" s="360"/>
      <c r="J24" s="393">
        <v>2000</v>
      </c>
      <c r="M24" s="347">
        <f>N24/L20</f>
        <v>13.041207885540979</v>
      </c>
      <c r="N24" s="345">
        <v>1977.96</v>
      </c>
    </row>
    <row r="25" spans="1:14" ht="15">
      <c r="A25" s="345" t="s">
        <v>481</v>
      </c>
      <c r="H25" s="394" t="s">
        <v>482</v>
      </c>
      <c r="I25" s="361"/>
      <c r="J25" s="395">
        <v>920</v>
      </c>
    </row>
    <row r="26" spans="1:14">
      <c r="H26" s="396" t="s">
        <v>377</v>
      </c>
      <c r="I26" s="362"/>
      <c r="J26" s="397">
        <f>J24+J25</f>
        <v>2920</v>
      </c>
    </row>
    <row r="27" spans="1:14" ht="13.5" thickBot="1">
      <c r="H27" s="398" t="s">
        <v>483</v>
      </c>
      <c r="I27" s="399"/>
      <c r="J27" s="400"/>
    </row>
    <row r="28" spans="1:14" ht="13.5" thickBot="1"/>
    <row r="29" spans="1:14" ht="13.5" thickTop="1">
      <c r="H29" s="372" t="s">
        <v>510</v>
      </c>
      <c r="I29" s="373"/>
      <c r="J29" s="373"/>
      <c r="K29" s="373"/>
      <c r="L29" s="373"/>
      <c r="M29" s="373"/>
      <c r="N29" s="374"/>
    </row>
    <row r="30" spans="1:14">
      <c r="H30" s="375" t="s">
        <v>542</v>
      </c>
      <c r="I30" s="371"/>
      <c r="J30" s="371"/>
      <c r="K30" s="371"/>
      <c r="L30" s="371"/>
      <c r="M30" s="371"/>
      <c r="N30" s="376"/>
    </row>
    <row r="31" spans="1:14">
      <c r="H31" s="375" t="s">
        <v>543</v>
      </c>
      <c r="I31" s="371"/>
      <c r="J31" s="371"/>
      <c r="K31" s="371"/>
      <c r="L31" s="371"/>
      <c r="M31" s="371"/>
      <c r="N31" s="376"/>
    </row>
    <row r="32" spans="1:14">
      <c r="H32" s="375" t="s">
        <v>550</v>
      </c>
      <c r="I32" s="382">
        <f>0.3231/0.6</f>
        <v>0.53849999999999998</v>
      </c>
      <c r="J32" s="371"/>
      <c r="K32" s="371"/>
      <c r="L32" s="371"/>
      <c r="M32" s="371"/>
      <c r="N32" s="376"/>
    </row>
    <row r="33" spans="1:14">
      <c r="H33" s="375" t="s">
        <v>551</v>
      </c>
      <c r="I33" s="380">
        <f>(((1.6*11.27)*(151.67+10)/N36)-1)</f>
        <v>0.381162471395881</v>
      </c>
      <c r="J33" s="371"/>
      <c r="K33" s="371" t="s">
        <v>544</v>
      </c>
      <c r="L33" s="380">
        <f>I32*I33</f>
        <v>0.20525599084668192</v>
      </c>
      <c r="M33" s="371"/>
      <c r="N33" s="376"/>
    </row>
    <row r="34" spans="1:14">
      <c r="H34" s="375" t="s">
        <v>545</v>
      </c>
      <c r="I34" s="380">
        <f>L33*N36</f>
        <v>433.23587243999998</v>
      </c>
      <c r="J34" s="371"/>
      <c r="K34" s="371" t="s">
        <v>552</v>
      </c>
      <c r="L34" s="371"/>
      <c r="M34" s="371">
        <v>10</v>
      </c>
      <c r="N34" s="376">
        <v>160.71</v>
      </c>
    </row>
    <row r="35" spans="1:14">
      <c r="G35" s="371"/>
      <c r="H35" s="375" t="s">
        <v>547</v>
      </c>
      <c r="I35" s="371">
        <v>11.52</v>
      </c>
      <c r="J35" s="371"/>
      <c r="K35" s="371" t="s">
        <v>548</v>
      </c>
      <c r="L35" s="371"/>
      <c r="M35" s="381">
        <f>I35*151.67</f>
        <v>1747.2383999999997</v>
      </c>
      <c r="N35" s="376"/>
    </row>
    <row r="36" spans="1:14">
      <c r="H36" s="375" t="s">
        <v>376</v>
      </c>
      <c r="I36" s="371"/>
      <c r="J36" s="371"/>
      <c r="K36" s="371" t="s">
        <v>549</v>
      </c>
      <c r="L36" s="371"/>
      <c r="M36" s="383">
        <v>1950</v>
      </c>
      <c r="N36" s="384">
        <f>M36+N34</f>
        <v>2110.71</v>
      </c>
    </row>
    <row r="37" spans="1:14" ht="13.5" thickBot="1">
      <c r="H37" s="377" t="s">
        <v>546</v>
      </c>
      <c r="I37" s="378">
        <f>1.6*M35</f>
        <v>2795.5814399999999</v>
      </c>
      <c r="J37" s="378"/>
      <c r="K37" s="378" t="s">
        <v>455</v>
      </c>
      <c r="L37" s="378"/>
      <c r="M37" s="378">
        <v>55</v>
      </c>
      <c r="N37" s="379"/>
    </row>
    <row r="38" spans="1:14" ht="13.5" thickTop="1"/>
    <row r="40" spans="1:14">
      <c r="A40" s="343" t="s">
        <v>484</v>
      </c>
      <c r="B40" s="344"/>
    </row>
    <row r="41" spans="1:14">
      <c r="A41" s="345" t="s">
        <v>485</v>
      </c>
    </row>
    <row r="42" spans="1:14">
      <c r="A42" s="345" t="s">
        <v>486</v>
      </c>
    </row>
    <row r="47" spans="1:14">
      <c r="A47" s="346" t="s">
        <v>487</v>
      </c>
    </row>
    <row r="48" spans="1:14">
      <c r="A48" s="346" t="s">
        <v>488</v>
      </c>
    </row>
    <row r="51" spans="1:4">
      <c r="A51" s="343" t="s">
        <v>489</v>
      </c>
      <c r="B51" s="343"/>
      <c r="C51" s="343"/>
      <c r="D51" s="344"/>
    </row>
    <row r="52" spans="1:4">
      <c r="A52" s="346" t="s">
        <v>490</v>
      </c>
    </row>
    <row r="53" spans="1:4">
      <c r="A53" s="346" t="s">
        <v>491</v>
      </c>
    </row>
    <row r="54" spans="1:4">
      <c r="A54" s="363" t="s">
        <v>492</v>
      </c>
    </row>
    <row r="55" spans="1:4">
      <c r="A55" s="345" t="s">
        <v>493</v>
      </c>
    </row>
    <row r="56" spans="1:4">
      <c r="A56" s="346" t="s">
        <v>494</v>
      </c>
    </row>
    <row r="57" spans="1:4">
      <c r="A57" s="346" t="s">
        <v>495</v>
      </c>
    </row>
    <row r="58" spans="1:4">
      <c r="A58" s="346" t="s">
        <v>496</v>
      </c>
      <c r="C58" s="346" t="s">
        <v>497</v>
      </c>
      <c r="D58" s="363">
        <f>(3666/28)*14</f>
        <v>1832.9999999999998</v>
      </c>
    </row>
    <row r="59" spans="1:4">
      <c r="A59" s="346" t="s">
        <v>498</v>
      </c>
    </row>
    <row r="61" spans="1:4">
      <c r="A61" s="363" t="s">
        <v>499</v>
      </c>
    </row>
    <row r="62" spans="1:4">
      <c r="A62" s="346" t="s">
        <v>500</v>
      </c>
    </row>
    <row r="63" spans="1:4">
      <c r="A63" s="346" t="s">
        <v>501</v>
      </c>
    </row>
    <row r="64" spans="1:4">
      <c r="A64" s="346" t="s">
        <v>502</v>
      </c>
    </row>
    <row r="65" spans="1:2">
      <c r="A65" s="346" t="s">
        <v>503</v>
      </c>
    </row>
    <row r="66" spans="1:2">
      <c r="A66" s="349" t="s">
        <v>504</v>
      </c>
    </row>
    <row r="67" spans="1:2">
      <c r="A67" s="346" t="s">
        <v>505</v>
      </c>
    </row>
    <row r="68" spans="1:2">
      <c r="A68" s="346" t="s">
        <v>506</v>
      </c>
    </row>
    <row r="69" spans="1:2">
      <c r="A69" s="346" t="s">
        <v>507</v>
      </c>
    </row>
    <row r="70" spans="1:2">
      <c r="A70" s="346" t="s">
        <v>508</v>
      </c>
    </row>
    <row r="71" spans="1:2">
      <c r="A71" s="346" t="s">
        <v>509</v>
      </c>
      <c r="B71" s="364">
        <f>(3666/31)*26</f>
        <v>3074.7096774193551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C55"/>
  <sheetViews>
    <sheetView topLeftCell="A37" workbookViewId="0">
      <selection activeCell="A56" sqref="A56"/>
    </sheetView>
  </sheetViews>
  <sheetFormatPr baseColWidth="10" defaultRowHeight="15"/>
  <cols>
    <col min="1" max="1" width="66.28515625" style="365" bestFit="1" customWidth="1"/>
    <col min="2" max="2" width="18.140625" style="365" customWidth="1"/>
    <col min="3" max="3" width="46.42578125" style="365" bestFit="1" customWidth="1"/>
    <col min="4" max="16384" width="11.42578125" style="365"/>
  </cols>
  <sheetData>
    <row r="1" spans="1:3">
      <c r="A1" s="366" t="s">
        <v>541</v>
      </c>
    </row>
    <row r="3" spans="1:3" ht="18.75">
      <c r="A3" s="370" t="s">
        <v>540</v>
      </c>
      <c r="C3" s="370" t="s">
        <v>539</v>
      </c>
    </row>
    <row r="4" spans="1:3">
      <c r="A4" s="368" t="s">
        <v>538</v>
      </c>
      <c r="C4" s="368" t="s">
        <v>537</v>
      </c>
    </row>
    <row r="5" spans="1:3">
      <c r="A5" s="369" t="s">
        <v>536</v>
      </c>
      <c r="C5" s="369" t="s">
        <v>535</v>
      </c>
    </row>
    <row r="6" spans="1:3">
      <c r="A6" s="369" t="s">
        <v>534</v>
      </c>
      <c r="C6" s="369" t="s">
        <v>533</v>
      </c>
    </row>
    <row r="7" spans="1:3">
      <c r="A7" s="369" t="s">
        <v>532</v>
      </c>
      <c r="C7" s="369" t="s">
        <v>531</v>
      </c>
    </row>
    <row r="8" spans="1:3">
      <c r="A8" s="369" t="s">
        <v>530</v>
      </c>
      <c r="C8" s="369" t="s">
        <v>529</v>
      </c>
    </row>
    <row r="9" spans="1:3">
      <c r="A9" s="369" t="s">
        <v>528</v>
      </c>
      <c r="C9" s="369" t="s">
        <v>527</v>
      </c>
    </row>
    <row r="10" spans="1:3">
      <c r="A10" s="369" t="s">
        <v>526</v>
      </c>
      <c r="C10" s="369" t="s">
        <v>525</v>
      </c>
    </row>
    <row r="11" spans="1:3">
      <c r="A11" s="369" t="s">
        <v>524</v>
      </c>
      <c r="C11" s="369" t="s">
        <v>523</v>
      </c>
    </row>
    <row r="12" spans="1:3">
      <c r="A12" s="368" t="s">
        <v>522</v>
      </c>
      <c r="C12" s="368" t="s">
        <v>521</v>
      </c>
    </row>
    <row r="13" spans="1:3">
      <c r="A13" s="368" t="s">
        <v>520</v>
      </c>
      <c r="C13" s="368" t="s">
        <v>519</v>
      </c>
    </row>
    <row r="14" spans="1:3">
      <c r="A14" s="369" t="s">
        <v>518</v>
      </c>
      <c r="C14" s="369" t="s">
        <v>518</v>
      </c>
    </row>
    <row r="15" spans="1:3">
      <c r="A15" s="369" t="s">
        <v>517</v>
      </c>
      <c r="C15" s="369" t="s">
        <v>517</v>
      </c>
    </row>
    <row r="16" spans="1:3">
      <c r="A16" s="369" t="s">
        <v>516</v>
      </c>
      <c r="C16" s="369" t="s">
        <v>516</v>
      </c>
    </row>
    <row r="17" spans="1:3">
      <c r="A17" s="368" t="s">
        <v>212</v>
      </c>
      <c r="C17" s="368" t="s">
        <v>515</v>
      </c>
    </row>
    <row r="18" spans="1:3">
      <c r="C18" s="367" t="s">
        <v>514</v>
      </c>
    </row>
    <row r="19" spans="1:3">
      <c r="C19" s="367" t="s">
        <v>513</v>
      </c>
    </row>
    <row r="20" spans="1:3">
      <c r="A20" s="366" t="s">
        <v>512</v>
      </c>
    </row>
    <row r="21" spans="1:3">
      <c r="A21" s="366" t="s">
        <v>511</v>
      </c>
    </row>
    <row r="25" spans="1:3" ht="15.75">
      <c r="A25" s="625" t="s">
        <v>391</v>
      </c>
    </row>
    <row r="26" spans="1:3">
      <c r="A26"/>
    </row>
    <row r="27" spans="1:3">
      <c r="A27" t="s">
        <v>413</v>
      </c>
    </row>
    <row r="28" spans="1:3">
      <c r="A28" t="s">
        <v>414</v>
      </c>
    </row>
    <row r="29" spans="1:3">
      <c r="A29" s="401" t="s">
        <v>392</v>
      </c>
    </row>
    <row r="30" spans="1:3">
      <c r="A30" t="s">
        <v>393</v>
      </c>
    </row>
    <row r="31" spans="1:3">
      <c r="A31" t="s">
        <v>394</v>
      </c>
    </row>
    <row r="32" spans="1:3">
      <c r="A32" t="s">
        <v>395</v>
      </c>
    </row>
    <row r="33" spans="1:2">
      <c r="A33" t="s">
        <v>396</v>
      </c>
    </row>
    <row r="34" spans="1:2">
      <c r="A34" t="s">
        <v>397</v>
      </c>
    </row>
    <row r="35" spans="1:2">
      <c r="A35" t="s">
        <v>398</v>
      </c>
    </row>
    <row r="36" spans="1:2">
      <c r="A36" t="s">
        <v>399</v>
      </c>
    </row>
    <row r="37" spans="1:2">
      <c r="A37" t="s">
        <v>400</v>
      </c>
    </row>
    <row r="38" spans="1:2">
      <c r="A38" s="401" t="s">
        <v>600</v>
      </c>
    </row>
    <row r="39" spans="1:2">
      <c r="A39"/>
    </row>
    <row r="40" spans="1:2" ht="15.75">
      <c r="A40" s="626" t="s">
        <v>401</v>
      </c>
      <c r="B40" s="627"/>
    </row>
    <row r="41" spans="1:2">
      <c r="A41"/>
    </row>
    <row r="42" spans="1:2">
      <c r="A42" t="s">
        <v>402</v>
      </c>
    </row>
    <row r="43" spans="1:2">
      <c r="A43" t="s">
        <v>403</v>
      </c>
    </row>
    <row r="44" spans="1:2">
      <c r="A44" t="s">
        <v>404</v>
      </c>
    </row>
    <row r="45" spans="1:2">
      <c r="A45" t="s">
        <v>405</v>
      </c>
    </row>
    <row r="46" spans="1:2">
      <c r="A46" t="s">
        <v>406</v>
      </c>
    </row>
    <row r="47" spans="1:2">
      <c r="A47" t="s">
        <v>407</v>
      </c>
    </row>
    <row r="48" spans="1:2">
      <c r="A48" t="s">
        <v>408</v>
      </c>
    </row>
    <row r="49" spans="1:1">
      <c r="A49" s="401" t="s">
        <v>601</v>
      </c>
    </row>
    <row r="50" spans="1:1">
      <c r="A50" t="s">
        <v>409</v>
      </c>
    </row>
    <row r="51" spans="1:1">
      <c r="A51" t="s">
        <v>410</v>
      </c>
    </row>
    <row r="52" spans="1:1">
      <c r="A52" t="s">
        <v>411</v>
      </c>
    </row>
    <row r="53" spans="1:1">
      <c r="A53" t="s">
        <v>412</v>
      </c>
    </row>
    <row r="54" spans="1:1">
      <c r="A54" s="628" t="s">
        <v>602</v>
      </c>
    </row>
    <row r="55" spans="1:1">
      <c r="A55" s="628" t="s">
        <v>603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COTISATIONS</vt:lpstr>
      <vt:lpstr>BULLETIN </vt:lpstr>
      <vt:lpstr>Feuil1</vt:lpstr>
      <vt:lpstr>Données 2023</vt:lpstr>
      <vt:lpstr>Réduction génerale</vt:lpstr>
      <vt:lpstr>Smic  </vt:lpstr>
      <vt:lpstr>Formules </vt:lpstr>
      <vt:lpstr>Sbase &amp; HS &amp; Absences </vt:lpstr>
      <vt:lpstr>'BULLETIN '!Zone_d_impression</vt:lpstr>
    </vt:vector>
  </TitlesOfParts>
  <Company>AFPA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24010-28-07</dc:creator>
  <cp:lastModifiedBy>PC</cp:lastModifiedBy>
  <cp:lastPrinted>2023-07-20T10:10:40Z</cp:lastPrinted>
  <dcterms:created xsi:type="dcterms:W3CDTF">2023-07-05T08:51:09Z</dcterms:created>
  <dcterms:modified xsi:type="dcterms:W3CDTF">2023-07-21T16:32:50Z</dcterms:modified>
</cp:coreProperties>
</file>